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eo Nutrition files\My proposal\Manuscripts_Abdu_study\Paper IV\New_after defense_29_06_2023\Sept_18_2023\"/>
    </mc:Choice>
  </mc:AlternateContent>
  <xr:revisionPtr revIDLastSave="0" documentId="13_ncr:1_{15594230-ED0E-4C08-99FD-F8CA95D6BB0B}" xr6:coauthVersionLast="47" xr6:coauthVersionMax="47" xr10:uidLastSave="{00000000-0000-0000-0000-000000000000}"/>
  <bookViews>
    <workbookView xWindow="-120" yWindow="-120" windowWidth="20730" windowHeight="11160" tabRatio="931" activeTab="2" xr2:uid="{00000000-000D-0000-FFFF-FFFF00000000}"/>
  </bookViews>
  <sheets>
    <sheet name="Intro" sheetId="34" r:id="rId1"/>
    <sheet name="Selenium" sheetId="3" r:id="rId2"/>
    <sheet name="DALY formula" sheetId="39" r:id="rId3"/>
    <sheet name="Efficacy" sheetId="38" r:id="rId4"/>
    <sheet name="DALYs status quo" sheetId="14" r:id="rId5"/>
    <sheet name="Selenium pessimist" sheetId="32" r:id="rId6"/>
    <sheet name="DALYs pessimist" sheetId="20" r:id="rId7"/>
    <sheet name="Selenium optimist" sheetId="46" r:id="rId8"/>
    <sheet name="DALYs optimist" sheetId="33" r:id="rId9"/>
    <sheet name="group size" sheetId="5" r:id="rId10"/>
    <sheet name="Life table new" sheetId="42" r:id="rId11"/>
    <sheet name="discount" sheetId="13" r:id="rId12"/>
  </sheets>
  <externalReferences>
    <externalReference r:id="rId13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2" l="1"/>
  <c r="E45" i="32"/>
  <c r="E46" i="32"/>
  <c r="E47" i="32"/>
  <c r="E48" i="32"/>
  <c r="L5" i="46"/>
  <c r="L2" i="46"/>
  <c r="F5" i="3"/>
  <c r="F6" i="3"/>
  <c r="F8" i="3"/>
  <c r="F4" i="3"/>
  <c r="A2" i="20"/>
  <c r="C6" i="14"/>
  <c r="K7" i="3"/>
  <c r="C8" i="14" s="1"/>
  <c r="K5" i="3"/>
  <c r="L3" i="46" s="1"/>
  <c r="K6" i="3"/>
  <c r="C7" i="14" s="1"/>
  <c r="K4" i="3"/>
  <c r="I7" i="5"/>
  <c r="H7" i="5"/>
  <c r="I6" i="5"/>
  <c r="H6" i="5"/>
  <c r="I5" i="5"/>
  <c r="H4" i="5"/>
  <c r="H5" i="5" s="1"/>
  <c r="A2" i="33"/>
  <c r="A2" i="46"/>
  <c r="A2" i="32"/>
  <c r="A5" i="14"/>
  <c r="I9" i="3"/>
  <c r="F9" i="3" s="1"/>
  <c r="F7" i="46" s="1"/>
  <c r="D7" i="33" s="1"/>
  <c r="I10" i="3"/>
  <c r="F10" i="3" s="1"/>
  <c r="F8" i="32" s="1"/>
  <c r="D8" i="20" s="1"/>
  <c r="I8" i="3"/>
  <c r="I7" i="3"/>
  <c r="F7" i="3" s="1"/>
  <c r="M6" i="32"/>
  <c r="H6" i="20" s="1"/>
  <c r="M7" i="32"/>
  <c r="H7" i="20" s="1"/>
  <c r="M8" i="32"/>
  <c r="H8" i="20" s="1"/>
  <c r="H6" i="32"/>
  <c r="H7" i="32"/>
  <c r="H8" i="32"/>
  <c r="D5" i="14"/>
  <c r="D6" i="14"/>
  <c r="D7" i="14"/>
  <c r="D8" i="14"/>
  <c r="D9" i="14"/>
  <c r="D10" i="14"/>
  <c r="D11" i="14"/>
  <c r="E7" i="14"/>
  <c r="L4" i="46" l="1"/>
  <c r="E8" i="14"/>
  <c r="E10" i="14"/>
  <c r="F8" i="46"/>
  <c r="D8" i="33" s="1"/>
  <c r="E11" i="14"/>
  <c r="E5" i="14"/>
  <c r="E9" i="14"/>
  <c r="F7" i="32"/>
  <c r="D7" i="20" s="1"/>
  <c r="E6" i="14"/>
  <c r="B6" i="33"/>
  <c r="B7" i="33"/>
  <c r="B8" i="33"/>
  <c r="A6" i="33"/>
  <c r="K6" i="46"/>
  <c r="E6" i="33" s="1"/>
  <c r="M6" i="46"/>
  <c r="H6" i="33" s="1"/>
  <c r="K7" i="46"/>
  <c r="E7" i="33" s="1"/>
  <c r="M7" i="46"/>
  <c r="H7" i="33" s="1"/>
  <c r="K8" i="46"/>
  <c r="E8" i="33" s="1"/>
  <c r="M8" i="46"/>
  <c r="H8" i="33" s="1"/>
  <c r="J6" i="46"/>
  <c r="G6" i="33" s="1"/>
  <c r="J7" i="46"/>
  <c r="G7" i="33" s="1"/>
  <c r="J8" i="46"/>
  <c r="G8" i="33" s="1"/>
  <c r="I6" i="46"/>
  <c r="I7" i="46"/>
  <c r="I8" i="46"/>
  <c r="H6" i="46"/>
  <c r="H7" i="46"/>
  <c r="H8" i="46"/>
  <c r="C6" i="46"/>
  <c r="D6" i="46"/>
  <c r="F6" i="33" s="1"/>
  <c r="C7" i="46"/>
  <c r="D7" i="46"/>
  <c r="F7" i="33" s="1"/>
  <c r="C8" i="46"/>
  <c r="D8" i="46"/>
  <c r="F8" i="33" s="1"/>
  <c r="B6" i="46"/>
  <c r="B7" i="46"/>
  <c r="B8" i="46"/>
  <c r="A6" i="46"/>
  <c r="B6" i="20"/>
  <c r="B7" i="20"/>
  <c r="B8" i="20"/>
  <c r="I6" i="32"/>
  <c r="J6" i="32"/>
  <c r="G6" i="20" s="1"/>
  <c r="I7" i="32"/>
  <c r="J7" i="32"/>
  <c r="G7" i="20" s="1"/>
  <c r="I8" i="32"/>
  <c r="J8" i="32"/>
  <c r="G8" i="20" s="1"/>
  <c r="K6" i="32"/>
  <c r="K7" i="32"/>
  <c r="K8" i="32"/>
  <c r="H5" i="32"/>
  <c r="C6" i="32"/>
  <c r="D6" i="32"/>
  <c r="F6" i="20" s="1"/>
  <c r="C7" i="32"/>
  <c r="D7" i="32"/>
  <c r="F7" i="20" s="1"/>
  <c r="C8" i="32"/>
  <c r="D8" i="32"/>
  <c r="F8" i="20" s="1"/>
  <c r="A6" i="32"/>
  <c r="B6" i="32"/>
  <c r="B7" i="32"/>
  <c r="B8" i="32"/>
  <c r="G9" i="14"/>
  <c r="H9" i="14"/>
  <c r="G10" i="14"/>
  <c r="H10" i="14"/>
  <c r="G11" i="14"/>
  <c r="H11" i="14"/>
  <c r="I9" i="14"/>
  <c r="I10" i="14"/>
  <c r="I11" i="14"/>
  <c r="B10" i="14"/>
  <c r="B11" i="14"/>
  <c r="B9" i="14"/>
  <c r="A9" i="14"/>
  <c r="B34" i="32"/>
  <c r="L11" i="14" l="1"/>
  <c r="L9" i="14"/>
  <c r="L10" i="14"/>
  <c r="I5" i="14"/>
  <c r="I6" i="14"/>
  <c r="I7" i="14"/>
  <c r="I8" i="14"/>
  <c r="H8" i="14"/>
  <c r="J2" i="46"/>
  <c r="G2" i="33" s="1"/>
  <c r="J3" i="46"/>
  <c r="G3" i="33" s="1"/>
  <c r="J4" i="46"/>
  <c r="G4" i="33" s="1"/>
  <c r="K5" i="46"/>
  <c r="K5" i="32"/>
  <c r="C4" i="46"/>
  <c r="D5" i="46"/>
  <c r="F5" i="33" s="1"/>
  <c r="D5" i="32"/>
  <c r="A5" i="32"/>
  <c r="I5" i="32"/>
  <c r="M5" i="32"/>
  <c r="A8" i="14"/>
  <c r="J5" i="32"/>
  <c r="G5" i="20" s="1"/>
  <c r="G8" i="14"/>
  <c r="K3" i="32"/>
  <c r="K4" i="32"/>
  <c r="H3" i="32"/>
  <c r="I3" i="32"/>
  <c r="B2" i="33"/>
  <c r="B3" i="33"/>
  <c r="B4" i="33"/>
  <c r="B5" i="33"/>
  <c r="A5" i="33"/>
  <c r="A49" i="32"/>
  <c r="D26" i="32"/>
  <c r="F26" i="32"/>
  <c r="C26" i="32"/>
  <c r="D26" i="46"/>
  <c r="E26" i="46"/>
  <c r="F26" i="46"/>
  <c r="C26" i="46"/>
  <c r="E46" i="46"/>
  <c r="F46" i="46"/>
  <c r="H46" i="46"/>
  <c r="D46" i="46"/>
  <c r="F46" i="32"/>
  <c r="H46" i="32"/>
  <c r="D46" i="32"/>
  <c r="A49" i="46" l="1"/>
  <c r="E45" i="46"/>
  <c r="F45" i="46"/>
  <c r="H45" i="46"/>
  <c r="D45" i="46"/>
  <c r="E47" i="46"/>
  <c r="E48" i="46" s="1"/>
  <c r="F47" i="46"/>
  <c r="F48" i="46" s="1"/>
  <c r="H47" i="46"/>
  <c r="H48" i="46" s="1"/>
  <c r="D47" i="46"/>
  <c r="D48" i="46" s="1"/>
  <c r="B36" i="46"/>
  <c r="B37" i="46" s="1"/>
  <c r="E49" i="46" s="1"/>
  <c r="A52" i="46"/>
  <c r="A50" i="46"/>
  <c r="D28" i="46"/>
  <c r="E28" i="46"/>
  <c r="F28" i="46"/>
  <c r="C28" i="46"/>
  <c r="I3" i="46"/>
  <c r="H3" i="46"/>
  <c r="M3" i="46"/>
  <c r="H3" i="33" s="1"/>
  <c r="K3" i="46"/>
  <c r="C5" i="46"/>
  <c r="B2" i="46"/>
  <c r="B3" i="46"/>
  <c r="B4" i="46"/>
  <c r="B5" i="46"/>
  <c r="A5" i="46"/>
  <c r="D2" i="46"/>
  <c r="F2" i="33" s="1"/>
  <c r="D3" i="46"/>
  <c r="F3" i="33" s="1"/>
  <c r="D4" i="46"/>
  <c r="F4" i="33" s="1"/>
  <c r="C3" i="46"/>
  <c r="M3" i="32"/>
  <c r="H3" i="20" s="1"/>
  <c r="J2" i="32"/>
  <c r="G2" i="20" s="1"/>
  <c r="J3" i="32"/>
  <c r="G3" i="20" s="1"/>
  <c r="J4" i="32"/>
  <c r="G4" i="20" s="1"/>
  <c r="D2" i="32"/>
  <c r="F2" i="20" s="1"/>
  <c r="D3" i="32"/>
  <c r="F3" i="20" s="1"/>
  <c r="D4" i="32"/>
  <c r="F4" i="20" s="1"/>
  <c r="C2" i="32"/>
  <c r="C3" i="32"/>
  <c r="C4" i="32"/>
  <c r="B2" i="20"/>
  <c r="B3" i="20"/>
  <c r="B4" i="20"/>
  <c r="B5" i="20"/>
  <c r="A5" i="20"/>
  <c r="B2" i="32"/>
  <c r="B3" i="32"/>
  <c r="B4" i="32"/>
  <c r="B5" i="32"/>
  <c r="B36" i="32"/>
  <c r="B37" i="32" s="1"/>
  <c r="E49" i="32" s="1"/>
  <c r="E50" i="32" s="1"/>
  <c r="E51" i="32" s="1"/>
  <c r="E52" i="32" s="1"/>
  <c r="F45" i="32"/>
  <c r="H45" i="32"/>
  <c r="D45" i="32"/>
  <c r="F47" i="32"/>
  <c r="E28" i="32" s="1"/>
  <c r="H47" i="32"/>
  <c r="F28" i="32" s="1"/>
  <c r="D47" i="32"/>
  <c r="A52" i="32"/>
  <c r="A50" i="32"/>
  <c r="L8" i="14"/>
  <c r="H5" i="14"/>
  <c r="H6" i="14"/>
  <c r="H7" i="14"/>
  <c r="D6" i="38"/>
  <c r="E6" i="38"/>
  <c r="F6" i="38"/>
  <c r="C6" i="38"/>
  <c r="E3" i="38"/>
  <c r="F3" i="38"/>
  <c r="G27" i="38"/>
  <c r="A31" i="38"/>
  <c r="A29" i="38"/>
  <c r="A28" i="38"/>
  <c r="G5" i="14"/>
  <c r="G6" i="14"/>
  <c r="G7" i="14"/>
  <c r="B8" i="14"/>
  <c r="B5" i="14"/>
  <c r="B6" i="14"/>
  <c r="B7" i="14"/>
  <c r="K10" i="3"/>
  <c r="K8" i="3"/>
  <c r="I46" i="32"/>
  <c r="I47" i="32"/>
  <c r="I45" i="32"/>
  <c r="C37" i="32"/>
  <c r="C38" i="32"/>
  <c r="C39" i="32"/>
  <c r="C36" i="32"/>
  <c r="B17" i="38"/>
  <c r="G28" i="38" s="1"/>
  <c r="G29" i="38" s="1"/>
  <c r="G30" i="38" s="1"/>
  <c r="M5" i="46"/>
  <c r="H5" i="33" s="1"/>
  <c r="I5" i="46"/>
  <c r="H5" i="46"/>
  <c r="M4" i="46"/>
  <c r="H4" i="33" s="1"/>
  <c r="K4" i="46"/>
  <c r="I4" i="46"/>
  <c r="H4" i="46"/>
  <c r="M2" i="46"/>
  <c r="H2" i="33" s="1"/>
  <c r="K2" i="46"/>
  <c r="I2" i="46"/>
  <c r="H2" i="46"/>
  <c r="C2" i="46"/>
  <c r="C9" i="14" l="1"/>
  <c r="L6" i="46"/>
  <c r="C11" i="14"/>
  <c r="M11" i="14" s="1"/>
  <c r="L8" i="46"/>
  <c r="L5" i="32"/>
  <c r="C8" i="33"/>
  <c r="C8" i="20"/>
  <c r="L8" i="32"/>
  <c r="C6" i="20"/>
  <c r="C6" i="33"/>
  <c r="L6" i="32"/>
  <c r="K9" i="3"/>
  <c r="M7" i="14"/>
  <c r="C4" i="20"/>
  <c r="L4" i="32"/>
  <c r="C4" i="33"/>
  <c r="I4" i="33" s="1"/>
  <c r="M8" i="14"/>
  <c r="C5" i="20"/>
  <c r="M6" i="14"/>
  <c r="L3" i="32"/>
  <c r="C3" i="33"/>
  <c r="C3" i="20"/>
  <c r="L3" i="20" s="1"/>
  <c r="C5" i="14"/>
  <c r="M5" i="14" s="1"/>
  <c r="C2" i="33"/>
  <c r="C2" i="20"/>
  <c r="L2" i="20" s="1"/>
  <c r="L2" i="32"/>
  <c r="H49" i="46"/>
  <c r="H50" i="46" s="1"/>
  <c r="E50" i="46"/>
  <c r="L6" i="14"/>
  <c r="J5" i="46"/>
  <c r="G5" i="33" s="1"/>
  <c r="G31" i="38"/>
  <c r="F5" i="38"/>
  <c r="D49" i="46"/>
  <c r="D50" i="46" s="1"/>
  <c r="D51" i="46" s="1"/>
  <c r="D52" i="46" s="1"/>
  <c r="H48" i="32"/>
  <c r="H49" i="32"/>
  <c r="B38" i="46"/>
  <c r="F49" i="46"/>
  <c r="F50" i="46" s="1"/>
  <c r="F49" i="32"/>
  <c r="F50" i="32" s="1"/>
  <c r="F51" i="32" s="1"/>
  <c r="E27" i="32" s="1"/>
  <c r="E29" i="32" s="1"/>
  <c r="D49" i="32"/>
  <c r="L7" i="46" l="1"/>
  <c r="C10" i="14"/>
  <c r="M10" i="14" s="1"/>
  <c r="C5" i="33"/>
  <c r="O8" i="14"/>
  <c r="C7" i="33"/>
  <c r="L7" i="32"/>
  <c r="C7" i="20"/>
  <c r="O11" i="14"/>
  <c r="N11" i="14"/>
  <c r="L6" i="20"/>
  <c r="I6" i="20"/>
  <c r="L8" i="33"/>
  <c r="J8" i="33"/>
  <c r="I8" i="33"/>
  <c r="N8" i="14"/>
  <c r="I6" i="33"/>
  <c r="L6" i="33"/>
  <c r="L8" i="20"/>
  <c r="J8" i="20"/>
  <c r="I8" i="20"/>
  <c r="D27" i="32"/>
  <c r="C27" i="46"/>
  <c r="C29" i="46" s="1"/>
  <c r="C16" i="46" s="1"/>
  <c r="I3" i="33"/>
  <c r="L2" i="33"/>
  <c r="I2" i="33"/>
  <c r="L5" i="20"/>
  <c r="E51" i="46"/>
  <c r="D27" i="46"/>
  <c r="H51" i="46"/>
  <c r="H52" i="46" s="1"/>
  <c r="F27" i="46"/>
  <c r="F29" i="46" s="1"/>
  <c r="F51" i="46"/>
  <c r="F52" i="46" s="1"/>
  <c r="E27" i="46"/>
  <c r="E29" i="46" s="1"/>
  <c r="H50" i="32"/>
  <c r="H51" i="32" s="1"/>
  <c r="H52" i="32" s="1"/>
  <c r="N6" i="14"/>
  <c r="L7" i="14"/>
  <c r="E5" i="33"/>
  <c r="L5" i="33" s="1"/>
  <c r="K8" i="20" l="1"/>
  <c r="L7" i="33"/>
  <c r="J7" i="33"/>
  <c r="I7" i="33"/>
  <c r="M9" i="14"/>
  <c r="O10" i="14"/>
  <c r="N10" i="14"/>
  <c r="K8" i="33"/>
  <c r="L7" i="20"/>
  <c r="J7" i="20"/>
  <c r="I7" i="20"/>
  <c r="D53" i="46"/>
  <c r="I5" i="33"/>
  <c r="C19" i="46"/>
  <c r="H53" i="46"/>
  <c r="C18" i="46"/>
  <c r="F53" i="46"/>
  <c r="E52" i="46"/>
  <c r="D29" i="46"/>
  <c r="F6" i="46" l="1"/>
  <c r="D6" i="33" s="1"/>
  <c r="J6" i="33" s="1"/>
  <c r="K6" i="33" s="1"/>
  <c r="F4" i="46"/>
  <c r="D4" i="33" s="1"/>
  <c r="J4" i="33" s="1"/>
  <c r="F3" i="46"/>
  <c r="D3" i="33" s="1"/>
  <c r="J3" i="33" s="1"/>
  <c r="K7" i="33"/>
  <c r="K7" i="20"/>
  <c r="N9" i="14"/>
  <c r="O9" i="14"/>
  <c r="C17" i="46"/>
  <c r="E53" i="46"/>
  <c r="F5" i="46" l="1"/>
  <c r="D5" i="33" s="1"/>
  <c r="J5" i="33" s="1"/>
  <c r="K5" i="33" s="1"/>
  <c r="F2" i="46"/>
  <c r="D2" i="33" s="1"/>
  <c r="J2" i="33" l="1"/>
  <c r="K2" i="33" s="1"/>
  <c r="D28" i="38" l="1"/>
  <c r="E28" i="38" l="1"/>
  <c r="E29" i="38" s="1"/>
  <c r="E30" i="38" s="1"/>
  <c r="F28" i="38"/>
  <c r="F29" i="38" s="1"/>
  <c r="F30" i="38" s="1"/>
  <c r="D29" i="38"/>
  <c r="D30" i="38" s="1"/>
  <c r="F27" i="38"/>
  <c r="E27" i="38"/>
  <c r="D27" i="38"/>
  <c r="B18" i="38"/>
  <c r="D3" i="38"/>
  <c r="C3" i="38"/>
  <c r="Q32" i="32"/>
  <c r="Q31" i="32"/>
  <c r="Q36" i="32"/>
  <c r="F48" i="32"/>
  <c r="D50" i="32"/>
  <c r="D48" i="32"/>
  <c r="B38" i="32"/>
  <c r="D28" i="32"/>
  <c r="A17" i="14"/>
  <c r="M2" i="32"/>
  <c r="H2" i="20" s="1"/>
  <c r="I2" i="20" s="1"/>
  <c r="M4" i="32"/>
  <c r="H4" i="20" s="1"/>
  <c r="N7" i="14"/>
  <c r="O7" i="14"/>
  <c r="H2" i="32"/>
  <c r="I2" i="32"/>
  <c r="K2" i="32"/>
  <c r="H4" i="32"/>
  <c r="I4" i="32"/>
  <c r="F5" i="20"/>
  <c r="D51" i="32" l="1"/>
  <c r="D52" i="32" s="1"/>
  <c r="C27" i="32"/>
  <c r="C29" i="32" s="1"/>
  <c r="D31" i="38"/>
  <c r="H5" i="20"/>
  <c r="I5" i="20" s="1"/>
  <c r="C5" i="38"/>
  <c r="E31" i="38"/>
  <c r="L3" i="33"/>
  <c r="F27" i="32"/>
  <c r="F29" i="32" s="1"/>
  <c r="H53" i="32" s="1"/>
  <c r="F7" i="38"/>
  <c r="G32" i="38" l="1"/>
  <c r="F31" i="38"/>
  <c r="E5" i="38"/>
  <c r="E7" i="38" s="1"/>
  <c r="D53" i="32"/>
  <c r="C16" i="32"/>
  <c r="F52" i="32"/>
  <c r="C19" i="32"/>
  <c r="C7" i="38"/>
  <c r="L5" i="14"/>
  <c r="K3" i="33"/>
  <c r="D5" i="38"/>
  <c r="D7" i="38" s="1"/>
  <c r="I3" i="20"/>
  <c r="F6" i="32" l="1"/>
  <c r="D6" i="20" s="1"/>
  <c r="J6" i="20" s="1"/>
  <c r="K6" i="20" s="1"/>
  <c r="F4" i="32"/>
  <c r="D4" i="20" s="1"/>
  <c r="F32" i="38"/>
  <c r="C18" i="32"/>
  <c r="F53" i="32"/>
  <c r="D32" i="38"/>
  <c r="E32" i="38"/>
  <c r="D29" i="32"/>
  <c r="E53" i="32" s="1"/>
  <c r="K5" i="14"/>
  <c r="O5" i="14"/>
  <c r="F3" i="32" l="1"/>
  <c r="D3" i="20" s="1"/>
  <c r="J4" i="20"/>
  <c r="C17" i="32"/>
  <c r="N5" i="14"/>
  <c r="L4" i="33"/>
  <c r="M12" i="14"/>
  <c r="I4" i="20"/>
  <c r="L4" i="20"/>
  <c r="F2" i="32" l="1"/>
  <c r="D2" i="20" s="1"/>
  <c r="F5" i="32"/>
  <c r="D5" i="20" s="1"/>
  <c r="J3" i="20"/>
  <c r="K3" i="20" s="1"/>
  <c r="J5" i="20"/>
  <c r="K5" i="20" s="1"/>
  <c r="O12" i="14"/>
  <c r="L11" i="33" s="1"/>
  <c r="N12" i="14"/>
  <c r="K11" i="33" s="1"/>
  <c r="I9" i="33"/>
  <c r="I10" i="33" s="1"/>
  <c r="L9" i="33"/>
  <c r="L10" i="33" s="1"/>
  <c r="K4" i="33"/>
  <c r="J13" i="20"/>
  <c r="M15" i="14"/>
  <c r="J11" i="33"/>
  <c r="K4" i="20"/>
  <c r="K12" i="14"/>
  <c r="J2" i="20" l="1"/>
  <c r="K2" i="20" s="1"/>
  <c r="L10" i="20"/>
  <c r="L12" i="20" s="1"/>
  <c r="J9" i="33"/>
  <c r="J10" i="33" s="1"/>
  <c r="O15" i="14"/>
  <c r="L13" i="20"/>
  <c r="K9" i="33"/>
  <c r="K14" i="33" s="1"/>
  <c r="K15" i="14"/>
  <c r="I13" i="20"/>
  <c r="I11" i="33"/>
  <c r="I12" i="33" s="1"/>
  <c r="I13" i="33" s="1"/>
  <c r="Q12" i="14"/>
  <c r="Q15" i="14" s="1"/>
  <c r="P12" i="14"/>
  <c r="P15" i="14" s="1"/>
  <c r="K13" i="20"/>
  <c r="N15" i="14"/>
  <c r="L12" i="33"/>
  <c r="L13" i="33" s="1"/>
  <c r="K10" i="20" l="1"/>
  <c r="K16" i="20" s="1"/>
  <c r="J10" i="20"/>
  <c r="J12" i="20" s="1"/>
  <c r="L14" i="20"/>
  <c r="L15" i="20" s="1"/>
  <c r="I10" i="20"/>
  <c r="I12" i="20" s="1"/>
  <c r="J12" i="33"/>
  <c r="J13" i="33" s="1"/>
  <c r="K10" i="33"/>
  <c r="M9" i="33"/>
  <c r="M10" i="33" s="1"/>
  <c r="N9" i="33"/>
  <c r="N10" i="33" s="1"/>
  <c r="N13" i="20"/>
  <c r="M13" i="20"/>
  <c r="N11" i="33"/>
  <c r="K12" i="33"/>
  <c r="M11" i="33"/>
  <c r="K14" i="20" l="1"/>
  <c r="K15" i="20" s="1"/>
  <c r="M10" i="20"/>
  <c r="M12" i="20" s="1"/>
  <c r="N10" i="20"/>
  <c r="N12" i="20" s="1"/>
  <c r="K12" i="20"/>
  <c r="J14" i="20"/>
  <c r="J15" i="20" s="1"/>
  <c r="I14" i="20"/>
  <c r="I15" i="20" s="1"/>
  <c r="N12" i="33"/>
  <c r="N13" i="33" s="1"/>
  <c r="K13" i="33"/>
  <c r="M12" i="33"/>
  <c r="M13" i="33" s="1"/>
  <c r="N14" i="20" l="1"/>
  <c r="N15" i="20" s="1"/>
  <c r="M14" i="20"/>
  <c r="M15" i="20" s="1"/>
</calcChain>
</file>

<file path=xl/sharedStrings.xml><?xml version="1.0" encoding="utf-8"?>
<sst xmlns="http://schemas.openxmlformats.org/spreadsheetml/2006/main" count="350" uniqueCount="176">
  <si>
    <t>not applicable</t>
  </si>
  <si>
    <t>Size of target group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</si>
  <si>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</si>
  <si>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</si>
  <si>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</si>
  <si>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</si>
  <si>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</si>
  <si>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</si>
  <si>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</si>
  <si>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</si>
  <si>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</si>
  <si>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</si>
  <si>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</si>
  <si>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</si>
  <si>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</si>
  <si>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100+</t>
  </si>
  <si>
    <t>Target group</t>
  </si>
  <si>
    <t>Disease</t>
  </si>
  <si>
    <t>Number of people</t>
  </si>
  <si>
    <t>Incidence rate</t>
  </si>
  <si>
    <t>Mortality 
rate</t>
  </si>
  <si>
    <t>Disability weight</t>
  </si>
  <si>
    <t>Duration / rest life</t>
  </si>
  <si>
    <t>Discount 
rate</t>
  </si>
  <si>
    <t>YLL</t>
  </si>
  <si>
    <t>YLD</t>
  </si>
  <si>
    <t>DALYs lost</t>
  </si>
  <si>
    <t>Deaths</t>
  </si>
  <si>
    <t>Size of age cohort in which onset occurs</t>
  </si>
  <si>
    <t xml:space="preserve">Disability weight </t>
  </si>
  <si>
    <t xml:space="preserve">Prevalence rate </t>
  </si>
  <si>
    <t xml:space="preserve">Incidence rate </t>
  </si>
  <si>
    <t>Contribution of deficiency</t>
  </si>
  <si>
    <t>Discount rate</t>
  </si>
  <si>
    <t>Mortality rate due to deficiency in target g.</t>
  </si>
  <si>
    <r>
      <t>Æ</t>
    </r>
    <r>
      <rPr>
        <b/>
        <sz val="10"/>
        <rFont val="Arial"/>
        <family val="2"/>
      </rPr>
      <t xml:space="preserve"> duration (years)</t>
    </r>
  </si>
  <si>
    <r>
      <t>Æ</t>
    </r>
    <r>
      <rPr>
        <b/>
        <sz val="10"/>
        <rFont val="Arial"/>
        <family val="2"/>
      </rPr>
      <t xml:space="preserve"> age of onset 
of disease (yrs)</t>
    </r>
  </si>
  <si>
    <t>not applicable (temp)</t>
  </si>
  <si>
    <t>Without scenario</t>
  </si>
  <si>
    <t>DALY = 
1,000 US$</t>
  </si>
  <si>
    <t>DALY = 
500 US$</t>
  </si>
  <si>
    <t xml:space="preserve">Blue figures indicate differences from status quo, i.e. from the "without scenario". </t>
  </si>
  <si>
    <t>Gain with improved crop</t>
  </si>
  <si>
    <t xml:space="preserve">infants </t>
  </si>
  <si>
    <t>Functional outcomes of ZD</t>
  </si>
  <si>
    <t>Mortality</t>
  </si>
  <si>
    <t>The other information entering the DALY-calculation – like the disability weights, the age of death or of onset of a disease, or the discount rate – is taken to be valid across developing countries and needs NOT to be replaced with own data. Of course some variation of the discount rate (0.001, 3, or 5 percent) or the value of one DALY (US$ 500 vs. US 1,000) is always possible.</t>
  </si>
  <si>
    <t>Ethiopia</t>
  </si>
  <si>
    <t>Results of calculations based on survey data*</t>
  </si>
  <si>
    <t>Infants</t>
  </si>
  <si>
    <t>CI</t>
  </si>
  <si>
    <t>Intake with biofortification</t>
  </si>
  <si>
    <t>BI</t>
  </si>
  <si>
    <t>RDA</t>
  </si>
  <si>
    <t>Efficacy</t>
  </si>
  <si>
    <t>E</t>
  </si>
  <si>
    <t>Technology coverage rate</t>
  </si>
  <si>
    <t>Reffs and comments/notes</t>
  </si>
  <si>
    <t>Target crop intake (g/day)</t>
  </si>
  <si>
    <t>Izn</t>
  </si>
  <si>
    <t>Efficacy (%)</t>
  </si>
  <si>
    <t>CZn (CI?)</t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</si>
  <si>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Times New Roman"/>
        <family val="1"/>
      </rPr>
      <t>Dalys = C6*E6*((1-EXP(-H6*G6))/H6)</t>
    </r>
  </si>
  <si>
    <r>
      <rPr>
        <sz val="7"/>
        <rFont val="Times New Roman"/>
        <family val="1"/>
      </rPr>
      <t xml:space="preserve"> </t>
    </r>
    <r>
      <rPr>
        <sz val="11"/>
        <rFont val="Times New Roman"/>
        <family val="1"/>
      </rPr>
      <t xml:space="preserve">Population x  incidence x disability weight (1 – exp (discount*duration </t>
    </r>
    <r>
      <rPr>
        <i/>
        <sz val="11"/>
        <rFont val="Times New Roman"/>
        <family val="1"/>
      </rPr>
      <t xml:space="preserve">l) </t>
    </r>
  </si>
  <si>
    <t>DALYs = population x mortality rate (1-exp(-(duration rest of life time)*discount</t>
  </si>
  <si>
    <t>Coeff</t>
  </si>
  <si>
    <t>80-84</t>
  </si>
  <si>
    <t>85-89</t>
  </si>
  <si>
    <t>90-94</t>
  </si>
  <si>
    <t>Indicator</t>
  </si>
  <si>
    <t>Age Group</t>
  </si>
  <si>
    <t>ex - expectation of life at age x</t>
  </si>
  <si>
    <t>Source</t>
  </si>
  <si>
    <t>Note</t>
  </si>
  <si>
    <t xml:space="preserve">All DALY calculation does is multiply the population at risk with a coefficient, based on </t>
  </si>
  <si>
    <t>- mortality rate or incidence</t>
  </si>
  <si>
    <t>- duration rest of life, or duration of disease</t>
  </si>
  <si>
    <t>- discount</t>
  </si>
  <si>
    <t>If you know the target population in a place or grid cell, you mulitply by the coefficient</t>
  </si>
  <si>
    <t>General:</t>
  </si>
  <si>
    <t>&lt;1 year</t>
  </si>
  <si>
    <t>1-4 years</t>
  </si>
  <si>
    <t>5-9 years</t>
  </si>
  <si>
    <t>10-14 years</t>
  </si>
  <si>
    <t>15-19 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</si>
  <si>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</si>
  <si>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</si>
  <si>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</si>
  <si>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</si>
  <si>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</si>
  <si>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</si>
  <si>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</si>
  <si>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</si>
  <si>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</si>
  <si>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65-69 years</t>
  </si>
  <si>
    <t>70-74 years</t>
  </si>
  <si>
    <t>75-79 years</t>
  </si>
  <si>
    <t>80-84 years</t>
  </si>
  <si>
    <t>85+ years</t>
  </si>
  <si>
    <t>https://apps.who.int/gho/data/view.main.60550?lang=en</t>
  </si>
  <si>
    <t>WHO 2018; Mortality and global health estimate; Lifetables: Global Health Observatory data repository accessed on sep. 24 2020</t>
  </si>
  <si>
    <t>Both sexes</t>
  </si>
  <si>
    <t>Male</t>
  </si>
  <si>
    <t>Female</t>
  </si>
  <si>
    <t>Last updated: 2020-12-06</t>
  </si>
  <si>
    <t>0-4</t>
  </si>
  <si>
    <t>95-99</t>
  </si>
  <si>
    <t>based on WHO 2004 vitamin and mineral requirements, we took 8.3 (1-5 years), and average for infants.(6.6 and 8.4)</t>
  </si>
  <si>
    <t xml:space="preserve">The geonutrition grain data </t>
  </si>
  <si>
    <t>LSMS_2018</t>
  </si>
  <si>
    <t>new efficacy pessi</t>
  </si>
  <si>
    <t>Fertilizer response</t>
  </si>
  <si>
    <t>percent reduction</t>
  </si>
  <si>
    <t>UN population estimate as of 1 July 2022 (WPP, multiply by 1000)</t>
  </si>
  <si>
    <t>actual</t>
  </si>
  <si>
    <t>Age group in year</t>
  </si>
  <si>
    <t>Males</t>
  </si>
  <si>
    <t>Females</t>
  </si>
  <si>
    <t>PSA children (1-5)</t>
  </si>
  <si>
    <t>5-9</t>
  </si>
  <si>
    <t>SAC (6-12)</t>
  </si>
  <si>
    <t>10-14</t>
  </si>
  <si>
    <t>WRA</t>
  </si>
  <si>
    <t>Goiter</t>
  </si>
  <si>
    <t>PSA</t>
  </si>
  <si>
    <t>SAC</t>
  </si>
  <si>
    <t>Burden of Selenium deficiency for country</t>
  </si>
  <si>
    <t>Se bioavailability</t>
  </si>
  <si>
    <t>Current Se supply from all food sources (mg/day)</t>
  </si>
  <si>
    <t>Se deficit (mg/day)</t>
  </si>
  <si>
    <t>Improved Se supply (mg/day)</t>
  </si>
  <si>
    <r>
      <t>original Se level (</t>
    </r>
    <r>
      <rPr>
        <sz val="9"/>
        <color indexed="10"/>
        <rFont val="Calibri"/>
        <family val="2"/>
      </rPr>
      <t>µ</t>
    </r>
    <r>
      <rPr>
        <sz val="9"/>
        <color indexed="10"/>
        <rFont val="Times New Roman"/>
        <family val="1"/>
      </rPr>
      <t>g/g)</t>
    </r>
  </si>
  <si>
    <r>
      <t>new Se level (</t>
    </r>
    <r>
      <rPr>
        <sz val="9"/>
        <color indexed="10"/>
        <rFont val="Calibri"/>
        <family val="2"/>
      </rPr>
      <t>µ</t>
    </r>
    <r>
      <rPr>
        <sz val="9"/>
        <color indexed="10"/>
        <rFont val="Times New Roman"/>
        <family val="1"/>
      </rPr>
      <t>g/g)</t>
    </r>
  </si>
  <si>
    <r>
      <t>Se increase (</t>
    </r>
    <r>
      <rPr>
        <sz val="9"/>
        <color indexed="10"/>
        <rFont val="Calibri"/>
        <family val="2"/>
      </rPr>
      <t>µ</t>
    </r>
    <r>
      <rPr>
        <sz val="9"/>
        <color indexed="10"/>
        <rFont val="Times New Roman"/>
        <family val="1"/>
      </rPr>
      <t>g/g)</t>
    </r>
  </si>
  <si>
    <r>
      <t>RDA for Se (</t>
    </r>
    <r>
      <rPr>
        <sz val="9"/>
        <color indexed="10"/>
        <rFont val="Calibri"/>
        <family val="2"/>
      </rPr>
      <t>µ</t>
    </r>
    <r>
      <rPr>
        <sz val="9"/>
        <color indexed="10"/>
        <rFont val="Times New Roman"/>
        <family val="1"/>
      </rPr>
      <t>g/day)</t>
    </r>
  </si>
  <si>
    <t>Current intake of Se (mg/day)</t>
  </si>
  <si>
    <t>Bioavailability of Se (%)</t>
  </si>
  <si>
    <t>RDA for Se</t>
  </si>
  <si>
    <t>Assumption here is that the Se content of the crop is increased and adopted according to the pessimistic scenario.</t>
  </si>
  <si>
    <t>Current intake of Se</t>
  </si>
  <si>
    <t>original Se level (µg/gr)</t>
  </si>
  <si>
    <t>new Se level (µg/gr)</t>
  </si>
  <si>
    <t>Burden of Se deficiency with improved crop</t>
  </si>
  <si>
    <t>IOM</t>
  </si>
  <si>
    <r>
      <t>original Se level (</t>
    </r>
    <r>
      <rPr>
        <sz val="9"/>
        <color indexed="10"/>
        <rFont val="Calibri"/>
        <family val="2"/>
      </rPr>
      <t>µ</t>
    </r>
    <r>
      <rPr>
        <sz val="9"/>
        <color indexed="10"/>
        <rFont val="Times New Roman"/>
        <family val="1"/>
      </rPr>
      <t>g/gr)</t>
    </r>
  </si>
  <si>
    <r>
      <t>new Se level (</t>
    </r>
    <r>
      <rPr>
        <sz val="9"/>
        <color indexed="10"/>
        <rFont val="Calibri"/>
        <family val="2"/>
      </rPr>
      <t>µ</t>
    </r>
    <r>
      <rPr>
        <sz val="9"/>
        <color indexed="10"/>
        <rFont val="Times New Roman"/>
        <family val="1"/>
      </rPr>
      <t>g/gr)</t>
    </r>
  </si>
  <si>
    <r>
      <t>Se increase (</t>
    </r>
    <r>
      <rPr>
        <sz val="9"/>
        <color indexed="10"/>
        <rFont val="Calibri"/>
        <family val="2"/>
      </rPr>
      <t>µ</t>
    </r>
    <r>
      <rPr>
        <sz val="9"/>
        <color indexed="10"/>
        <rFont val="Times New Roman"/>
        <family val="1"/>
      </rPr>
      <t>g/gr)</t>
    </r>
  </si>
  <si>
    <t>GeoNutrition data</t>
  </si>
  <si>
    <t>Current Se supply from all food sources (µg/day)</t>
  </si>
  <si>
    <t>RDA for Se (µg/day)</t>
  </si>
  <si>
    <t>Se deficit (µg/day)</t>
  </si>
  <si>
    <t>Improved Se supply (µg/day)</t>
  </si>
  <si>
    <t>Se increase (µg/gr)</t>
  </si>
  <si>
    <t>Cogitive dysfunction</t>
  </si>
  <si>
    <t>Ros et al. 2016</t>
  </si>
  <si>
    <t>Anemia</t>
  </si>
  <si>
    <t>incidence_1</t>
  </si>
  <si>
    <t>Incidence_1</t>
  </si>
  <si>
    <t>Dose-response: efficacy ratio</t>
  </si>
  <si>
    <t>Ref</t>
  </si>
  <si>
    <t>Dose-response: efficacy ratio (optimistic scenario)</t>
  </si>
  <si>
    <t>This is a sample spreadsheet prepared for Selenium agronomic biofortificaion of Maize in Ethiopia using empirical evidence.</t>
  </si>
  <si>
    <t>Note:</t>
  </si>
  <si>
    <t>Reference</t>
  </si>
  <si>
    <t>This spreadsheet was based on  the previous spreadsheet prepared for "Health benefits of zinc biofortification - an Excel-file as basis for the analysis" by Alexander J. Stein contextualized for Selenium agronomic biofortification in Ethiopia. We strongly acknowledge the authors for their important contribution in this field.</t>
  </si>
  <si>
    <t>Alexander J. Stein, J.V. Meenakshi, Matin Qaim, Penelope Nestel, H.P.S. Sachdev and Zulfiqar A. Bhutta (2004); Health benefits of zinc biofortification - an Excel-file as basis for the analysis; from Analyzing health benefits of biofortified staple crops by means of the DALY approach – a handbook focusing on iron, zinc and vitamin A" Version 2004/11/02</t>
  </si>
  <si>
    <t>This is a sample spreadsheet prepared for Selenium agronomic biofortification of Maize in Ethiopia using empirical evidence.</t>
  </si>
  <si>
    <t xml:space="preserve">Efficacy of Se agronomic Biofortification </t>
  </si>
  <si>
    <t>Ethiopia 2022</t>
  </si>
  <si>
    <t>Discount rate recommended by WHO</t>
  </si>
  <si>
    <t xml:space="preserve">We are grateful for Alexander J. Stein and his colleges in having this spreadsheet for cost-effectiveness analysis. </t>
  </si>
  <si>
    <t>We are grateful for Alexander J. Stein and his colleges in having this spreadsheet for cost-effectiveness analysis</t>
  </si>
  <si>
    <r>
      <t xml:space="preserve">Supplementary File 2. </t>
    </r>
    <r>
      <rPr>
        <sz val="14"/>
        <rFont val="Arial"/>
        <family val="2"/>
      </rPr>
      <t>Costeffectiveness analysis spreadsheet for Selenium agronomic biofortification of staple crops (in this case for maize) in Ethiopia based on Stein's format</t>
    </r>
  </si>
  <si>
    <t>new ctual</t>
  </si>
  <si>
    <t>Burden of Selenium deficiency with improved crop</t>
  </si>
  <si>
    <t>Burden of selenium deficiency with improved crop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</si>
</sst>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.00_-;\-* #,##0.00_-;_-* &quot;-&quot;??_-;_-@_-"/>
    <numFmt numFmtId="165" formatCode="0.000"/>
    <numFmt numFmtId="166" formatCode="0.0"/>
    <numFmt numFmtId="167" formatCode="0.00000"/>
    <numFmt numFmtId="168" formatCode="#,##0.000"/>
    <numFmt numFmtId="169" formatCode="0.0000"/>
    <numFmt numFmtId="170" formatCode="0.000000"/>
    <numFmt numFmtId="171" formatCode="#,##0.0000"/>
    <numFmt numFmtId="172" formatCode="[$$-409]#,##0"/>
    <numFmt numFmtId="173" formatCode="&quot;$ &quot;#,##0&quot; m&quot;"/>
    <numFmt numFmtId="174" formatCode="#,##0.0&quot; m&quot;"/>
    <numFmt numFmtId="175" formatCode="&quot;$ &quot;#,##0.0&quot; billion&quot;"/>
    <numFmt numFmtId="176" formatCode="0.0%"/>
    <numFmt numFmtId="177" formatCode="#,##0.000&quot; m&quot;"/>
    <numFmt numFmtId="178" formatCode="0.000000000000"/>
    <numFmt numFmtId="179" formatCode="_-* #,##0.0000_-;\-* #,##0.0000_-;_-* &quot;-&quot;??_-;_-@_-"/>
    <numFmt numFmtId="180" formatCode="#,##0.00000"/>
    <numFmt numFmtId="181" formatCode="#,##0.0000000"/>
    <numFmt numFmtId="182" formatCode="#,##0.00000000"/>
    <numFmt numFmtId="183" formatCode="#,##0.00000000000000000000000000000"/>
    <numFmt numFmtId="184" formatCode="#\ ###\ ###\ ##0;\-#\ ###\ ###\ ##0;0"/>
  </numFmts>
  <fonts count="4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u/>
      <sz val="10"/>
      <color indexed="12"/>
      <name val="Arial"/>
      <family val="2"/>
    </font>
    <font>
      <sz val="10"/>
      <color indexed="17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23"/>
      <name val="Arial"/>
      <family val="2"/>
    </font>
    <font>
      <b/>
      <sz val="10"/>
      <name val="Symbol"/>
      <family val="1"/>
      <charset val="2"/>
    </font>
    <font>
      <sz val="10"/>
      <color indexed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color indexed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sz val="11"/>
      <name val="Times New Roman"/>
      <family val="1"/>
    </font>
    <font>
      <sz val="7"/>
      <name val="Times New Roman"/>
      <family val="1"/>
    </font>
    <font>
      <i/>
      <sz val="11"/>
      <name val="Times New Roman"/>
      <family val="1"/>
    </font>
    <font>
      <sz val="10"/>
      <color rgb="FF00B050"/>
      <name val="Arial"/>
      <family val="2"/>
    </font>
    <font>
      <sz val="10"/>
      <color rgb="FF0070C0"/>
      <name val="Arial"/>
      <family val="2"/>
    </font>
    <font>
      <sz val="9"/>
      <color rgb="FF1E1E1E"/>
      <name val="Arial"/>
      <family val="2"/>
    </font>
    <font>
      <sz val="12"/>
      <name val="Arial"/>
      <family val="2"/>
    </font>
    <font>
      <sz val="10"/>
      <name val="Arial"/>
      <family val="1"/>
    </font>
    <font>
      <sz val="11"/>
      <color rgb="FF7030A0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0"/>
      <color rgb="FF00B0F0"/>
      <name val="Arial"/>
      <family val="2"/>
    </font>
    <font>
      <sz val="9"/>
      <color indexed="10"/>
      <name val="Calibri"/>
      <family val="2"/>
    </font>
    <font>
      <b/>
      <u/>
      <sz val="10"/>
      <name val="Arial"/>
      <family val="2"/>
    </font>
    <font>
      <i/>
      <sz val="12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0"/>
      <color rgb="FFFF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18"/>
      </top>
      <bottom/>
      <diagonal/>
    </border>
    <border>
      <left/>
      <right/>
      <top/>
      <bottom style="medium">
        <color indexed="1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38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7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 wrapText="1"/>
    </xf>
    <xf numFmtId="166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170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9" fillId="0" borderId="0" xfId="0" quotePrefix="1" applyNumberFormat="1" applyFont="1" applyAlignment="1">
      <alignment vertical="center"/>
    </xf>
    <xf numFmtId="169" fontId="0" fillId="0" borderId="0" xfId="0" applyNumberFormat="1" applyAlignment="1">
      <alignment vertical="center"/>
    </xf>
    <xf numFmtId="2" fontId="2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2" fontId="9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70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172" fontId="9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center"/>
    </xf>
    <xf numFmtId="172" fontId="3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center"/>
    </xf>
    <xf numFmtId="172" fontId="7" fillId="0" borderId="0" xfId="0" applyNumberFormat="1" applyFont="1" applyAlignment="1">
      <alignment vertical="center"/>
    </xf>
    <xf numFmtId="173" fontId="5" fillId="0" borderId="0" xfId="0" applyNumberFormat="1" applyFont="1" applyAlignment="1">
      <alignment vertical="center"/>
    </xf>
    <xf numFmtId="174" fontId="2" fillId="0" borderId="0" xfId="0" applyNumberFormat="1" applyFont="1" applyAlignment="1">
      <alignment vertical="center"/>
    </xf>
    <xf numFmtId="175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5" fontId="7" fillId="0" borderId="4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168" fontId="0" fillId="0" borderId="0" xfId="0" applyNumberFormat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9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66" fontId="13" fillId="2" borderId="9" xfId="0" applyNumberFormat="1" applyFont="1" applyFill="1" applyBorder="1" applyAlignment="1">
      <alignment horizontal="center" vertical="center" wrapText="1"/>
    </xf>
    <xf numFmtId="167" fontId="2" fillId="2" borderId="9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horizontal="center" vertical="center" wrapText="1"/>
    </xf>
    <xf numFmtId="170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9" fontId="14" fillId="3" borderId="9" xfId="0" applyNumberFormat="1" applyFont="1" applyFill="1" applyBorder="1" applyAlignment="1">
      <alignment vertical="center"/>
    </xf>
    <xf numFmtId="170" fontId="0" fillId="3" borderId="9" xfId="0" applyNumberFormat="1" applyFill="1" applyBorder="1" applyAlignment="1">
      <alignment vertical="center"/>
    </xf>
    <xf numFmtId="165" fontId="0" fillId="3" borderId="9" xfId="0" applyNumberFormat="1" applyFill="1" applyBorder="1" applyAlignment="1">
      <alignment vertical="center"/>
    </xf>
    <xf numFmtId="169" fontId="0" fillId="3" borderId="9" xfId="0" applyNumberFormat="1" applyFill="1" applyBorder="1" applyAlignment="1">
      <alignment vertical="center"/>
    </xf>
    <xf numFmtId="2" fontId="0" fillId="3" borderId="9" xfId="0" applyNumberFormat="1" applyFill="1" applyBorder="1" applyAlignment="1">
      <alignment vertical="center"/>
    </xf>
    <xf numFmtId="3" fontId="0" fillId="3" borderId="9" xfId="0" applyNumberFormat="1" applyFill="1" applyBorder="1" applyAlignment="1">
      <alignment vertical="center"/>
    </xf>
    <xf numFmtId="3" fontId="0" fillId="3" borderId="0" xfId="0" applyNumberFormat="1" applyFill="1" applyAlignment="1">
      <alignment vertical="center"/>
    </xf>
    <xf numFmtId="170" fontId="0" fillId="3" borderId="0" xfId="0" applyNumberFormat="1" applyFill="1" applyAlignment="1">
      <alignment vertical="center"/>
    </xf>
    <xf numFmtId="170" fontId="14" fillId="3" borderId="0" xfId="0" applyNumberFormat="1" applyFont="1" applyFill="1" applyAlignment="1">
      <alignment vertical="center"/>
    </xf>
    <xf numFmtId="3" fontId="3" fillId="3" borderId="0" xfId="0" applyNumberFormat="1" applyFont="1" applyFill="1" applyAlignment="1">
      <alignment vertical="center"/>
    </xf>
    <xf numFmtId="170" fontId="14" fillId="3" borderId="10" xfId="0" applyNumberFormat="1" applyFont="1" applyFill="1" applyBorder="1" applyAlignment="1">
      <alignment vertical="center"/>
    </xf>
    <xf numFmtId="0" fontId="3" fillId="3" borderId="0" xfId="0" applyFont="1" applyFill="1" applyAlignment="1">
      <alignment horizontal="center" vertical="center"/>
    </xf>
    <xf numFmtId="165" fontId="11" fillId="3" borderId="0" xfId="0" applyNumberFormat="1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3" fontId="12" fillId="3" borderId="0" xfId="0" applyNumberFormat="1" applyFont="1" applyFill="1" applyAlignment="1">
      <alignment horizontal="center" vertical="center"/>
    </xf>
    <xf numFmtId="169" fontId="3" fillId="3" borderId="0" xfId="0" applyNumberFormat="1" applyFont="1" applyFill="1" applyAlignment="1">
      <alignment horizontal="center" vertical="center"/>
    </xf>
    <xf numFmtId="167" fontId="12" fillId="3" borderId="0" xfId="0" applyNumberFormat="1" applyFont="1" applyFill="1" applyAlignment="1">
      <alignment horizontal="center" vertical="center"/>
    </xf>
    <xf numFmtId="3" fontId="3" fillId="3" borderId="0" xfId="0" applyNumberFormat="1" applyFont="1" applyFill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3" fontId="12" fillId="3" borderId="10" xfId="0" applyNumberFormat="1" applyFont="1" applyFill="1" applyBorder="1" applyAlignment="1">
      <alignment horizontal="center" vertical="center"/>
    </xf>
    <xf numFmtId="167" fontId="12" fillId="3" borderId="10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165" fontId="12" fillId="3" borderId="14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166" fontId="3" fillId="3" borderId="14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3" fontId="0" fillId="3" borderId="1" xfId="0" applyNumberFormat="1" applyFill="1" applyBorder="1" applyAlignment="1">
      <alignment vertical="center"/>
    </xf>
    <xf numFmtId="170" fontId="0" fillId="3" borderId="1" xfId="0" applyNumberForma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 vertical="center" wrapText="1"/>
    </xf>
    <xf numFmtId="166" fontId="11" fillId="3" borderId="0" xfId="0" applyNumberFormat="1" applyFont="1" applyFill="1" applyAlignment="1">
      <alignment horizontal="center" vertical="center" wrapText="1"/>
    </xf>
    <xf numFmtId="165" fontId="11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3" fontId="3" fillId="3" borderId="0" xfId="0" applyNumberFormat="1" applyFont="1" applyFill="1" applyAlignment="1">
      <alignment horizontal="center" vertical="center" wrapText="1"/>
    </xf>
    <xf numFmtId="2" fontId="3" fillId="3" borderId="8" xfId="0" applyNumberFormat="1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167" fontId="12" fillId="3" borderId="10" xfId="0" applyNumberFormat="1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165" fontId="12" fillId="3" borderId="14" xfId="0" applyNumberFormat="1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3" fillId="3" borderId="14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center"/>
    </xf>
    <xf numFmtId="0" fontId="6" fillId="0" borderId="0" xfId="2" applyAlignment="1" applyProtection="1"/>
    <xf numFmtId="0" fontId="9" fillId="0" borderId="0" xfId="0" applyFont="1"/>
    <xf numFmtId="177" fontId="5" fillId="0" borderId="0" xfId="0" applyNumberFormat="1" applyFont="1" applyAlignment="1">
      <alignment vertical="center"/>
    </xf>
    <xf numFmtId="166" fontId="11" fillId="8" borderId="14" xfId="0" applyNumberFormat="1" applyFont="1" applyFill="1" applyBorder="1" applyAlignment="1">
      <alignment horizontal="center" vertical="center" wrapText="1"/>
    </xf>
    <xf numFmtId="171" fontId="0" fillId="0" borderId="0" xfId="0" applyNumberFormat="1" applyAlignment="1">
      <alignment vertical="center"/>
    </xf>
    <xf numFmtId="2" fontId="2" fillId="0" borderId="0" xfId="0" applyNumberFormat="1" applyFont="1" applyAlignment="1">
      <alignment vertical="center"/>
    </xf>
    <xf numFmtId="170" fontId="17" fillId="0" borderId="0" xfId="0" applyNumberFormat="1" applyFont="1" applyAlignment="1">
      <alignment vertical="center"/>
    </xf>
    <xf numFmtId="1" fontId="0" fillId="0" borderId="0" xfId="0" applyNumberFormat="1" applyAlignment="1">
      <alignment vertical="center"/>
    </xf>
    <xf numFmtId="170" fontId="18" fillId="0" borderId="0" xfId="0" applyNumberFormat="1" applyFont="1" applyAlignment="1">
      <alignment vertical="center"/>
    </xf>
    <xf numFmtId="0" fontId="19" fillId="10" borderId="19" xfId="0" applyFont="1" applyFill="1" applyBorder="1" applyAlignment="1">
      <alignment horizontal="left" vertical="center"/>
    </xf>
    <xf numFmtId="165" fontId="20" fillId="9" borderId="19" xfId="0" applyNumberFormat="1" applyFont="1" applyFill="1" applyBorder="1" applyAlignment="1" applyProtection="1">
      <alignment horizontal="center"/>
      <protection locked="0"/>
    </xf>
    <xf numFmtId="165" fontId="20" fillId="11" borderId="19" xfId="0" applyNumberFormat="1" applyFont="1" applyFill="1" applyBorder="1" applyAlignment="1" applyProtection="1">
      <alignment horizontal="center"/>
      <protection locked="0"/>
    </xf>
    <xf numFmtId="0" fontId="21" fillId="10" borderId="20" xfId="0" applyFont="1" applyFill="1" applyBorder="1" applyAlignment="1">
      <alignment horizontal="left" vertical="center"/>
    </xf>
    <xf numFmtId="176" fontId="20" fillId="7" borderId="20" xfId="3" applyNumberFormat="1" applyFont="1" applyFill="1" applyBorder="1" applyAlignment="1" applyProtection="1">
      <alignment horizontal="center"/>
      <protection locked="0"/>
    </xf>
    <xf numFmtId="0" fontId="21" fillId="10" borderId="21" xfId="0" applyFont="1" applyFill="1" applyBorder="1" applyAlignment="1">
      <alignment horizontal="left" vertical="center"/>
    </xf>
    <xf numFmtId="176" fontId="20" fillId="7" borderId="21" xfId="3" applyNumberFormat="1" applyFont="1" applyFill="1" applyBorder="1" applyAlignment="1" applyProtection="1">
      <alignment horizontal="center"/>
      <protection locked="0"/>
    </xf>
    <xf numFmtId="0" fontId="21" fillId="10" borderId="22" xfId="0" applyFont="1" applyFill="1" applyBorder="1" applyAlignment="1">
      <alignment horizontal="center" vertical="center"/>
    </xf>
    <xf numFmtId="0" fontId="0" fillId="10" borderId="23" xfId="0" applyFill="1" applyBorder="1"/>
    <xf numFmtId="0" fontId="20" fillId="10" borderId="23" xfId="0" applyFont="1" applyFill="1" applyBorder="1" applyAlignment="1">
      <alignment horizontal="center"/>
    </xf>
    <xf numFmtId="0" fontId="20" fillId="10" borderId="24" xfId="0" applyFont="1" applyFill="1" applyBorder="1" applyAlignment="1">
      <alignment horizontal="center"/>
    </xf>
    <xf numFmtId="0" fontId="21" fillId="10" borderId="25" xfId="0" applyFont="1" applyFill="1" applyBorder="1" applyAlignment="1">
      <alignment horizontal="center" vertical="center"/>
    </xf>
    <xf numFmtId="0" fontId="0" fillId="10" borderId="26" xfId="0" applyFill="1" applyBorder="1"/>
    <xf numFmtId="0" fontId="20" fillId="10" borderId="26" xfId="0" applyFont="1" applyFill="1" applyBorder="1" applyAlignment="1">
      <alignment horizontal="center"/>
    </xf>
    <xf numFmtId="0" fontId="20" fillId="10" borderId="27" xfId="0" applyFont="1" applyFill="1" applyBorder="1" applyAlignment="1">
      <alignment horizontal="center"/>
    </xf>
    <xf numFmtId="0" fontId="21" fillId="10" borderId="22" xfId="0" applyFont="1" applyFill="1" applyBorder="1" applyAlignment="1">
      <alignment horizontal="left" vertical="center"/>
    </xf>
    <xf numFmtId="0" fontId="20" fillId="12" borderId="28" xfId="0" applyFont="1" applyFill="1" applyBorder="1" applyAlignment="1" applyProtection="1">
      <alignment horizontal="center" wrapText="1"/>
      <protection locked="0"/>
    </xf>
    <xf numFmtId="0" fontId="19" fillId="10" borderId="29" xfId="0" applyFont="1" applyFill="1" applyBorder="1" applyAlignment="1">
      <alignment horizontal="left" vertical="center"/>
    </xf>
    <xf numFmtId="0" fontId="0" fillId="10" borderId="0" xfId="0" applyFill="1"/>
    <xf numFmtId="0" fontId="22" fillId="10" borderId="30" xfId="0" applyFont="1" applyFill="1" applyBorder="1" applyAlignment="1">
      <alignment horizontal="center"/>
    </xf>
    <xf numFmtId="166" fontId="20" fillId="9" borderId="28" xfId="0" applyNumberFormat="1" applyFont="1" applyFill="1" applyBorder="1" applyAlignment="1" applyProtection="1">
      <alignment horizontal="center" wrapText="1"/>
      <protection locked="0"/>
    </xf>
    <xf numFmtId="0" fontId="19" fillId="10" borderId="25" xfId="0" applyFont="1" applyFill="1" applyBorder="1" applyAlignment="1">
      <alignment horizontal="left" vertical="center"/>
    </xf>
    <xf numFmtId="0" fontId="20" fillId="10" borderId="31" xfId="0" applyFont="1" applyFill="1" applyBorder="1" applyAlignment="1">
      <alignment horizontal="center" wrapText="1"/>
    </xf>
    <xf numFmtId="0" fontId="20" fillId="10" borderId="28" xfId="0" applyFont="1" applyFill="1" applyBorder="1" applyAlignment="1">
      <alignment horizontal="center" wrapText="1"/>
    </xf>
    <xf numFmtId="0" fontId="21" fillId="10" borderId="29" xfId="0" applyFont="1" applyFill="1" applyBorder="1" applyAlignment="1">
      <alignment horizontal="left" vertical="center"/>
    </xf>
    <xf numFmtId="0" fontId="20" fillId="10" borderId="30" xfId="0" applyFont="1" applyFill="1" applyBorder="1" applyAlignment="1">
      <alignment horizontal="center"/>
    </xf>
    <xf numFmtId="2" fontId="20" fillId="10" borderId="28" xfId="0" applyNumberFormat="1" applyFont="1" applyFill="1" applyBorder="1" applyAlignment="1">
      <alignment horizontal="center" wrapText="1"/>
    </xf>
    <xf numFmtId="0" fontId="21" fillId="10" borderId="25" xfId="0" applyFont="1" applyFill="1" applyBorder="1" applyAlignment="1">
      <alignment horizontal="left" vertical="center"/>
    </xf>
    <xf numFmtId="178" fontId="2" fillId="0" borderId="0" xfId="0" applyNumberFormat="1" applyFont="1" applyAlignment="1">
      <alignment vertical="center"/>
    </xf>
    <xf numFmtId="3" fontId="20" fillId="12" borderId="28" xfId="0" applyNumberFormat="1" applyFont="1" applyFill="1" applyBorder="1" applyAlignment="1" applyProtection="1">
      <alignment horizontal="center" wrapText="1"/>
      <protection locked="0"/>
    </xf>
    <xf numFmtId="2" fontId="20" fillId="9" borderId="28" xfId="0" applyNumberFormat="1" applyFont="1" applyFill="1" applyBorder="1" applyAlignment="1" applyProtection="1">
      <alignment horizontal="center" wrapText="1"/>
      <protection locked="0"/>
    </xf>
    <xf numFmtId="166" fontId="3" fillId="0" borderId="0" xfId="0" applyNumberFormat="1" applyFont="1" applyAlignment="1">
      <alignment horizontal="left" vertical="center"/>
    </xf>
    <xf numFmtId="165" fontId="20" fillId="10" borderId="28" xfId="0" applyNumberFormat="1" applyFont="1" applyFill="1" applyBorder="1" applyAlignment="1">
      <alignment horizontal="center" wrapText="1"/>
    </xf>
    <xf numFmtId="0" fontId="23" fillId="0" borderId="0" xfId="0" applyFont="1"/>
    <xf numFmtId="168" fontId="3" fillId="3" borderId="9" xfId="0" quotePrefix="1" applyNumberFormat="1" applyFont="1" applyFill="1" applyBorder="1" applyAlignment="1">
      <alignment vertical="center"/>
    </xf>
    <xf numFmtId="181" fontId="3" fillId="3" borderId="9" xfId="0" quotePrefix="1" applyNumberFormat="1" applyFont="1" applyFill="1" applyBorder="1" applyAlignment="1">
      <alignment vertical="center"/>
    </xf>
    <xf numFmtId="182" fontId="3" fillId="3" borderId="9" xfId="0" quotePrefix="1" applyNumberFormat="1" applyFont="1" applyFill="1" applyBorder="1" applyAlignment="1">
      <alignment vertical="center"/>
    </xf>
    <xf numFmtId="183" fontId="3" fillId="3" borderId="9" xfId="0" quotePrefix="1" applyNumberFormat="1" applyFont="1" applyFill="1" applyBorder="1" applyAlignment="1">
      <alignment vertical="center"/>
    </xf>
    <xf numFmtId="180" fontId="3" fillId="0" borderId="0" xfId="0" applyNumberFormat="1" applyFont="1" applyAlignment="1">
      <alignment vertical="center"/>
    </xf>
    <xf numFmtId="164" fontId="0" fillId="0" borderId="0" xfId="1" applyFont="1"/>
    <xf numFmtId="179" fontId="0" fillId="0" borderId="0" xfId="1" applyNumberFormat="1" applyFont="1"/>
    <xf numFmtId="178" fontId="2" fillId="0" borderId="0" xfId="0" quotePrefix="1" applyNumberFormat="1" applyFont="1" applyAlignment="1">
      <alignment vertical="center"/>
    </xf>
    <xf numFmtId="0" fontId="1" fillId="0" borderId="0" xfId="0" applyFont="1"/>
    <xf numFmtId="170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177" fontId="2" fillId="0" borderId="0" xfId="0" applyNumberFormat="1" applyFont="1" applyAlignment="1">
      <alignment vertical="center"/>
    </xf>
    <xf numFmtId="3" fontId="1" fillId="3" borderId="9" xfId="0" quotePrefix="1" applyNumberFormat="1" applyFont="1" applyFill="1" applyBorder="1" applyAlignment="1">
      <alignment vertical="center"/>
    </xf>
    <xf numFmtId="0" fontId="17" fillId="0" borderId="0" xfId="0" applyFont="1"/>
    <xf numFmtId="0" fontId="1" fillId="0" borderId="2" xfId="0" applyFont="1" applyBorder="1"/>
    <xf numFmtId="165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12" xfId="0" applyFont="1" applyFill="1" applyBorder="1" applyAlignment="1">
      <alignment horizontal="left" vertical="center" wrapText="1"/>
    </xf>
    <xf numFmtId="165" fontId="2" fillId="0" borderId="0" xfId="0" applyNumberFormat="1" applyFont="1" applyAlignment="1">
      <alignment horizontal="center" vertical="center" wrapText="1"/>
    </xf>
    <xf numFmtId="0" fontId="26" fillId="0" borderId="0" xfId="0" applyFont="1"/>
    <xf numFmtId="0" fontId="28" fillId="0" borderId="0" xfId="0" applyFont="1"/>
    <xf numFmtId="3" fontId="3" fillId="14" borderId="0" xfId="0" applyNumberFormat="1" applyFont="1" applyFill="1" applyAlignment="1">
      <alignment vertical="center"/>
    </xf>
    <xf numFmtId="0" fontId="29" fillId="0" borderId="0" xfId="0" applyFont="1"/>
    <xf numFmtId="0" fontId="30" fillId="0" borderId="0" xfId="0" applyFont="1"/>
    <xf numFmtId="165" fontId="2" fillId="0" borderId="0" xfId="0" quotePrefix="1" applyNumberFormat="1" applyFont="1" applyAlignment="1">
      <alignment vertical="center"/>
    </xf>
    <xf numFmtId="169" fontId="20" fillId="10" borderId="28" xfId="0" applyNumberFormat="1" applyFont="1" applyFill="1" applyBorder="1" applyAlignment="1">
      <alignment horizontal="center" wrapText="1"/>
    </xf>
    <xf numFmtId="169" fontId="31" fillId="10" borderId="33" xfId="0" applyNumberFormat="1" applyFont="1" applyFill="1" applyBorder="1" applyAlignment="1">
      <alignment horizontal="center" wrapText="1"/>
    </xf>
    <xf numFmtId="169" fontId="31" fillId="10" borderId="34" xfId="0" applyNumberFormat="1" applyFont="1" applyFill="1" applyBorder="1" applyAlignment="1">
      <alignment horizontal="center" wrapText="1"/>
    </xf>
    <xf numFmtId="166" fontId="20" fillId="12" borderId="28" xfId="0" applyNumberFormat="1" applyFont="1" applyFill="1" applyBorder="1" applyAlignment="1" applyProtection="1">
      <alignment horizontal="center" wrapText="1"/>
      <protection locked="0"/>
    </xf>
    <xf numFmtId="169" fontId="7" fillId="0" borderId="6" xfId="0" applyNumberFormat="1" applyFont="1" applyBorder="1" applyAlignment="1">
      <alignment horizontal="center" vertical="center"/>
    </xf>
    <xf numFmtId="169" fontId="7" fillId="0" borderId="8" xfId="0" applyNumberFormat="1" applyFont="1" applyBorder="1" applyAlignment="1">
      <alignment horizontal="center" vertical="center"/>
    </xf>
    <xf numFmtId="170" fontId="3" fillId="14" borderId="0" xfId="0" applyNumberFormat="1" applyFont="1" applyFill="1" applyAlignment="1">
      <alignment vertical="center"/>
    </xf>
    <xf numFmtId="165" fontId="0" fillId="14" borderId="9" xfId="0" applyNumberFormat="1" applyFill="1" applyBorder="1" applyAlignment="1">
      <alignment vertical="center"/>
    </xf>
    <xf numFmtId="169" fontId="20" fillId="9" borderId="19" xfId="0" applyNumberFormat="1" applyFont="1" applyFill="1" applyBorder="1" applyAlignment="1" applyProtection="1">
      <alignment horizontal="center"/>
      <protection locked="0"/>
    </xf>
    <xf numFmtId="9" fontId="0" fillId="15" borderId="0" xfId="0" applyNumberFormat="1" applyFill="1"/>
    <xf numFmtId="9" fontId="0" fillId="15" borderId="0" xfId="3" applyFont="1" applyFill="1" applyAlignment="1">
      <alignment vertical="center"/>
    </xf>
    <xf numFmtId="169" fontId="2" fillId="13" borderId="0" xfId="0" applyNumberFormat="1" applyFont="1" applyFill="1" applyAlignment="1">
      <alignment vertical="center"/>
    </xf>
    <xf numFmtId="169" fontId="2" fillId="13" borderId="0" xfId="0" quotePrefix="1" applyNumberFormat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0" fontId="2" fillId="4" borderId="5" xfId="0" applyFont="1" applyFill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0" fontId="2" fillId="14" borderId="0" xfId="0" applyFont="1" applyFill="1" applyAlignment="1">
      <alignment horizontal="center" vertical="center" wrapText="1"/>
    </xf>
    <xf numFmtId="0" fontId="3" fillId="14" borderId="0" xfId="0" applyFont="1" applyFill="1" applyAlignment="1">
      <alignment horizontal="center" vertical="center" wrapText="1"/>
    </xf>
    <xf numFmtId="0" fontId="1" fillId="14" borderId="0" xfId="0" applyFont="1" applyFill="1" applyAlignment="1">
      <alignment horizontal="center" vertical="center" wrapText="1"/>
    </xf>
    <xf numFmtId="2" fontId="1" fillId="14" borderId="0" xfId="3" applyNumberFormat="1" applyFont="1" applyFill="1" applyAlignment="1">
      <alignment horizontal="center" vertical="center" wrapText="1"/>
    </xf>
    <xf numFmtId="0" fontId="1" fillId="14" borderId="0" xfId="0" quotePrefix="1" applyFont="1" applyFill="1" applyAlignment="1">
      <alignment horizontal="center" vertical="center" wrapText="1"/>
    </xf>
    <xf numFmtId="0" fontId="1" fillId="4" borderId="8" xfId="0" applyFont="1" applyFill="1" applyBorder="1" applyAlignment="1">
      <alignment horizontal="left" vertical="center" wrapText="1"/>
    </xf>
    <xf numFmtId="165" fontId="0" fillId="3" borderId="0" xfId="0" applyNumberFormat="1" applyFill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7" fontId="11" fillId="14" borderId="0" xfId="0" applyNumberFormat="1" applyFont="1" applyFill="1" applyAlignment="1">
      <alignment horizontal="center" vertical="center" wrapText="1"/>
    </xf>
    <xf numFmtId="165" fontId="11" fillId="14" borderId="0" xfId="0" applyNumberFormat="1" applyFont="1" applyFill="1" applyAlignment="1">
      <alignment horizontal="center" vertical="center" wrapText="1"/>
    </xf>
    <xf numFmtId="0" fontId="34" fillId="14" borderId="0" xfId="0" applyFont="1" applyFill="1" applyAlignment="1">
      <alignment horizontal="center" vertical="center" wrapText="1"/>
    </xf>
    <xf numFmtId="10" fontId="27" fillId="14" borderId="0" xfId="0" applyNumberFormat="1" applyFont="1" applyFill="1" applyAlignment="1">
      <alignment horizontal="center" vertical="center" wrapText="1"/>
    </xf>
    <xf numFmtId="0" fontId="32" fillId="14" borderId="0" xfId="0" applyFont="1" applyFill="1" applyAlignment="1">
      <alignment horizontal="center" vertical="center" wrapText="1"/>
    </xf>
    <xf numFmtId="165" fontId="11" fillId="14" borderId="10" xfId="0" applyNumberFormat="1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10" fontId="27" fillId="14" borderId="10" xfId="0" applyNumberFormat="1" applyFont="1" applyFill="1" applyBorder="1" applyAlignment="1">
      <alignment horizontal="center" vertical="center" wrapText="1"/>
    </xf>
    <xf numFmtId="0" fontId="12" fillId="14" borderId="10" xfId="0" applyFont="1" applyFill="1" applyBorder="1" applyAlignment="1">
      <alignment horizontal="center" vertical="center" wrapText="1"/>
    </xf>
    <xf numFmtId="165" fontId="1" fillId="14" borderId="14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9" fontId="27" fillId="14" borderId="14" xfId="0" applyNumberFormat="1" applyFont="1" applyFill="1" applyBorder="1" applyAlignment="1">
      <alignment horizontal="center" vertical="center" wrapText="1"/>
    </xf>
    <xf numFmtId="0" fontId="12" fillId="14" borderId="14" xfId="0" applyFont="1" applyFill="1" applyBorder="1" applyAlignment="1">
      <alignment horizontal="center" vertical="center" wrapText="1"/>
    </xf>
    <xf numFmtId="165" fontId="1" fillId="14" borderId="10" xfId="0" applyNumberFormat="1" applyFont="1" applyFill="1" applyBorder="1" applyAlignment="1">
      <alignment horizontal="center" vertical="center" wrapText="1"/>
    </xf>
    <xf numFmtId="165" fontId="12" fillId="14" borderId="10" xfId="0" applyNumberFormat="1" applyFont="1" applyFill="1" applyBorder="1" applyAlignment="1">
      <alignment horizontal="center" vertical="center" wrapText="1"/>
    </xf>
    <xf numFmtId="0" fontId="11" fillId="14" borderId="10" xfId="0" applyFont="1" applyFill="1" applyBorder="1" applyAlignment="1">
      <alignment horizontal="center" vertical="center" wrapText="1"/>
    </xf>
    <xf numFmtId="181" fontId="3" fillId="3" borderId="0" xfId="0" quotePrefix="1" applyNumberFormat="1" applyFont="1" applyFill="1" applyAlignment="1">
      <alignment vertical="center"/>
    </xf>
    <xf numFmtId="0" fontId="1" fillId="10" borderId="23" xfId="0" applyFont="1" applyFill="1" applyBorder="1"/>
    <xf numFmtId="0" fontId="1" fillId="18" borderId="0" xfId="0" applyFont="1" applyFill="1"/>
    <xf numFmtId="0" fontId="0" fillId="18" borderId="0" xfId="0" applyFill="1"/>
    <xf numFmtId="0" fontId="20" fillId="12" borderId="29" xfId="0" applyFont="1" applyFill="1" applyBorder="1" applyAlignment="1" applyProtection="1">
      <alignment horizontal="center" wrapText="1"/>
      <protection locked="0"/>
    </xf>
    <xf numFmtId="166" fontId="20" fillId="9" borderId="29" xfId="0" applyNumberFormat="1" applyFont="1" applyFill="1" applyBorder="1" applyAlignment="1" applyProtection="1">
      <alignment horizontal="center" wrapText="1"/>
      <protection locked="0"/>
    </xf>
    <xf numFmtId="0" fontId="20" fillId="10" borderId="25" xfId="0" applyFont="1" applyFill="1" applyBorder="1" applyAlignment="1">
      <alignment horizontal="center" wrapText="1"/>
    </xf>
    <xf numFmtId="0" fontId="20" fillId="10" borderId="29" xfId="0" applyFont="1" applyFill="1" applyBorder="1" applyAlignment="1">
      <alignment horizontal="center" wrapText="1"/>
    </xf>
    <xf numFmtId="169" fontId="20" fillId="10" borderId="29" xfId="0" applyNumberFormat="1" applyFont="1" applyFill="1" applyBorder="1" applyAlignment="1">
      <alignment horizontal="center" wrapText="1"/>
    </xf>
    <xf numFmtId="169" fontId="31" fillId="10" borderId="35" xfId="0" applyNumberFormat="1" applyFont="1" applyFill="1" applyBorder="1" applyAlignment="1">
      <alignment horizontal="center" wrapText="1"/>
    </xf>
    <xf numFmtId="0" fontId="0" fillId="18" borderId="32" xfId="0" applyFill="1" applyBorder="1"/>
    <xf numFmtId="165" fontId="1" fillId="0" borderId="0" xfId="0" applyNumberFormat="1" applyFont="1" applyAlignment="1">
      <alignment horizontal="center" vertical="center"/>
    </xf>
    <xf numFmtId="9" fontId="0" fillId="0" borderId="0" xfId="3" applyFont="1" applyAlignment="1">
      <alignment vertical="center"/>
    </xf>
    <xf numFmtId="165" fontId="0" fillId="0" borderId="0" xfId="0" applyNumberFormat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  <xf numFmtId="165" fontId="3" fillId="14" borderId="0" xfId="0" applyNumberFormat="1" applyFont="1" applyFill="1" applyAlignment="1">
      <alignment horizontal="center" vertical="center"/>
    </xf>
    <xf numFmtId="0" fontId="3" fillId="14" borderId="0" xfId="0" applyFont="1" applyFill="1" applyAlignment="1">
      <alignment horizontal="center" vertical="center"/>
    </xf>
    <xf numFmtId="3" fontId="3" fillId="14" borderId="0" xfId="0" applyNumberFormat="1" applyFont="1" applyFill="1" applyAlignment="1">
      <alignment horizontal="center" vertical="center"/>
    </xf>
    <xf numFmtId="166" fontId="3" fillId="14" borderId="0" xfId="0" applyNumberFormat="1" applyFont="1" applyFill="1" applyAlignment="1">
      <alignment horizontal="center" vertical="center"/>
    </xf>
    <xf numFmtId="167" fontId="3" fillId="14" borderId="0" xfId="0" applyNumberFormat="1" applyFont="1" applyFill="1" applyAlignment="1">
      <alignment horizontal="center" vertical="center"/>
    </xf>
    <xf numFmtId="165" fontId="3" fillId="14" borderId="0" xfId="0" applyNumberFormat="1" applyFont="1" applyFill="1" applyAlignment="1">
      <alignment horizontal="left" vertical="center"/>
    </xf>
    <xf numFmtId="3" fontId="1" fillId="14" borderId="0" xfId="0" applyNumberFormat="1" applyFont="1" applyFill="1" applyAlignment="1">
      <alignment horizontal="left" vertical="center"/>
    </xf>
    <xf numFmtId="0" fontId="16" fillId="14" borderId="0" xfId="0" applyFont="1" applyFill="1" applyAlignment="1">
      <alignment horizontal="left" vertical="center"/>
    </xf>
    <xf numFmtId="169" fontId="7" fillId="0" borderId="7" xfId="0" applyNumberFormat="1" applyFon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3" fontId="2" fillId="14" borderId="1" xfId="0" applyNumberFormat="1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vertical="center"/>
    </xf>
    <xf numFmtId="3" fontId="0" fillId="14" borderId="0" xfId="0" applyNumberFormat="1" applyFill="1" applyAlignment="1">
      <alignment vertical="center"/>
    </xf>
    <xf numFmtId="166" fontId="0" fillId="14" borderId="0" xfId="0" applyNumberFormat="1" applyFill="1" applyAlignment="1">
      <alignment vertical="center"/>
    </xf>
    <xf numFmtId="0" fontId="0" fillId="14" borderId="0" xfId="0" applyFill="1" applyAlignment="1">
      <alignment vertical="center"/>
    </xf>
    <xf numFmtId="0" fontId="3" fillId="14" borderId="0" xfId="0" applyFont="1" applyFill="1" applyAlignment="1">
      <alignment vertical="center"/>
    </xf>
    <xf numFmtId="3" fontId="0" fillId="14" borderId="11" xfId="0" applyNumberFormat="1" applyFill="1" applyBorder="1" applyAlignment="1">
      <alignment vertical="center"/>
    </xf>
    <xf numFmtId="172" fontId="3" fillId="14" borderId="0" xfId="0" applyNumberFormat="1" applyFont="1" applyFill="1" applyAlignment="1">
      <alignment vertical="center"/>
    </xf>
    <xf numFmtId="175" fontId="2" fillId="14" borderId="0" xfId="0" applyNumberFormat="1" applyFont="1" applyFill="1" applyAlignment="1">
      <alignment vertical="center"/>
    </xf>
    <xf numFmtId="0" fontId="2" fillId="14" borderId="0" xfId="0" applyFont="1" applyFill="1" applyAlignment="1">
      <alignment vertical="center"/>
    </xf>
    <xf numFmtId="172" fontId="9" fillId="14" borderId="0" xfId="0" applyNumberFormat="1" applyFont="1" applyFill="1" applyAlignment="1">
      <alignment vertical="center"/>
    </xf>
    <xf numFmtId="2" fontId="1" fillId="0" borderId="0" xfId="0" applyNumberFormat="1" applyFont="1" applyAlignment="1">
      <alignment horizontal="center" vertical="center" wrapText="1"/>
    </xf>
    <xf numFmtId="3" fontId="0" fillId="3" borderId="0" xfId="0" applyNumberFormat="1" applyFill="1" applyAlignment="1">
      <alignment horizontal="right" vertical="center"/>
    </xf>
    <xf numFmtId="165" fontId="12" fillId="3" borderId="0" xfId="0" applyNumberFormat="1" applyFont="1" applyFill="1" applyAlignment="1">
      <alignment horizontal="center" vertical="center" wrapText="1"/>
    </xf>
    <xf numFmtId="0" fontId="2" fillId="14" borderId="3" xfId="0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left" vertical="center" wrapText="1"/>
    </xf>
    <xf numFmtId="165" fontId="3" fillId="14" borderId="0" xfId="0" applyNumberFormat="1" applyFont="1" applyFill="1" applyAlignment="1">
      <alignment horizontal="center" vertical="center" wrapText="1"/>
    </xf>
    <xf numFmtId="0" fontId="1" fillId="14" borderId="1" xfId="2" applyFont="1" applyFill="1" applyBorder="1" applyAlignment="1" applyProtection="1">
      <alignment horizontal="center" vertical="center" wrapText="1"/>
    </xf>
    <xf numFmtId="0" fontId="11" fillId="14" borderId="1" xfId="0" applyFont="1" applyFill="1" applyBorder="1" applyAlignment="1">
      <alignment horizontal="center" vertical="center" wrapText="1"/>
    </xf>
    <xf numFmtId="3" fontId="3" fillId="14" borderId="1" xfId="0" applyNumberFormat="1" applyFont="1" applyFill="1" applyBorder="1" applyAlignment="1">
      <alignment horizontal="center" vertical="center" wrapText="1"/>
    </xf>
    <xf numFmtId="166" fontId="11" fillId="14" borderId="1" xfId="0" applyNumberFormat="1" applyFont="1" applyFill="1" applyBorder="1" applyAlignment="1">
      <alignment horizontal="center" vertical="center" wrapText="1"/>
    </xf>
    <xf numFmtId="167" fontId="12" fillId="14" borderId="1" xfId="0" applyNumberFormat="1" applyFont="1" applyFill="1" applyBorder="1" applyAlignment="1">
      <alignment horizontal="center" vertical="center" wrapText="1"/>
    </xf>
    <xf numFmtId="2" fontId="3" fillId="14" borderId="8" xfId="0" applyNumberFormat="1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left" vertical="center" wrapText="1"/>
    </xf>
    <xf numFmtId="0" fontId="12" fillId="3" borderId="38" xfId="0" applyFont="1" applyFill="1" applyBorder="1" applyAlignment="1">
      <alignment horizontal="center" vertical="center"/>
    </xf>
    <xf numFmtId="165" fontId="12" fillId="3" borderId="38" xfId="0" applyNumberFormat="1" applyFont="1" applyFill="1" applyBorder="1" applyAlignment="1">
      <alignment horizontal="center" vertical="center"/>
    </xf>
    <xf numFmtId="166" fontId="3" fillId="14" borderId="39" xfId="0" applyNumberFormat="1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3" fillId="14" borderId="0" xfId="0" applyFont="1" applyFill="1" applyAlignment="1">
      <alignment horizontal="left" vertical="center"/>
    </xf>
    <xf numFmtId="0" fontId="3" fillId="14" borderId="1" xfId="0" applyFont="1" applyFill="1" applyBorder="1" applyAlignment="1">
      <alignment horizontal="center" vertical="center"/>
    </xf>
    <xf numFmtId="165" fontId="11" fillId="14" borderId="1" xfId="0" applyNumberFormat="1" applyFont="1" applyFill="1" applyBorder="1" applyAlignment="1">
      <alignment horizontal="center" vertical="center"/>
    </xf>
    <xf numFmtId="165" fontId="3" fillId="14" borderId="1" xfId="0" applyNumberFormat="1" applyFont="1" applyFill="1" applyBorder="1" applyAlignment="1">
      <alignment horizontal="center" vertical="center"/>
    </xf>
    <xf numFmtId="3" fontId="3" fillId="14" borderId="1" xfId="0" applyNumberFormat="1" applyFont="1" applyFill="1" applyBorder="1" applyAlignment="1">
      <alignment horizontal="center" vertical="center"/>
    </xf>
    <xf numFmtId="166" fontId="3" fillId="14" borderId="1" xfId="0" applyNumberFormat="1" applyFont="1" applyFill="1" applyBorder="1" applyAlignment="1">
      <alignment horizontal="center" vertical="center"/>
    </xf>
    <xf numFmtId="167" fontId="3" fillId="14" borderId="1" xfId="0" applyNumberFormat="1" applyFont="1" applyFill="1" applyBorder="1" applyAlignment="1">
      <alignment horizontal="center" vertical="center"/>
    </xf>
    <xf numFmtId="0" fontId="3" fillId="14" borderId="7" xfId="0" applyFont="1" applyFill="1" applyBorder="1" applyAlignment="1">
      <alignment horizontal="center" vertical="center"/>
    </xf>
    <xf numFmtId="176" fontId="2" fillId="0" borderId="0" xfId="3" applyNumberFormat="1" applyFont="1" applyAlignment="1">
      <alignment vertical="center"/>
    </xf>
    <xf numFmtId="0" fontId="0" fillId="14" borderId="15" xfId="0" applyFill="1" applyBorder="1" applyAlignment="1">
      <alignment vertical="center" wrapText="1"/>
    </xf>
    <xf numFmtId="169" fontId="3" fillId="14" borderId="0" xfId="0" applyNumberFormat="1" applyFont="1" applyFill="1" applyAlignment="1">
      <alignment vertical="center"/>
    </xf>
    <xf numFmtId="169" fontId="0" fillId="14" borderId="9" xfId="0" applyNumberFormat="1" applyFill="1" applyBorder="1" applyAlignment="1">
      <alignment vertical="center"/>
    </xf>
    <xf numFmtId="2" fontId="0" fillId="14" borderId="9" xfId="0" applyNumberFormat="1" applyFill="1" applyBorder="1" applyAlignment="1">
      <alignment vertical="center"/>
    </xf>
    <xf numFmtId="165" fontId="11" fillId="8" borderId="1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7" fontId="3" fillId="3" borderId="14" xfId="0" applyNumberFormat="1" applyFont="1" applyFill="1" applyBorder="1" applyAlignment="1">
      <alignment horizontal="center" vertical="center"/>
    </xf>
    <xf numFmtId="0" fontId="0" fillId="19" borderId="0" xfId="0" applyFill="1"/>
    <xf numFmtId="0" fontId="20" fillId="10" borderId="0" xfId="0" applyFont="1" applyFill="1" applyAlignment="1">
      <alignment horizontal="center"/>
    </xf>
    <xf numFmtId="167" fontId="11" fillId="3" borderId="0" xfId="0" applyNumberFormat="1" applyFont="1" applyFill="1" applyAlignment="1">
      <alignment horizontal="center" vertical="center"/>
    </xf>
    <xf numFmtId="168" fontId="9" fillId="0" borderId="0" xfId="0" applyNumberFormat="1" applyFont="1" applyAlignment="1">
      <alignment vertical="center"/>
    </xf>
    <xf numFmtId="171" fontId="3" fillId="0" borderId="0" xfId="0" quotePrefix="1" applyNumberFormat="1" applyFont="1" applyAlignment="1">
      <alignment vertical="center"/>
    </xf>
    <xf numFmtId="168" fontId="9" fillId="0" borderId="0" xfId="0" quotePrefix="1" applyNumberFormat="1" applyFont="1" applyAlignment="1">
      <alignment vertical="center"/>
    </xf>
    <xf numFmtId="2" fontId="0" fillId="14" borderId="0" xfId="0" applyNumberFormat="1" applyFill="1" applyAlignment="1">
      <alignment vertical="center"/>
    </xf>
    <xf numFmtId="171" fontId="0" fillId="14" borderId="0" xfId="0" applyNumberFormat="1" applyFill="1" applyAlignment="1">
      <alignment vertical="center"/>
    </xf>
    <xf numFmtId="2" fontId="1" fillId="0" borderId="0" xfId="0" applyNumberFormat="1" applyFont="1" applyAlignment="1">
      <alignment vertical="center"/>
    </xf>
    <xf numFmtId="0" fontId="29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15" fillId="0" borderId="0" xfId="0" applyFont="1"/>
    <xf numFmtId="0" fontId="37" fillId="0" borderId="0" xfId="0" applyFont="1"/>
    <xf numFmtId="0" fontId="29" fillId="0" borderId="2" xfId="0" applyFont="1" applyBorder="1"/>
    <xf numFmtId="165" fontId="1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33" fillId="16" borderId="32" xfId="0" quotePrefix="1" applyFont="1" applyFill="1" applyBorder="1" applyAlignment="1">
      <alignment horizontal="center" vertical="center" wrapText="1"/>
    </xf>
    <xf numFmtId="0" fontId="33" fillId="16" borderId="32" xfId="0" applyFont="1" applyFill="1" applyBorder="1" applyAlignment="1">
      <alignment horizontal="center"/>
    </xf>
    <xf numFmtId="0" fontId="33" fillId="16" borderId="32" xfId="0" applyFont="1" applyFill="1" applyBorder="1"/>
    <xf numFmtId="3" fontId="16" fillId="0" borderId="0" xfId="0" applyNumberFormat="1" applyFont="1" applyAlignment="1">
      <alignment vertical="center"/>
    </xf>
    <xf numFmtId="0" fontId="38" fillId="17" borderId="32" xfId="0" applyFont="1" applyFill="1" applyBorder="1" applyAlignment="1">
      <alignment horizontal="center" vertical="center"/>
    </xf>
    <xf numFmtId="184" fontId="38" fillId="0" borderId="32" xfId="0" applyNumberFormat="1" applyFont="1" applyBorder="1" applyAlignment="1">
      <alignment horizontal="right"/>
    </xf>
    <xf numFmtId="184" fontId="38" fillId="0" borderId="32" xfId="0" applyNumberFormat="1" applyFont="1" applyBorder="1"/>
    <xf numFmtId="0" fontId="16" fillId="0" borderId="0" xfId="0" applyFont="1"/>
    <xf numFmtId="2" fontId="0" fillId="13" borderId="0" xfId="0" applyNumberFormat="1" applyFill="1"/>
    <xf numFmtId="2" fontId="0" fillId="0" borderId="0" xfId="0" applyNumberFormat="1"/>
    <xf numFmtId="0" fontId="3" fillId="4" borderId="5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1" fontId="40" fillId="0" borderId="0" xfId="0" applyNumberFormat="1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39" fillId="0" borderId="0" xfId="0" applyFont="1" applyAlignment="1">
      <alignment horizontal="left" wrapText="1"/>
    </xf>
    <xf numFmtId="0" fontId="29" fillId="0" borderId="18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29" fillId="0" borderId="17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shrinkToFit="1"/>
    </xf>
    <xf numFmtId="3" fontId="2" fillId="0" borderId="0" xfId="0" applyNumberFormat="1" applyFont="1" applyAlignment="1">
      <alignment vertical="center"/>
    </xf>
    <xf numFmtId="0" fontId="0" fillId="4" borderId="5" xfId="0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36" fillId="5" borderId="5" xfId="0" applyFont="1" applyFill="1" applyBorder="1" applyAlignment="1">
      <alignment horizontal="center" vertical="center"/>
    </xf>
    <xf numFmtId="0" fontId="36" fillId="5" borderId="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0" fillId="5" borderId="5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1" fillId="5" borderId="4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0" fontId="2" fillId="5" borderId="36" xfId="0" applyFont="1" applyFill="1" applyBorder="1" applyAlignment="1">
      <alignment horizontal="center" vertical="center"/>
    </xf>
    <xf numFmtId="0" fontId="0" fillId="6" borderId="5" xfId="0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vertical="center" wrapText="1"/>
    </xf>
    <xf numFmtId="0" fontId="33" fillId="0" borderId="1" xfId="0" applyFont="1" applyBorder="1" applyAlignment="1">
      <alignment horizontal="center" wrapText="1"/>
    </xf>
    <xf numFmtId="2" fontId="1" fillId="0" borderId="0" xfId="0" applyNumberFormat="1" applyFont="1" applyAlignment="1">
      <alignment horizontal="right" vertic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274320</xdr:colOff>
      <xdr:row>34</xdr:row>
      <xdr:rowOff>91440</xdr:rowOff>
    </xdr:from>
    <xdr:to>
      <xdr:col>5</xdr:col>
      <xdr:colOff>47625</xdr:colOff>
      <xdr:row>40</xdr:row>
      <xdr:rowOff>17145</xdr:rowOff>
    </xdr:to>
    <xdr:pic>
      <xdr:nvPicPr>
        <xdr:cNvPr id="10252" name="Picture 4">
          <a:extLst>
            <a:ext uri="{FF2B5EF4-FFF2-40B4-BE49-F238E27FC236}">
              <a16:creationId xmlns:a16="http://schemas.microsoft.com/office/drawing/2014/main" id="{00000000-0008-0000-0300-00000C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0040" y="7360920"/>
          <a:ext cx="1965960" cy="9448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1176338</xdr:colOff>
      <xdr:row>25</xdr:row>
      <xdr:rowOff>153828</xdr:rowOff>
    </xdr:from>
    <xdr:to>
      <xdr:col>9</xdr:col>
      <xdr:colOff>455296</xdr:colOff>
      <xdr:row>31</xdr:row>
      <xdr:rowOff>67627</xdr:rowOff>
    </xdr:to>
    <xdr:pic>
      <xdr:nvPicPr>
        <xdr:cNvPr id="3118" name="Picture 2">
          <a:extLst>
            <a:ext uri="{FF2B5EF4-FFF2-40B4-BE49-F238E27FC236}">
              <a16:creationId xmlns:a16="http://schemas.microsoft.com/office/drawing/2014/main" id="{00000000-0008-0000-0500-00002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4856797"/>
          <a:ext cx="1910239" cy="93773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31</xdr:row>
      <xdr:rowOff>22859</xdr:rowOff>
    </xdr:from>
    <xdr:to>
      <xdr:col>7</xdr:col>
      <xdr:colOff>226695</xdr:colOff>
      <xdr:row>36</xdr:row>
      <xdr:rowOff>171449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2E54075-FEC4-4B30-82FB-EA8D46197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5785484"/>
          <a:ext cx="2769870" cy="12439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%20Nutrition%20files/My%20proposal/Manuscripts_Abdu_study/Paper%20IV/New%20revisions_10_04_2023/DALY_Se%20-%20Copy_Updated_10_04_2023_proposed/Maize_Se/Maize_Se_DALY_Granul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Selenium"/>
      <sheetName val="DALY formula"/>
      <sheetName val="Efficacy"/>
      <sheetName val="DALYs status quo"/>
      <sheetName val="Selenium pessimist"/>
      <sheetName val="DALYs pessimist"/>
      <sheetName val="Selenium optimist"/>
      <sheetName val="DALYs optimist"/>
      <sheetName val="group size"/>
      <sheetName val="health infohealth"/>
      <sheetName val="Cereals consumption"/>
      <sheetName val="Maize cons"/>
      <sheetName val="Life table new"/>
      <sheetName val="mortality"/>
      <sheetName val="discou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C6">
            <v>70.294147910000007</v>
          </cell>
        </row>
      </sheetData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apps.who.int/gho/data/view.main.60550?lang=en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40"/>
  <sheetViews>
    <sheetView zoomScale="75" workbookViewId="0">
      <selection activeCell="D20" sqref="D20"/>
    </sheetView>
  </sheetViews>
  <sheetFormatPr defaultColWidth="9.140625" defaultRowHeight="15" x14ac:dyDescent="0.2"/>
  <cols>
    <col min="1" max="2" width="9.140625" style="331"/>
    <col min="3" max="3" width="37.7109375" style="331" customWidth="1"/>
    <col min="4" max="4" width="39.7109375" style="331" customWidth="1"/>
    <col min="5" max="5" width="9.140625" style="331"/>
    <col min="6" max="6" width="24.140625" style="331" customWidth="1"/>
    <col min="7" max="7" width="9.140625" style="331"/>
    <col min="8" max="8" width="45.7109375" style="331" customWidth="1"/>
    <col min="9" max="16384" width="9.140625" style="331"/>
  </cols>
  <sheetData>
    <row r="2" spans="2:16" ht="45" customHeight="1" x14ac:dyDescent="0.25">
      <c r="C2" s="354" t="s">
        <v>172</v>
      </c>
      <c r="D2" s="354"/>
      <c r="E2" s="354"/>
      <c r="F2" s="354"/>
      <c r="G2" s="354"/>
      <c r="H2" s="354"/>
    </row>
    <row r="3" spans="2:16" ht="15.75" thickBot="1" x14ac:dyDescent="0.25">
      <c r="B3" s="355" t="s">
        <v>164</v>
      </c>
      <c r="C3" s="355"/>
      <c r="D3" s="355"/>
      <c r="E3" s="355"/>
      <c r="F3" s="355"/>
      <c r="G3" s="355"/>
      <c r="H3" s="355"/>
    </row>
    <row r="4" spans="2:16" x14ac:dyDescent="0.2">
      <c r="B4" s="357" t="s">
        <v>171</v>
      </c>
      <c r="C4" s="357"/>
      <c r="D4" s="357"/>
      <c r="E4" s="357"/>
      <c r="F4" s="357"/>
      <c r="G4" s="357"/>
      <c r="H4" s="357"/>
    </row>
    <row r="5" spans="2:16" ht="25.5" customHeight="1" x14ac:dyDescent="0.25">
      <c r="B5" s="356" t="s">
        <v>163</v>
      </c>
      <c r="C5" s="356"/>
      <c r="D5" s="356"/>
    </row>
    <row r="6" spans="2:16" x14ac:dyDescent="0.2">
      <c r="B6" s="358" t="s">
        <v>165</v>
      </c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</row>
    <row r="7" spans="2:16" x14ac:dyDescent="0.2"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</row>
    <row r="8" spans="2:16" x14ac:dyDescent="0.2">
      <c r="B8" s="358"/>
      <c r="C8" s="358"/>
      <c r="D8" s="358"/>
      <c r="E8" s="358"/>
      <c r="F8" s="358"/>
      <c r="G8" s="358"/>
      <c r="H8" s="358"/>
      <c r="I8" s="358"/>
      <c r="J8" s="358"/>
      <c r="K8" s="358"/>
      <c r="L8" s="358"/>
      <c r="M8" s="358"/>
      <c r="N8" s="358"/>
      <c r="O8" s="358"/>
      <c r="P8" s="358"/>
    </row>
    <row r="9" spans="2:16" x14ac:dyDescent="0.2"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</row>
    <row r="10" spans="2:16" x14ac:dyDescent="0.2"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</row>
    <row r="11" spans="2:16" x14ac:dyDescent="0.2">
      <c r="B11" s="358" t="s">
        <v>46</v>
      </c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358"/>
      <c r="P11" s="358"/>
    </row>
    <row r="12" spans="2:16" x14ac:dyDescent="0.2"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</row>
    <row r="13" spans="2:16" x14ac:dyDescent="0.2"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</row>
    <row r="14" spans="2:16" x14ac:dyDescent="0.2">
      <c r="B14" s="358" t="s">
        <v>162</v>
      </c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</row>
    <row r="15" spans="2:16" ht="18" customHeight="1" x14ac:dyDescent="0.2">
      <c r="B15" s="359" t="s">
        <v>166</v>
      </c>
      <c r="C15" s="359"/>
      <c r="D15" s="359"/>
      <c r="E15" s="359"/>
      <c r="F15" s="359"/>
      <c r="G15" s="359"/>
      <c r="H15" s="359"/>
      <c r="I15" s="332"/>
      <c r="J15" s="332"/>
      <c r="K15" s="332"/>
      <c r="L15" s="332"/>
      <c r="M15" s="332"/>
      <c r="N15" s="332"/>
      <c r="O15" s="332"/>
      <c r="P15" s="332"/>
    </row>
    <row r="16" spans="2:16" x14ac:dyDescent="0.2">
      <c r="B16" s="358" t="s">
        <v>170</v>
      </c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</row>
    <row r="17" spans="2:16" x14ac:dyDescent="0.2"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</row>
    <row r="18" spans="2:16" ht="15.75" x14ac:dyDescent="0.25">
      <c r="B18" s="332"/>
      <c r="C18" s="332"/>
      <c r="D18" s="333"/>
      <c r="E18" s="206"/>
      <c r="F18" s="206"/>
      <c r="G18" s="206"/>
      <c r="H18" s="206"/>
      <c r="I18" s="332"/>
      <c r="J18" s="332"/>
      <c r="K18" s="332"/>
      <c r="L18" s="332"/>
      <c r="M18" s="332"/>
      <c r="N18" s="332"/>
      <c r="O18" s="332"/>
      <c r="P18" s="332"/>
    </row>
    <row r="19" spans="2:16" x14ac:dyDescent="0.2">
      <c r="B19" s="332"/>
      <c r="C19" s="332"/>
      <c r="D19" s="206"/>
      <c r="E19" s="206"/>
      <c r="F19" s="206"/>
      <c r="G19" s="206"/>
      <c r="H19" s="206"/>
      <c r="I19" s="332"/>
      <c r="J19" s="332"/>
      <c r="K19" s="332"/>
      <c r="L19" s="332"/>
      <c r="M19" s="332"/>
      <c r="N19" s="332"/>
      <c r="O19" s="332"/>
      <c r="P19" s="332"/>
    </row>
    <row r="20" spans="2:16" x14ac:dyDescent="0.2">
      <c r="D20" s="334"/>
      <c r="E20" s="206"/>
      <c r="F20" s="206"/>
      <c r="G20" s="206"/>
      <c r="H20" s="206"/>
    </row>
    <row r="21" spans="2:16" x14ac:dyDescent="0.2">
      <c r="D21" s="206"/>
      <c r="E21" s="206"/>
      <c r="F21" s="206"/>
      <c r="G21" s="206"/>
      <c r="H21" s="206"/>
    </row>
    <row r="22" spans="2:16" x14ac:dyDescent="0.2">
      <c r="D22" s="206"/>
      <c r="E22" s="206"/>
      <c r="F22" s="206"/>
      <c r="G22" s="206"/>
      <c r="H22" s="206"/>
    </row>
    <row r="23" spans="2:16" x14ac:dyDescent="0.2">
      <c r="D23" s="206"/>
      <c r="E23" s="206"/>
      <c r="F23" s="206"/>
      <c r="G23" s="206"/>
      <c r="H23" s="206"/>
    </row>
    <row r="24" spans="2:16" x14ac:dyDescent="0.2">
      <c r="D24" s="206"/>
      <c r="E24" s="206"/>
      <c r="F24" s="206"/>
      <c r="G24" s="206"/>
      <c r="H24" s="206"/>
    </row>
    <row r="25" spans="2:16" x14ac:dyDescent="0.2">
      <c r="D25" s="206"/>
      <c r="E25" s="206"/>
      <c r="F25" s="206"/>
      <c r="G25" s="206"/>
      <c r="H25" s="206"/>
    </row>
    <row r="26" spans="2:16" x14ac:dyDescent="0.2">
      <c r="D26" s="206"/>
      <c r="E26" s="206"/>
      <c r="F26" s="206"/>
      <c r="G26" s="206"/>
      <c r="H26" s="206"/>
    </row>
    <row r="27" spans="2:16" x14ac:dyDescent="0.2">
      <c r="D27" s="206"/>
      <c r="E27" s="206"/>
      <c r="F27" s="206"/>
      <c r="G27" s="206"/>
      <c r="H27" s="206"/>
    </row>
    <row r="28" spans="2:16" x14ac:dyDescent="0.2">
      <c r="D28" s="206"/>
      <c r="E28" s="206"/>
      <c r="F28" s="206"/>
      <c r="G28" s="206"/>
      <c r="H28" s="206"/>
    </row>
    <row r="29" spans="2:16" x14ac:dyDescent="0.2">
      <c r="D29" s="206"/>
      <c r="E29" s="206"/>
      <c r="F29" s="206"/>
      <c r="G29" s="206"/>
      <c r="H29" s="206"/>
    </row>
    <row r="30" spans="2:16" x14ac:dyDescent="0.2">
      <c r="D30" s="206"/>
      <c r="E30" s="206"/>
      <c r="F30" s="206"/>
      <c r="G30" s="206"/>
      <c r="H30" s="206"/>
    </row>
    <row r="31" spans="2:16" x14ac:dyDescent="0.2">
      <c r="D31" s="206"/>
      <c r="E31" s="206"/>
      <c r="F31" s="206"/>
      <c r="G31" s="206"/>
      <c r="H31" s="206"/>
    </row>
    <row r="32" spans="2:16" x14ac:dyDescent="0.2">
      <c r="D32" s="335"/>
      <c r="E32" s="335"/>
      <c r="F32" s="335"/>
      <c r="G32" s="206"/>
      <c r="H32" s="206"/>
    </row>
    <row r="33" spans="4:8" x14ac:dyDescent="0.2">
      <c r="D33" s="206"/>
      <c r="E33" s="206"/>
      <c r="F33" s="206"/>
      <c r="G33" s="206"/>
      <c r="H33" s="206"/>
    </row>
    <row r="34" spans="4:8" x14ac:dyDescent="0.2">
      <c r="D34" s="206"/>
      <c r="E34" s="206"/>
      <c r="F34" s="206"/>
      <c r="G34" s="206"/>
      <c r="H34" s="206"/>
    </row>
    <row r="35" spans="4:8" x14ac:dyDescent="0.2">
      <c r="D35" s="206"/>
      <c r="E35" s="206"/>
      <c r="F35" s="206"/>
      <c r="G35" s="206"/>
      <c r="H35" s="206"/>
    </row>
    <row r="36" spans="4:8" x14ac:dyDescent="0.2">
      <c r="D36" s="206"/>
      <c r="E36" s="206"/>
      <c r="F36" s="206"/>
      <c r="G36" s="206"/>
      <c r="H36" s="206"/>
    </row>
    <row r="37" spans="4:8" x14ac:dyDescent="0.2">
      <c r="D37" s="206"/>
      <c r="E37" s="206"/>
      <c r="F37" s="206"/>
      <c r="G37" s="206"/>
      <c r="H37" s="206"/>
    </row>
    <row r="38" spans="4:8" x14ac:dyDescent="0.2">
      <c r="D38" s="206"/>
      <c r="E38" s="206"/>
      <c r="F38" s="206"/>
      <c r="G38" s="206"/>
      <c r="H38" s="206"/>
    </row>
    <row r="39" spans="4:8" x14ac:dyDescent="0.2">
      <c r="D39" s="206"/>
      <c r="E39" s="206"/>
      <c r="F39" s="206"/>
      <c r="G39" s="206"/>
      <c r="H39" s="206"/>
    </row>
    <row r="40" spans="4:8" x14ac:dyDescent="0.2">
      <c r="D40" s="206"/>
      <c r="E40" s="206"/>
      <c r="F40" s="206"/>
      <c r="G40" s="206"/>
      <c r="H40" s="206"/>
    </row>
  </sheetData>
  <mergeCells count="10">
    <mergeCell ref="B16:P16"/>
    <mergeCell ref="B6:P7"/>
    <mergeCell ref="B8:P10"/>
    <mergeCell ref="B11:P13"/>
    <mergeCell ref="B15:H15"/>
    <mergeCell ref="C2:H2"/>
    <mergeCell ref="B3:H3"/>
    <mergeCell ref="B5:D5"/>
    <mergeCell ref="B4:H4"/>
    <mergeCell ref="B14:P14"/>
  </mergeCells>
  <phoneticPr fontId="8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I52"/>
  <sheetViews>
    <sheetView zoomScale="75" workbookViewId="0">
      <pane ySplit="3" topLeftCell="A4" activePane="bottomLeft" state="frozen"/>
      <selection pane="bottomLeft" activeCell="K7" sqref="K7"/>
    </sheetView>
  </sheetViews>
  <sheetFormatPr defaultColWidth="9.140625" defaultRowHeight="18" x14ac:dyDescent="0.2"/>
  <cols>
    <col min="1" max="1" width="9.140625" style="337"/>
    <col min="2" max="2" width="14.42578125" style="337" customWidth="1"/>
    <col min="3" max="3" width="18.28515625" style="337" customWidth="1"/>
    <col min="4" max="4" width="13.28515625" style="337" customWidth="1"/>
    <col min="5" max="5" width="9.28515625" style="337" bestFit="1" customWidth="1"/>
    <col min="6" max="6" width="9.140625" style="337"/>
    <col min="7" max="7" width="25" style="337" customWidth="1"/>
    <col min="8" max="8" width="13.7109375" style="337" customWidth="1"/>
    <col min="9" max="9" width="17.140625" style="337" customWidth="1"/>
    <col min="10" max="16384" width="9.140625" style="337"/>
  </cols>
  <sheetData>
    <row r="2" spans="1:9" x14ac:dyDescent="0.2">
      <c r="B2" s="337" t="s">
        <v>168</v>
      </c>
    </row>
    <row r="3" spans="1:9" ht="18.75" x14ac:dyDescent="0.3">
      <c r="B3" s="382" t="s">
        <v>113</v>
      </c>
      <c r="C3" s="382"/>
      <c r="D3" s="382"/>
      <c r="E3" s="382"/>
      <c r="H3" s="351" t="s">
        <v>114</v>
      </c>
      <c r="I3" s="351" t="s">
        <v>173</v>
      </c>
    </row>
    <row r="4" spans="1:9" ht="42.75" customHeight="1" x14ac:dyDescent="0.3">
      <c r="B4" s="338" t="s">
        <v>115</v>
      </c>
      <c r="C4" s="339" t="s">
        <v>101</v>
      </c>
      <c r="D4" s="339" t="s">
        <v>116</v>
      </c>
      <c r="E4" s="340" t="s">
        <v>117</v>
      </c>
      <c r="G4" s="337" t="s">
        <v>49</v>
      </c>
      <c r="H4" s="352">
        <f>0.25*C5*1000</f>
        <v>4449476.75</v>
      </c>
      <c r="I4" s="351"/>
    </row>
    <row r="5" spans="1:9" ht="18.75" x14ac:dyDescent="0.3">
      <c r="A5" s="341"/>
      <c r="B5" s="342" t="s">
        <v>105</v>
      </c>
      <c r="C5" s="343">
        <v>17797.906999999999</v>
      </c>
      <c r="D5" s="343">
        <v>9097.0925000000007</v>
      </c>
      <c r="E5" s="344">
        <v>8700.8144999999986</v>
      </c>
      <c r="F5" s="345"/>
      <c r="G5" s="337" t="s">
        <v>118</v>
      </c>
      <c r="H5" s="352">
        <f>(C5-H4/1000)*1000</f>
        <v>13348430.25</v>
      </c>
      <c r="I5" s="351">
        <f>(C5+(C6*0.2))*1000</f>
        <v>20921765.599999998</v>
      </c>
    </row>
    <row r="6" spans="1:9" ht="18.75" x14ac:dyDescent="0.3">
      <c r="A6" s="341"/>
      <c r="B6" s="342" t="s">
        <v>119</v>
      </c>
      <c r="C6" s="343">
        <v>15619.293</v>
      </c>
      <c r="D6" s="343">
        <v>7960.183</v>
      </c>
      <c r="E6" s="344">
        <v>7659.11</v>
      </c>
      <c r="F6" s="345"/>
      <c r="G6" s="337" t="s">
        <v>120</v>
      </c>
      <c r="H6" s="352">
        <f>(C6+(0.6*C7))*1000</f>
        <v>24408754.799999997</v>
      </c>
      <c r="I6" s="351">
        <f>((C6*0.8)+(C7*0.6))*1000</f>
        <v>21284896.199999999</v>
      </c>
    </row>
    <row r="7" spans="1:9" ht="18.75" x14ac:dyDescent="0.3">
      <c r="A7" s="341"/>
      <c r="B7" s="342" t="s">
        <v>121</v>
      </c>
      <c r="C7" s="343">
        <v>14649.102999999999</v>
      </c>
      <c r="D7" s="343">
        <v>7447.4184999999998</v>
      </c>
      <c r="E7" s="344">
        <v>7201.6844999999994</v>
      </c>
      <c r="F7" s="345"/>
      <c r="G7" s="337" t="s">
        <v>122</v>
      </c>
      <c r="H7" s="352">
        <f>SUM(E8:E14)*1000</f>
        <v>29797571.5</v>
      </c>
      <c r="I7" s="353">
        <f>(SUM(E8:E14))*1000</f>
        <v>29797571.5</v>
      </c>
    </row>
    <row r="8" spans="1:9" ht="24" customHeight="1" x14ac:dyDescent="0.3">
      <c r="A8" s="341"/>
      <c r="B8" s="342" t="s">
        <v>2</v>
      </c>
      <c r="C8" s="343">
        <v>13464.47</v>
      </c>
      <c r="D8" s="343">
        <v>6823.8905000000004</v>
      </c>
      <c r="E8" s="344">
        <v>6640.5794999999989</v>
      </c>
      <c r="F8" s="345"/>
    </row>
    <row r="9" spans="1:9" ht="18.75" x14ac:dyDescent="0.3">
      <c r="A9" s="341"/>
      <c r="B9" s="342" t="s">
        <v>3</v>
      </c>
      <c r="C9" s="343">
        <v>11851.8195</v>
      </c>
      <c r="D9" s="343">
        <v>5990.0024999999996</v>
      </c>
      <c r="E9" s="344">
        <v>5861.817</v>
      </c>
      <c r="F9" s="345"/>
    </row>
    <row r="10" spans="1:9" ht="18.75" x14ac:dyDescent="0.3">
      <c r="A10" s="341"/>
      <c r="B10" s="342" t="s">
        <v>4</v>
      </c>
      <c r="C10" s="343">
        <v>10127.2215</v>
      </c>
      <c r="D10" s="343">
        <v>5106.3019999999997</v>
      </c>
      <c r="E10" s="344">
        <v>5020.9195</v>
      </c>
      <c r="F10" s="345"/>
    </row>
    <row r="11" spans="1:9" ht="18.75" x14ac:dyDescent="0.3">
      <c r="A11" s="341"/>
      <c r="B11" s="342" t="s">
        <v>5</v>
      </c>
      <c r="C11" s="343">
        <v>8427.7024999999994</v>
      </c>
      <c r="D11" s="343">
        <v>4247.8185000000003</v>
      </c>
      <c r="E11" s="344">
        <v>4179.8839999999991</v>
      </c>
      <c r="F11" s="345"/>
    </row>
    <row r="12" spans="1:9" ht="18.75" x14ac:dyDescent="0.3">
      <c r="A12" s="341"/>
      <c r="B12" s="342" t="s">
        <v>6</v>
      </c>
      <c r="C12" s="343">
        <v>6483.7240000000002</v>
      </c>
      <c r="D12" s="343">
        <v>3253.989</v>
      </c>
      <c r="E12" s="344">
        <v>3229.7350000000001</v>
      </c>
      <c r="F12" s="345"/>
    </row>
    <row r="13" spans="1:9" ht="18.75" x14ac:dyDescent="0.3">
      <c r="A13" s="341"/>
      <c r="B13" s="342" t="s">
        <v>7</v>
      </c>
      <c r="C13" s="343">
        <v>5321.7865000000002</v>
      </c>
      <c r="D13" s="343">
        <v>2635.7559999999999</v>
      </c>
      <c r="E13" s="344">
        <v>2686.0305000000003</v>
      </c>
      <c r="F13" s="345"/>
    </row>
    <row r="14" spans="1:9" ht="18.75" x14ac:dyDescent="0.3">
      <c r="A14" s="341"/>
      <c r="B14" s="342" t="s">
        <v>8</v>
      </c>
      <c r="C14" s="343">
        <v>4258.2674999999999</v>
      </c>
      <c r="D14" s="343">
        <v>2079.6615000000002</v>
      </c>
      <c r="E14" s="344">
        <v>2178.6059999999998</v>
      </c>
      <c r="F14" s="345"/>
    </row>
    <row r="15" spans="1:9" ht="18.75" x14ac:dyDescent="0.3">
      <c r="A15" s="341"/>
      <c r="B15" s="342" t="s">
        <v>9</v>
      </c>
      <c r="C15" s="343">
        <v>3555.5614999999998</v>
      </c>
      <c r="D15" s="343">
        <v>1718.9860000000001</v>
      </c>
      <c r="E15" s="344">
        <v>1836.5754999999997</v>
      </c>
      <c r="F15" s="345"/>
    </row>
    <row r="16" spans="1:9" ht="18.75" x14ac:dyDescent="0.3">
      <c r="A16" s="341"/>
      <c r="B16" s="342" t="s">
        <v>10</v>
      </c>
      <c r="C16" s="343">
        <v>2831.931</v>
      </c>
      <c r="D16" s="343">
        <v>1358.4694999999999</v>
      </c>
      <c r="E16" s="344">
        <v>1473.4615000000001</v>
      </c>
      <c r="F16" s="345"/>
    </row>
    <row r="17" spans="1:6" ht="18.75" x14ac:dyDescent="0.3">
      <c r="A17" s="341"/>
      <c r="B17" s="342" t="s">
        <v>11</v>
      </c>
      <c r="C17" s="343">
        <v>2119.252</v>
      </c>
      <c r="D17" s="343">
        <v>1006.514</v>
      </c>
      <c r="E17" s="344">
        <v>1112.7379999999998</v>
      </c>
      <c r="F17" s="345"/>
    </row>
    <row r="18" spans="1:6" ht="18.75" x14ac:dyDescent="0.3">
      <c r="A18" s="341"/>
      <c r="B18" s="342" t="s">
        <v>12</v>
      </c>
      <c r="C18" s="343">
        <v>1539.826</v>
      </c>
      <c r="D18" s="343">
        <v>719.77700000000004</v>
      </c>
      <c r="E18" s="344">
        <v>820.04899999999998</v>
      </c>
      <c r="F18" s="345"/>
    </row>
    <row r="19" spans="1:6" ht="18.75" x14ac:dyDescent="0.3">
      <c r="A19" s="341"/>
      <c r="B19" s="342" t="s">
        <v>13</v>
      </c>
      <c r="C19" s="343">
        <v>1092.5360000000001</v>
      </c>
      <c r="D19" s="343">
        <v>501.06799999999998</v>
      </c>
      <c r="E19" s="344">
        <v>591.46800000000007</v>
      </c>
      <c r="F19" s="345"/>
    </row>
    <row r="20" spans="1:6" ht="18.75" x14ac:dyDescent="0.3">
      <c r="A20" s="341"/>
      <c r="B20" s="342" t="s">
        <v>14</v>
      </c>
      <c r="C20" s="343">
        <v>675.85900000000004</v>
      </c>
      <c r="D20" s="343">
        <v>301.863</v>
      </c>
      <c r="E20" s="344">
        <v>373.99600000000004</v>
      </c>
      <c r="F20" s="345"/>
    </row>
    <row r="21" spans="1:6" ht="18.75" x14ac:dyDescent="0.3">
      <c r="A21" s="341"/>
      <c r="B21" s="342" t="s">
        <v>66</v>
      </c>
      <c r="C21" s="343">
        <v>324.00599999999997</v>
      </c>
      <c r="D21" s="343">
        <v>138.46600000000001</v>
      </c>
      <c r="E21" s="344">
        <v>185.53999999999996</v>
      </c>
      <c r="F21" s="345"/>
    </row>
    <row r="22" spans="1:6" ht="18.75" x14ac:dyDescent="0.3">
      <c r="B22" s="342" t="s">
        <v>67</v>
      </c>
      <c r="C22" s="343">
        <v>113.55249999999999</v>
      </c>
      <c r="D22" s="343">
        <v>45.886499999999998</v>
      </c>
      <c r="E22" s="344">
        <v>67.665999999999997</v>
      </c>
      <c r="F22" s="345"/>
    </row>
    <row r="23" spans="1:6" ht="18.75" x14ac:dyDescent="0.3">
      <c r="B23" s="342" t="s">
        <v>68</v>
      </c>
      <c r="C23" s="343">
        <v>25.749500000000001</v>
      </c>
      <c r="D23" s="343">
        <v>9.2304999999999993</v>
      </c>
      <c r="E23" s="344">
        <v>16.519000000000002</v>
      </c>
      <c r="F23" s="345"/>
    </row>
    <row r="24" spans="1:6" ht="18.75" x14ac:dyDescent="0.3">
      <c r="B24" s="342" t="s">
        <v>106</v>
      </c>
      <c r="C24" s="343">
        <v>3.2290000000000001</v>
      </c>
      <c r="D24" s="343">
        <v>0.96650000000000003</v>
      </c>
      <c r="E24" s="344">
        <v>2.2625000000000002</v>
      </c>
      <c r="F24" s="345"/>
    </row>
    <row r="25" spans="1:6" ht="18.75" x14ac:dyDescent="0.3">
      <c r="B25" s="342" t="s">
        <v>15</v>
      </c>
      <c r="C25" s="343">
        <v>0.22900000000000001</v>
      </c>
      <c r="D25" s="343">
        <v>6.3500000000000001E-2</v>
      </c>
      <c r="E25" s="344">
        <v>0.16550000000000001</v>
      </c>
      <c r="F25" s="345"/>
    </row>
    <row r="26" spans="1:6" x14ac:dyDescent="0.25">
      <c r="D26" s="345"/>
      <c r="E26" s="345"/>
      <c r="F26" s="345"/>
    </row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</sheetData>
  <mergeCells count="1">
    <mergeCell ref="B3:E3"/>
  </mergeCells>
  <phoneticPr fontId="8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3"/>
  <sheetViews>
    <sheetView workbookViewId="0">
      <selection activeCell="L17" sqref="L17"/>
    </sheetView>
  </sheetViews>
  <sheetFormatPr defaultRowHeight="12.75" x14ac:dyDescent="0.2"/>
  <cols>
    <col min="1" max="1" width="34.85546875" customWidth="1"/>
    <col min="2" max="2" width="12" customWidth="1"/>
    <col min="3" max="3" width="21.85546875" customWidth="1"/>
    <col min="4" max="5" width="10.5703125" bestFit="1" customWidth="1"/>
    <col min="6" max="6" width="14.5703125" customWidth="1"/>
  </cols>
  <sheetData>
    <row r="1" spans="1:9" x14ac:dyDescent="0.2">
      <c r="A1" s="141" t="s">
        <v>99</v>
      </c>
    </row>
    <row r="2" spans="1:9" x14ac:dyDescent="0.2">
      <c r="B2" s="192" t="s">
        <v>47</v>
      </c>
      <c r="H2" s="192"/>
      <c r="I2" s="141"/>
    </row>
    <row r="3" spans="1:9" x14ac:dyDescent="0.2">
      <c r="C3">
        <v>2019</v>
      </c>
      <c r="D3">
        <v>2019</v>
      </c>
      <c r="E3">
        <v>2019</v>
      </c>
      <c r="G3" s="204" t="s">
        <v>104</v>
      </c>
    </row>
    <row r="4" spans="1:9" x14ac:dyDescent="0.2">
      <c r="A4" t="s">
        <v>69</v>
      </c>
      <c r="B4" t="s">
        <v>70</v>
      </c>
      <c r="C4" t="s">
        <v>101</v>
      </c>
      <c r="D4" t="s">
        <v>102</v>
      </c>
      <c r="E4" t="s">
        <v>103</v>
      </c>
    </row>
    <row r="5" spans="1:9" x14ac:dyDescent="0.2">
      <c r="A5" t="s">
        <v>71</v>
      </c>
      <c r="B5" t="s">
        <v>80</v>
      </c>
      <c r="C5" s="346">
        <v>68.699399069999998</v>
      </c>
      <c r="D5" s="347">
        <v>66.895590380000002</v>
      </c>
      <c r="E5" s="347">
        <v>70.520139090000001</v>
      </c>
      <c r="G5" s="192" t="s">
        <v>100</v>
      </c>
    </row>
    <row r="6" spans="1:9" x14ac:dyDescent="0.2">
      <c r="A6" t="s">
        <v>71</v>
      </c>
      <c r="B6" t="s">
        <v>81</v>
      </c>
      <c r="C6" s="346">
        <v>70.294147910000007</v>
      </c>
      <c r="D6" s="347">
        <v>68.780820009999999</v>
      </c>
      <c r="E6" s="347">
        <v>71.794844280000007</v>
      </c>
    </row>
    <row r="7" spans="1:9" x14ac:dyDescent="0.2">
      <c r="A7" t="s">
        <v>71</v>
      </c>
      <c r="B7" t="s">
        <v>82</v>
      </c>
      <c r="C7" s="347">
        <v>67.310968630000005</v>
      </c>
      <c r="D7" s="347">
        <v>65.820694829999994</v>
      </c>
      <c r="E7" s="347">
        <v>68.784992720000005</v>
      </c>
    </row>
    <row r="8" spans="1:9" x14ac:dyDescent="0.2">
      <c r="A8" t="s">
        <v>71</v>
      </c>
      <c r="B8" t="s">
        <v>83</v>
      </c>
      <c r="C8" s="347">
        <v>62.6852716</v>
      </c>
      <c r="D8" s="347">
        <v>61.203089230000003</v>
      </c>
      <c r="E8" s="347">
        <v>64.149882629999993</v>
      </c>
    </row>
    <row r="9" spans="1:9" x14ac:dyDescent="0.2">
      <c r="A9" t="s">
        <v>71</v>
      </c>
      <c r="B9" t="s">
        <v>84</v>
      </c>
      <c r="C9" s="347">
        <v>57.990084580000001</v>
      </c>
      <c r="D9" s="347">
        <v>56.541961690000001</v>
      </c>
      <c r="E9" s="347">
        <v>59.41759175</v>
      </c>
    </row>
    <row r="10" spans="1:9" x14ac:dyDescent="0.2">
      <c r="A10" t="s">
        <v>71</v>
      </c>
      <c r="B10" t="s">
        <v>85</v>
      </c>
      <c r="C10" s="347">
        <v>53.262650229999998</v>
      </c>
      <c r="D10" s="347">
        <v>51.85568962</v>
      </c>
      <c r="E10" s="347">
        <v>54.645466900000002</v>
      </c>
    </row>
    <row r="11" spans="1:9" x14ac:dyDescent="0.2">
      <c r="A11" t="s">
        <v>71</v>
      </c>
      <c r="B11" t="s">
        <v>86</v>
      </c>
      <c r="C11" s="347">
        <v>48.583566759999997</v>
      </c>
      <c r="D11" s="347">
        <v>47.22682519</v>
      </c>
      <c r="E11" s="347">
        <v>49.911440509999998</v>
      </c>
    </row>
    <row r="12" spans="1:9" x14ac:dyDescent="0.2">
      <c r="A12" t="s">
        <v>71</v>
      </c>
      <c r="B12" t="s">
        <v>87</v>
      </c>
      <c r="C12" s="347">
        <v>43.939484280000002</v>
      </c>
      <c r="D12" s="347">
        <v>42.620815039999997</v>
      </c>
      <c r="E12" s="347">
        <v>45.225324239999999</v>
      </c>
    </row>
    <row r="13" spans="1:9" x14ac:dyDescent="0.2">
      <c r="A13" t="s">
        <v>71</v>
      </c>
      <c r="B13" t="s">
        <v>88</v>
      </c>
      <c r="C13" s="347">
        <v>39.349220080000002</v>
      </c>
      <c r="D13" s="347">
        <v>38.052316240000003</v>
      </c>
      <c r="E13" s="347">
        <v>40.61091133</v>
      </c>
    </row>
    <row r="14" spans="1:9" x14ac:dyDescent="0.2">
      <c r="A14" t="s">
        <v>71</v>
      </c>
      <c r="B14" t="s">
        <v>89</v>
      </c>
      <c r="C14" s="347">
        <v>34.852336559999998</v>
      </c>
      <c r="D14" s="347">
        <v>33.564270370000003</v>
      </c>
      <c r="E14" s="347">
        <v>36.103676970000002</v>
      </c>
    </row>
    <row r="15" spans="1:9" x14ac:dyDescent="0.2">
      <c r="A15" t="s">
        <v>71</v>
      </c>
      <c r="B15" t="s">
        <v>90</v>
      </c>
      <c r="C15" s="347">
        <v>30.49393937</v>
      </c>
      <c r="D15" s="347">
        <v>29.22604694</v>
      </c>
      <c r="E15" s="347">
        <v>31.72113989</v>
      </c>
    </row>
    <row r="16" spans="1:9" x14ac:dyDescent="0.2">
      <c r="A16" t="s">
        <v>71</v>
      </c>
      <c r="B16" t="s">
        <v>91</v>
      </c>
      <c r="C16" s="347">
        <v>26.282909159999999</v>
      </c>
      <c r="D16" s="347">
        <v>25.050213209999999</v>
      </c>
      <c r="E16" s="347">
        <v>27.466198649999999</v>
      </c>
    </row>
    <row r="17" spans="1:5" x14ac:dyDescent="0.2">
      <c r="A17" t="s">
        <v>71</v>
      </c>
      <c r="B17" t="s">
        <v>92</v>
      </c>
      <c r="C17" s="347">
        <v>22.26599319</v>
      </c>
      <c r="D17" s="347">
        <v>21.123705260000001</v>
      </c>
      <c r="E17" s="347">
        <v>23.353517780000001</v>
      </c>
    </row>
    <row r="18" spans="1:5" x14ac:dyDescent="0.2">
      <c r="A18" t="s">
        <v>71</v>
      </c>
      <c r="B18" t="s">
        <v>93</v>
      </c>
      <c r="C18" s="347">
        <v>18.44870452</v>
      </c>
      <c r="D18" s="347">
        <v>17.44324318</v>
      </c>
      <c r="E18" s="347">
        <v>19.402565209999999</v>
      </c>
    </row>
    <row r="19" spans="1:5" x14ac:dyDescent="0.2">
      <c r="A19" t="s">
        <v>71</v>
      </c>
      <c r="B19" t="s">
        <v>94</v>
      </c>
      <c r="C19" s="347">
        <v>14.95954547</v>
      </c>
      <c r="D19" s="347">
        <v>14.13058474</v>
      </c>
      <c r="E19" s="347">
        <v>15.74365302</v>
      </c>
    </row>
    <row r="20" spans="1:5" x14ac:dyDescent="0.2">
      <c r="A20" t="s">
        <v>71</v>
      </c>
      <c r="B20" t="s">
        <v>95</v>
      </c>
      <c r="C20" s="347">
        <v>11.79213459</v>
      </c>
      <c r="D20" s="347">
        <v>11.14681882</v>
      </c>
      <c r="E20" s="347">
        <v>12.39010936</v>
      </c>
    </row>
    <row r="21" spans="1:5" x14ac:dyDescent="0.2">
      <c r="A21" t="s">
        <v>71</v>
      </c>
      <c r="B21" t="s">
        <v>96</v>
      </c>
      <c r="C21" s="347">
        <v>9.0930904849999994</v>
      </c>
      <c r="D21" s="347">
        <v>8.6138482990000007</v>
      </c>
      <c r="E21" s="347">
        <v>9.5372495839999996</v>
      </c>
    </row>
    <row r="22" spans="1:5" x14ac:dyDescent="0.2">
      <c r="A22" t="s">
        <v>71</v>
      </c>
      <c r="B22" t="s">
        <v>97</v>
      </c>
      <c r="C22" s="347">
        <v>6.8603927230000004</v>
      </c>
      <c r="D22" s="347">
        <v>6.4994284320000002</v>
      </c>
      <c r="E22" s="347">
        <v>7.1865233110000002</v>
      </c>
    </row>
    <row r="23" spans="1:5" x14ac:dyDescent="0.2">
      <c r="A23" t="s">
        <v>71</v>
      </c>
      <c r="B23" t="s">
        <v>98</v>
      </c>
      <c r="C23" s="347">
        <v>5.103469241</v>
      </c>
      <c r="D23" s="347">
        <v>4.7875874139999999</v>
      </c>
      <c r="E23" s="347">
        <v>5.378979524</v>
      </c>
    </row>
  </sheetData>
  <hyperlinks>
    <hyperlink ref="A1" r:id="rId1" xr:uid="{00000000-0004-0000-0E00-000000000000}"/>
  </hyperlinks>
  <pageMargins left="0.7" right="0.7" top="0.75" bottom="0.75" header="0.3" footer="0.3"/>
  <pageSetup orientation="portrait" horizontalDpi="0" verticalDpi="0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1"/>
  <sheetViews>
    <sheetView zoomScale="75" workbookViewId="0">
      <selection activeCell="J20" sqref="J20"/>
    </sheetView>
  </sheetViews>
  <sheetFormatPr defaultRowHeight="12.75" x14ac:dyDescent="0.2"/>
  <cols>
    <col min="3" max="3" width="10.5703125" bestFit="1" customWidth="1"/>
    <col min="4" max="4" width="9.85546875" bestFit="1" customWidth="1"/>
    <col min="5" max="5" width="16.28515625" bestFit="1" customWidth="1"/>
    <col min="8" max="8" width="78.42578125" customWidth="1"/>
  </cols>
  <sheetData>
    <row r="1" spans="1:2" x14ac:dyDescent="0.2">
      <c r="A1" s="3">
        <v>0.03</v>
      </c>
      <c r="B1" s="192" t="s">
        <v>169</v>
      </c>
    </row>
  </sheetData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85"/>
  <sheetViews>
    <sheetView zoomScale="75" workbookViewId="0">
      <selection activeCell="F24" sqref="F24"/>
    </sheetView>
  </sheetViews>
  <sheetFormatPr defaultColWidth="13.42578125" defaultRowHeight="12.75" x14ac:dyDescent="0.2"/>
  <cols>
    <col min="1" max="1" width="20.7109375" style="1" customWidth="1"/>
    <col min="2" max="2" width="12.7109375" style="11" customWidth="1"/>
    <col min="3" max="3" width="15.7109375" style="1" customWidth="1"/>
    <col min="4" max="4" width="12.7109375" style="12" customWidth="1"/>
    <col min="5" max="6" width="12.7109375" style="1" customWidth="1"/>
    <col min="7" max="7" width="17.7109375" style="1" customWidth="1"/>
    <col min="8" max="8" width="21.7109375" style="1" customWidth="1"/>
    <col min="9" max="9" width="15.7109375" style="1" customWidth="1"/>
    <col min="10" max="10" width="21.7109375" style="10" customWidth="1"/>
    <col min="11" max="11" width="15.7109375" style="1" customWidth="1"/>
    <col min="12" max="12" width="12.7109375" style="14" customWidth="1"/>
    <col min="13" max="16384" width="13.42578125" style="1"/>
  </cols>
  <sheetData>
    <row r="2" spans="1:18" x14ac:dyDescent="0.2">
      <c r="E2" s="202" t="s">
        <v>47</v>
      </c>
    </row>
    <row r="3" spans="1:18" s="228" customFormat="1" ht="25.5" x14ac:dyDescent="0.2">
      <c r="A3" s="115" t="s">
        <v>44</v>
      </c>
      <c r="B3" s="116" t="s">
        <v>16</v>
      </c>
      <c r="C3" s="119" t="s">
        <v>32</v>
      </c>
      <c r="D3" s="120" t="s">
        <v>29</v>
      </c>
      <c r="E3" s="119" t="s">
        <v>30</v>
      </c>
      <c r="F3" s="119" t="s">
        <v>156</v>
      </c>
      <c r="G3" s="121" t="s">
        <v>36</v>
      </c>
      <c r="H3" s="119" t="s">
        <v>28</v>
      </c>
      <c r="I3" s="122" t="s">
        <v>35</v>
      </c>
      <c r="J3" s="123" t="s">
        <v>34</v>
      </c>
      <c r="K3" s="124" t="s">
        <v>1</v>
      </c>
      <c r="L3" s="125" t="s">
        <v>33</v>
      </c>
      <c r="N3" s="200"/>
      <c r="O3" s="7"/>
    </row>
    <row r="4" spans="1:18" s="229" customFormat="1" ht="12.75" customHeight="1" x14ac:dyDescent="0.2">
      <c r="A4" s="360" t="s">
        <v>123</v>
      </c>
      <c r="B4" s="233" t="s">
        <v>124</v>
      </c>
      <c r="C4" s="128">
        <v>0.25</v>
      </c>
      <c r="D4" s="234">
        <v>1.0999999999999999E-2</v>
      </c>
      <c r="E4" s="128">
        <v>0.40500000000000003</v>
      </c>
      <c r="F4" s="128">
        <f t="shared" ref="F4:F10" si="0">(E4/I4)*C4</f>
        <v>5.0625000000000003E-2</v>
      </c>
      <c r="G4" s="131" t="s">
        <v>37</v>
      </c>
      <c r="H4" s="131" t="s">
        <v>0</v>
      </c>
      <c r="I4" s="129">
        <v>2</v>
      </c>
      <c r="J4" s="131" t="s">
        <v>0</v>
      </c>
      <c r="K4" s="132">
        <f>'group size'!I5</f>
        <v>20921765.599999998</v>
      </c>
      <c r="L4" s="133">
        <v>0.03</v>
      </c>
      <c r="N4" s="200"/>
      <c r="O4" s="200"/>
      <c r="Q4" s="230"/>
    </row>
    <row r="5" spans="1:18" s="229" customFormat="1" ht="12.75" customHeight="1" x14ac:dyDescent="0.2">
      <c r="A5" s="360"/>
      <c r="B5" s="233" t="s">
        <v>125</v>
      </c>
      <c r="C5" s="128">
        <v>0.21</v>
      </c>
      <c r="D5" s="234">
        <v>1.0999999999999999E-2</v>
      </c>
      <c r="E5" s="128">
        <v>0.42899999999999999</v>
      </c>
      <c r="F5" s="128">
        <f t="shared" si="0"/>
        <v>4.5044999999999995E-2</v>
      </c>
      <c r="G5" s="131" t="s">
        <v>37</v>
      </c>
      <c r="H5" s="131" t="s">
        <v>0</v>
      </c>
      <c r="I5" s="129">
        <v>2</v>
      </c>
      <c r="J5" s="131" t="s">
        <v>0</v>
      </c>
      <c r="K5" s="132">
        <f>'group size'!I6</f>
        <v>21284896.199999999</v>
      </c>
      <c r="L5" s="133">
        <v>0.03</v>
      </c>
      <c r="N5" s="200"/>
      <c r="O5" s="200"/>
      <c r="P5" s="230"/>
      <c r="Q5" s="231"/>
    </row>
    <row r="6" spans="1:18" s="229" customFormat="1" ht="12.75" customHeight="1" x14ac:dyDescent="0.2">
      <c r="A6" s="361"/>
      <c r="B6" s="201" t="s">
        <v>122</v>
      </c>
      <c r="C6" s="128">
        <v>0.24</v>
      </c>
      <c r="D6" s="235">
        <v>1.0999999999999999E-2</v>
      </c>
      <c r="E6" s="128">
        <v>0.35799999999999998</v>
      </c>
      <c r="F6" s="128">
        <f t="shared" si="0"/>
        <v>4.2959999999999998E-2</v>
      </c>
      <c r="G6" s="134" t="s">
        <v>37</v>
      </c>
      <c r="H6" s="134" t="s">
        <v>0</v>
      </c>
      <c r="I6" s="129">
        <v>2</v>
      </c>
      <c r="J6" s="135" t="s">
        <v>0</v>
      </c>
      <c r="K6" s="132">
        <f>'group size'!I7</f>
        <v>29797571.5</v>
      </c>
      <c r="L6" s="133">
        <v>0.03</v>
      </c>
      <c r="N6" s="362"/>
      <c r="O6" s="230"/>
      <c r="P6" s="230"/>
      <c r="Q6" s="231"/>
      <c r="R6" s="232"/>
    </row>
    <row r="7" spans="1:18" s="229" customFormat="1" ht="12.75" customHeight="1" x14ac:dyDescent="0.2">
      <c r="A7" s="224" t="s">
        <v>153</v>
      </c>
      <c r="B7" s="233" t="s">
        <v>124</v>
      </c>
      <c r="C7" s="136">
        <v>0.16</v>
      </c>
      <c r="D7" s="137">
        <v>3.1E-2</v>
      </c>
      <c r="E7" s="137">
        <v>0.186</v>
      </c>
      <c r="F7" s="128">
        <f t="shared" si="0"/>
        <v>4.2336383447029961E-4</v>
      </c>
      <c r="G7" s="138">
        <v>3</v>
      </c>
      <c r="H7" s="136" t="s">
        <v>0</v>
      </c>
      <c r="I7" s="144">
        <f>'[1]Life table new'!C6</f>
        <v>70.294147910000007</v>
      </c>
      <c r="J7" s="135" t="s">
        <v>0</v>
      </c>
      <c r="K7" s="132">
        <f>K4</f>
        <v>20921765.599999998</v>
      </c>
      <c r="L7" s="133">
        <v>0.03</v>
      </c>
      <c r="M7" s="230"/>
      <c r="N7" s="362"/>
      <c r="O7" s="230"/>
    </row>
    <row r="8" spans="1:18" s="229" customFormat="1" ht="12.75" customHeight="1" x14ac:dyDescent="0.2">
      <c r="A8" s="224" t="s">
        <v>155</v>
      </c>
      <c r="B8" s="233" t="s">
        <v>124</v>
      </c>
      <c r="C8" s="128">
        <v>0.14000000000000001</v>
      </c>
      <c r="D8" s="130">
        <v>5.1999999999999998E-2</v>
      </c>
      <c r="E8" s="290">
        <v>0.22900000000000001</v>
      </c>
      <c r="F8" s="128">
        <f t="shared" si="0"/>
        <v>9.6180000000000015E-2</v>
      </c>
      <c r="G8" s="128">
        <v>3</v>
      </c>
      <c r="H8" s="136" t="s">
        <v>0</v>
      </c>
      <c r="I8" s="318">
        <f>4/12</f>
        <v>0.33333333333333331</v>
      </c>
      <c r="J8" s="135" t="s">
        <v>0</v>
      </c>
      <c r="K8" s="139">
        <f>K4</f>
        <v>20921765.599999998</v>
      </c>
      <c r="L8" s="133">
        <v>0.03</v>
      </c>
      <c r="M8" s="236"/>
      <c r="N8" s="236"/>
      <c r="O8" s="230"/>
    </row>
    <row r="9" spans="1:18" s="229" customFormat="1" ht="12.75" customHeight="1" x14ac:dyDescent="0.2">
      <c r="A9" s="360"/>
      <c r="B9" s="233" t="s">
        <v>125</v>
      </c>
      <c r="C9" s="128">
        <v>0.11</v>
      </c>
      <c r="D9" s="130">
        <v>5.1999999999999998E-2</v>
      </c>
      <c r="E9" s="128">
        <v>0.251</v>
      </c>
      <c r="F9" s="128">
        <f t="shared" si="0"/>
        <v>8.2830000000000001E-2</v>
      </c>
      <c r="G9" s="131">
        <v>9</v>
      </c>
      <c r="H9" s="136" t="s">
        <v>0</v>
      </c>
      <c r="I9" s="318">
        <f t="shared" ref="I9:I10" si="1">4/12</f>
        <v>0.33333333333333331</v>
      </c>
      <c r="J9" s="135" t="s">
        <v>0</v>
      </c>
      <c r="K9" s="139">
        <f t="shared" ref="K9:K10" si="2">K5</f>
        <v>21284896.199999999</v>
      </c>
      <c r="L9" s="133">
        <v>0.03</v>
      </c>
      <c r="O9" s="7"/>
    </row>
    <row r="10" spans="1:18" s="229" customFormat="1" ht="12.75" customHeight="1" x14ac:dyDescent="0.2">
      <c r="A10" s="360"/>
      <c r="B10" s="201" t="s">
        <v>122</v>
      </c>
      <c r="C10" s="128">
        <v>0.12</v>
      </c>
      <c r="D10" s="130">
        <v>5.1999999999999998E-2</v>
      </c>
      <c r="E10" s="128">
        <v>0.113</v>
      </c>
      <c r="F10" s="128">
        <f t="shared" si="0"/>
        <v>4.0680000000000001E-2</v>
      </c>
      <c r="G10" s="131">
        <v>32</v>
      </c>
      <c r="H10" s="136" t="s">
        <v>0</v>
      </c>
      <c r="I10" s="318">
        <f t="shared" si="1"/>
        <v>0.33333333333333331</v>
      </c>
      <c r="J10" s="135" t="s">
        <v>0</v>
      </c>
      <c r="K10" s="139">
        <f t="shared" si="2"/>
        <v>29797571.5</v>
      </c>
      <c r="L10" s="133">
        <v>0.03</v>
      </c>
    </row>
    <row r="11" spans="1:18" s="229" customFormat="1" ht="25.5" customHeight="1" x14ac:dyDescent="0.2">
      <c r="A11" s="291"/>
      <c r="B11" s="292"/>
      <c r="D11" s="293"/>
      <c r="E11" s="294"/>
      <c r="F11" s="294"/>
      <c r="G11" s="295"/>
      <c r="H11" s="296"/>
      <c r="I11" s="297"/>
      <c r="J11" s="298"/>
      <c r="K11" s="296"/>
      <c r="L11" s="299"/>
    </row>
    <row r="12" spans="1:18" x14ac:dyDescent="0.2">
      <c r="I12" s="8"/>
      <c r="K12" s="7"/>
      <c r="L12" s="26"/>
    </row>
    <row r="13" spans="1:18" x14ac:dyDescent="0.2">
      <c r="A13" s="39"/>
      <c r="I13" s="8"/>
      <c r="K13" s="7"/>
      <c r="L13" s="26"/>
    </row>
    <row r="14" spans="1:18" x14ac:dyDescent="0.2">
      <c r="A14" s="39"/>
      <c r="E14" s="237"/>
      <c r="F14" s="237"/>
      <c r="G14" s="238"/>
      <c r="H14" s="239"/>
      <c r="I14" s="240"/>
      <c r="K14" s="200"/>
      <c r="L14" s="288"/>
    </row>
    <row r="15" spans="1:18" x14ac:dyDescent="0.2">
      <c r="A15" s="39"/>
      <c r="E15" s="241"/>
      <c r="F15" s="241"/>
      <c r="G15" s="242"/>
      <c r="H15" s="243"/>
      <c r="I15" s="244"/>
    </row>
    <row r="16" spans="1:18" x14ac:dyDescent="0.2">
      <c r="E16" s="245"/>
      <c r="F16" s="245"/>
      <c r="G16" s="246"/>
      <c r="H16" s="247"/>
      <c r="I16" s="248"/>
    </row>
    <row r="17" spans="1:12" x14ac:dyDescent="0.2">
      <c r="E17" s="249"/>
      <c r="F17" s="249"/>
      <c r="G17" s="250"/>
      <c r="H17" s="251"/>
      <c r="I17" s="244"/>
    </row>
    <row r="19" spans="1:12" x14ac:dyDescent="0.2">
      <c r="G19" s="200"/>
    </row>
    <row r="21" spans="1:12" x14ac:dyDescent="0.2">
      <c r="B21" s="1"/>
      <c r="C21" s="12"/>
    </row>
    <row r="22" spans="1:12" x14ac:dyDescent="0.2">
      <c r="A22" s="11"/>
      <c r="B22" s="1"/>
      <c r="C22" s="12"/>
      <c r="I22" s="10"/>
      <c r="J22" s="1"/>
      <c r="K22" s="14"/>
      <c r="L22" s="1"/>
    </row>
    <row r="23" spans="1:12" x14ac:dyDescent="0.2">
      <c r="A23" s="11"/>
      <c r="B23" s="1"/>
      <c r="C23" s="12"/>
      <c r="I23" s="10"/>
      <c r="J23" s="1"/>
      <c r="K23" s="14"/>
      <c r="L23" s="1"/>
    </row>
    <row r="24" spans="1:12" x14ac:dyDescent="0.2">
      <c r="A24" s="11"/>
      <c r="B24" s="1"/>
      <c r="C24" s="12"/>
      <c r="I24" s="10"/>
      <c r="J24" s="1"/>
      <c r="K24" s="14"/>
      <c r="L24" s="1"/>
    </row>
    <row r="25" spans="1:12" x14ac:dyDescent="0.2">
      <c r="A25" s="11"/>
      <c r="B25" s="1"/>
      <c r="C25" s="12"/>
      <c r="I25" s="10"/>
      <c r="J25" s="1"/>
      <c r="K25" s="14"/>
      <c r="L25" s="1"/>
    </row>
    <row r="26" spans="1:12" x14ac:dyDescent="0.2">
      <c r="A26" s="11"/>
      <c r="B26" s="1"/>
      <c r="C26" s="12"/>
      <c r="I26" s="10"/>
      <c r="J26" s="1"/>
      <c r="K26" s="14"/>
      <c r="L26" s="1"/>
    </row>
    <row r="27" spans="1:12" x14ac:dyDescent="0.2">
      <c r="A27" s="11"/>
      <c r="B27" s="1"/>
      <c r="C27" s="12"/>
      <c r="I27" s="10"/>
      <c r="J27" s="1"/>
      <c r="K27" s="14"/>
      <c r="L27" s="1"/>
    </row>
    <row r="28" spans="1:12" x14ac:dyDescent="0.2">
      <c r="A28" s="11"/>
      <c r="B28" s="1"/>
      <c r="C28" s="199"/>
      <c r="I28" s="10"/>
      <c r="J28" s="1"/>
      <c r="K28" s="14"/>
      <c r="L28" s="1"/>
    </row>
    <row r="29" spans="1:12" x14ac:dyDescent="0.2">
      <c r="A29" s="11"/>
      <c r="B29" s="1"/>
      <c r="C29" s="12"/>
      <c r="I29" s="10"/>
      <c r="J29" s="1"/>
      <c r="K29" s="14"/>
      <c r="L29" s="1"/>
    </row>
    <row r="30" spans="1:12" x14ac:dyDescent="0.2">
      <c r="A30" s="11"/>
      <c r="B30" s="1"/>
      <c r="C30" s="12"/>
      <c r="I30" s="10"/>
      <c r="J30" s="1"/>
      <c r="K30" s="14"/>
      <c r="L30" s="1"/>
    </row>
    <row r="31" spans="1:12" x14ac:dyDescent="0.2">
      <c r="A31" s="11"/>
      <c r="B31" s="1"/>
      <c r="C31" s="12"/>
      <c r="I31" s="10"/>
      <c r="J31" s="1"/>
      <c r="K31" s="14"/>
      <c r="L31" s="1"/>
    </row>
    <row r="32" spans="1:12" x14ac:dyDescent="0.2">
      <c r="A32" s="11"/>
      <c r="B32" s="1"/>
      <c r="C32" s="12"/>
      <c r="I32" s="10"/>
      <c r="J32" s="1"/>
      <c r="K32" s="14"/>
      <c r="L32" s="1"/>
    </row>
    <row r="33" spans="1:12" x14ac:dyDescent="0.2">
      <c r="A33" s="11"/>
      <c r="B33" s="1"/>
      <c r="C33" s="12"/>
      <c r="I33" s="10"/>
      <c r="J33" s="1"/>
      <c r="K33" s="14"/>
      <c r="L33" s="1"/>
    </row>
    <row r="34" spans="1:12" x14ac:dyDescent="0.2">
      <c r="A34" s="11"/>
      <c r="B34" s="1"/>
      <c r="C34" s="12"/>
      <c r="I34" s="10"/>
      <c r="J34" s="1"/>
      <c r="K34" s="14"/>
      <c r="L34" s="1"/>
    </row>
    <row r="35" spans="1:12" x14ac:dyDescent="0.2">
      <c r="A35" s="11"/>
      <c r="B35" s="1"/>
      <c r="C35" s="12"/>
      <c r="I35" s="10"/>
      <c r="J35" s="1"/>
      <c r="K35" s="14"/>
      <c r="L35" s="1"/>
    </row>
    <row r="36" spans="1:12" x14ac:dyDescent="0.2">
      <c r="A36" s="11"/>
      <c r="B36" s="1"/>
      <c r="C36" s="12"/>
      <c r="I36" s="10"/>
      <c r="J36" s="1"/>
      <c r="K36" s="14"/>
      <c r="L36" s="1"/>
    </row>
    <row r="37" spans="1:12" x14ac:dyDescent="0.2">
      <c r="A37" s="11"/>
      <c r="B37" s="1"/>
      <c r="C37" s="12"/>
      <c r="I37" s="10"/>
      <c r="J37" s="1"/>
      <c r="K37" s="14"/>
      <c r="L37" s="1"/>
    </row>
    <row r="38" spans="1:12" x14ac:dyDescent="0.2">
      <c r="A38" s="11"/>
      <c r="B38" s="1"/>
      <c r="C38" s="12"/>
      <c r="I38" s="10"/>
      <c r="J38" s="1"/>
      <c r="K38" s="14"/>
      <c r="L38" s="1"/>
    </row>
    <row r="39" spans="1:12" x14ac:dyDescent="0.2">
      <c r="A39" s="11"/>
      <c r="B39" s="1"/>
      <c r="C39" s="12"/>
      <c r="I39" s="10"/>
      <c r="J39" s="1"/>
      <c r="K39" s="14"/>
      <c r="L39" s="1"/>
    </row>
    <row r="40" spans="1:12" x14ac:dyDescent="0.2">
      <c r="A40" s="11"/>
      <c r="B40" s="1"/>
      <c r="C40" s="12"/>
      <c r="I40" s="10"/>
      <c r="J40" s="1"/>
      <c r="K40" s="14"/>
      <c r="L40" s="1"/>
    </row>
    <row r="41" spans="1:12" x14ac:dyDescent="0.2">
      <c r="A41" s="11"/>
      <c r="B41" s="1"/>
      <c r="C41" s="12"/>
      <c r="I41" s="10"/>
      <c r="J41" s="1"/>
      <c r="K41" s="14"/>
      <c r="L41" s="1"/>
    </row>
    <row r="42" spans="1:12" x14ac:dyDescent="0.2">
      <c r="A42" s="11"/>
      <c r="B42" s="1"/>
      <c r="C42" s="12"/>
      <c r="I42" s="10"/>
      <c r="J42" s="1"/>
      <c r="K42" s="14"/>
      <c r="L42" s="1"/>
    </row>
    <row r="43" spans="1:12" x14ac:dyDescent="0.2">
      <c r="A43" s="11"/>
      <c r="B43" s="1"/>
      <c r="C43" s="12"/>
      <c r="I43" s="10"/>
      <c r="J43" s="1"/>
      <c r="K43" s="14"/>
      <c r="L43" s="1"/>
    </row>
    <row r="44" spans="1:12" x14ac:dyDescent="0.2">
      <c r="A44" s="11"/>
      <c r="B44" s="1"/>
      <c r="C44" s="12"/>
      <c r="I44" s="10"/>
      <c r="J44" s="1"/>
      <c r="K44" s="14"/>
      <c r="L44" s="1"/>
    </row>
    <row r="45" spans="1:12" x14ac:dyDescent="0.2">
      <c r="A45" s="11"/>
      <c r="B45" s="1"/>
      <c r="C45" s="12"/>
      <c r="I45" s="10"/>
      <c r="J45" s="1"/>
      <c r="K45" s="14"/>
      <c r="L45" s="1"/>
    </row>
    <row r="46" spans="1:12" x14ac:dyDescent="0.2">
      <c r="A46" s="11"/>
      <c r="B46" s="1"/>
      <c r="C46" s="12"/>
      <c r="I46" s="10"/>
      <c r="J46" s="1"/>
      <c r="K46" s="14"/>
      <c r="L46" s="1"/>
    </row>
    <row r="47" spans="1:12" x14ac:dyDescent="0.2">
      <c r="A47" s="11"/>
      <c r="B47" s="1"/>
      <c r="C47" s="12"/>
      <c r="I47" s="10"/>
      <c r="J47" s="1"/>
      <c r="K47" s="14"/>
      <c r="L47" s="1"/>
    </row>
    <row r="48" spans="1:12" x14ac:dyDescent="0.2">
      <c r="A48" s="11"/>
      <c r="B48" s="1"/>
      <c r="C48" s="12"/>
      <c r="I48" s="10"/>
      <c r="J48" s="1"/>
      <c r="K48" s="14"/>
      <c r="L48" s="1"/>
    </row>
    <row r="49" spans="1:12" x14ac:dyDescent="0.2">
      <c r="A49" s="11"/>
      <c r="B49" s="1"/>
      <c r="C49" s="12"/>
      <c r="I49" s="10"/>
      <c r="J49" s="1"/>
      <c r="K49" s="14"/>
      <c r="L49" s="1"/>
    </row>
    <row r="50" spans="1:12" x14ac:dyDescent="0.2">
      <c r="A50" s="11"/>
      <c r="B50" s="1"/>
      <c r="C50" s="12"/>
      <c r="I50" s="10"/>
      <c r="J50" s="1"/>
      <c r="K50" s="14"/>
      <c r="L50" s="1"/>
    </row>
    <row r="51" spans="1:12" x14ac:dyDescent="0.2">
      <c r="A51" s="11"/>
      <c r="B51" s="1"/>
      <c r="C51" s="12"/>
      <c r="I51" s="10"/>
      <c r="J51" s="1"/>
      <c r="K51" s="14"/>
      <c r="L51" s="1"/>
    </row>
    <row r="52" spans="1:12" x14ac:dyDescent="0.2">
      <c r="A52" s="11"/>
      <c r="B52" s="1"/>
      <c r="C52" s="12"/>
      <c r="I52" s="10"/>
      <c r="J52" s="1"/>
      <c r="K52" s="14"/>
      <c r="L52" s="1"/>
    </row>
    <row r="53" spans="1:12" x14ac:dyDescent="0.2">
      <c r="A53" s="11"/>
      <c r="B53" s="1"/>
      <c r="C53" s="12"/>
      <c r="I53" s="10"/>
      <c r="J53" s="1"/>
      <c r="K53" s="14"/>
      <c r="L53" s="1"/>
    </row>
    <row r="54" spans="1:12" x14ac:dyDescent="0.2">
      <c r="A54" s="11"/>
      <c r="B54" s="1"/>
      <c r="C54" s="12"/>
      <c r="I54" s="10"/>
      <c r="J54" s="1"/>
      <c r="K54" s="14"/>
      <c r="L54" s="1"/>
    </row>
    <row r="55" spans="1:12" x14ac:dyDescent="0.2">
      <c r="A55" s="11"/>
      <c r="B55" s="1"/>
      <c r="C55" s="12"/>
      <c r="I55" s="10"/>
      <c r="J55" s="1"/>
      <c r="K55" s="14"/>
      <c r="L55" s="1"/>
    </row>
    <row r="56" spans="1:12" x14ac:dyDescent="0.2">
      <c r="A56" s="11"/>
      <c r="B56" s="1"/>
      <c r="C56" s="12"/>
      <c r="I56" s="10"/>
      <c r="J56" s="1"/>
      <c r="K56" s="14"/>
      <c r="L56" s="1"/>
    </row>
    <row r="57" spans="1:12" x14ac:dyDescent="0.2">
      <c r="A57" s="11"/>
      <c r="B57" s="1"/>
      <c r="C57" s="12"/>
      <c r="I57" s="10"/>
      <c r="J57" s="1"/>
      <c r="K57" s="14"/>
      <c r="L57" s="1"/>
    </row>
    <row r="58" spans="1:12" x14ac:dyDescent="0.2">
      <c r="A58" s="11"/>
      <c r="B58" s="1"/>
      <c r="C58" s="12"/>
      <c r="I58" s="10"/>
      <c r="J58" s="1"/>
      <c r="K58" s="14"/>
      <c r="L58" s="1"/>
    </row>
    <row r="59" spans="1:12" x14ac:dyDescent="0.2">
      <c r="A59" s="11"/>
      <c r="B59" s="1"/>
      <c r="C59" s="12"/>
      <c r="I59" s="10"/>
      <c r="J59" s="1"/>
      <c r="K59" s="14"/>
      <c r="L59" s="1"/>
    </row>
    <row r="60" spans="1:12" x14ac:dyDescent="0.2">
      <c r="A60" s="11"/>
      <c r="B60" s="1"/>
      <c r="C60" s="12"/>
      <c r="I60" s="10"/>
      <c r="J60" s="1"/>
      <c r="K60" s="14"/>
      <c r="L60" s="1"/>
    </row>
    <row r="61" spans="1:12" x14ac:dyDescent="0.2">
      <c r="A61" s="11"/>
      <c r="B61" s="1"/>
      <c r="C61" s="12"/>
      <c r="I61" s="10"/>
      <c r="J61" s="1"/>
      <c r="K61" s="14"/>
      <c r="L61" s="1"/>
    </row>
    <row r="62" spans="1:12" x14ac:dyDescent="0.2">
      <c r="A62" s="11"/>
      <c r="B62" s="1"/>
      <c r="C62" s="12"/>
      <c r="I62" s="10"/>
      <c r="J62" s="1"/>
      <c r="K62" s="14"/>
      <c r="L62" s="1"/>
    </row>
    <row r="63" spans="1:12" x14ac:dyDescent="0.2">
      <c r="A63" s="11"/>
      <c r="B63" s="1"/>
      <c r="C63" s="12"/>
      <c r="I63" s="10"/>
      <c r="J63" s="1"/>
      <c r="K63" s="14"/>
      <c r="L63" s="1"/>
    </row>
    <row r="64" spans="1:12" x14ac:dyDescent="0.2">
      <c r="A64" s="11"/>
      <c r="B64" s="1"/>
      <c r="C64" s="12"/>
      <c r="I64" s="10"/>
      <c r="J64" s="1"/>
      <c r="K64" s="14"/>
      <c r="L64" s="1"/>
    </row>
    <row r="65" spans="1:12" x14ac:dyDescent="0.2">
      <c r="A65" s="11"/>
      <c r="B65" s="1"/>
      <c r="C65" s="12"/>
      <c r="I65" s="10"/>
      <c r="J65" s="1"/>
      <c r="K65" s="14"/>
      <c r="L65" s="1"/>
    </row>
    <row r="66" spans="1:12" x14ac:dyDescent="0.2">
      <c r="A66" s="11"/>
      <c r="B66" s="1"/>
      <c r="C66" s="12"/>
      <c r="I66" s="10"/>
      <c r="J66" s="1"/>
      <c r="K66" s="14"/>
      <c r="L66" s="1"/>
    </row>
    <row r="67" spans="1:12" x14ac:dyDescent="0.2">
      <c r="A67" s="11"/>
      <c r="B67" s="1"/>
      <c r="C67" s="12"/>
      <c r="I67" s="10"/>
      <c r="J67" s="1"/>
      <c r="K67" s="14"/>
      <c r="L67" s="1"/>
    </row>
    <row r="68" spans="1:12" x14ac:dyDescent="0.2">
      <c r="A68" s="11"/>
      <c r="B68" s="1"/>
      <c r="C68" s="12"/>
      <c r="I68" s="10"/>
      <c r="J68" s="1"/>
      <c r="K68" s="14"/>
      <c r="L68" s="1"/>
    </row>
    <row r="69" spans="1:12" x14ac:dyDescent="0.2">
      <c r="A69" s="11"/>
      <c r="B69" s="1"/>
      <c r="C69" s="12"/>
      <c r="I69" s="10"/>
      <c r="J69" s="1"/>
      <c r="K69" s="14"/>
      <c r="L69" s="1"/>
    </row>
    <row r="70" spans="1:12" x14ac:dyDescent="0.2">
      <c r="A70" s="11"/>
      <c r="B70" s="1"/>
      <c r="C70" s="12"/>
      <c r="I70" s="10"/>
      <c r="J70" s="1"/>
      <c r="K70" s="14"/>
      <c r="L70" s="1"/>
    </row>
    <row r="71" spans="1:12" x14ac:dyDescent="0.2">
      <c r="A71" s="11"/>
      <c r="B71" s="1"/>
      <c r="C71" s="12"/>
      <c r="I71" s="10"/>
      <c r="J71" s="1"/>
      <c r="K71" s="14"/>
      <c r="L71" s="1"/>
    </row>
    <row r="72" spans="1:12" x14ac:dyDescent="0.2">
      <c r="A72" s="11"/>
      <c r="B72" s="1"/>
      <c r="C72" s="12"/>
      <c r="I72" s="10"/>
      <c r="J72" s="1"/>
      <c r="K72" s="14"/>
      <c r="L72" s="1"/>
    </row>
    <row r="73" spans="1:12" x14ac:dyDescent="0.2">
      <c r="A73" s="11"/>
      <c r="B73" s="1"/>
      <c r="C73" s="12"/>
      <c r="I73" s="10"/>
      <c r="J73" s="1"/>
      <c r="K73" s="14"/>
      <c r="L73" s="1"/>
    </row>
    <row r="74" spans="1:12" x14ac:dyDescent="0.2">
      <c r="A74" s="11"/>
      <c r="B74" s="1"/>
      <c r="C74" s="12"/>
      <c r="I74" s="10"/>
      <c r="J74" s="1"/>
      <c r="K74" s="14"/>
      <c r="L74" s="1"/>
    </row>
    <row r="75" spans="1:12" x14ac:dyDescent="0.2">
      <c r="A75" s="11"/>
      <c r="B75" s="1"/>
      <c r="C75" s="12"/>
      <c r="I75" s="10"/>
      <c r="J75" s="1"/>
      <c r="K75" s="14"/>
      <c r="L75" s="1"/>
    </row>
    <row r="76" spans="1:12" x14ac:dyDescent="0.2">
      <c r="A76" s="11"/>
      <c r="B76" s="1"/>
      <c r="C76" s="12"/>
      <c r="I76" s="10"/>
      <c r="J76" s="1"/>
      <c r="K76" s="14"/>
      <c r="L76" s="1"/>
    </row>
    <row r="77" spans="1:12" x14ac:dyDescent="0.2">
      <c r="A77" s="11"/>
      <c r="B77" s="1"/>
      <c r="C77" s="12"/>
      <c r="I77" s="10"/>
      <c r="J77" s="1"/>
      <c r="K77" s="14"/>
      <c r="L77" s="1"/>
    </row>
    <row r="78" spans="1:12" x14ac:dyDescent="0.2">
      <c r="A78" s="11"/>
      <c r="B78" s="1"/>
      <c r="C78" s="12"/>
      <c r="I78" s="10"/>
      <c r="J78" s="1"/>
      <c r="K78" s="14"/>
      <c r="L78" s="1"/>
    </row>
    <row r="79" spans="1:12" x14ac:dyDescent="0.2">
      <c r="A79" s="11"/>
      <c r="B79" s="1"/>
      <c r="C79" s="12"/>
      <c r="I79" s="10"/>
      <c r="J79" s="1"/>
      <c r="K79" s="14"/>
      <c r="L79" s="1"/>
    </row>
    <row r="80" spans="1:12" x14ac:dyDescent="0.2">
      <c r="A80" s="11"/>
      <c r="B80" s="1"/>
      <c r="C80" s="12"/>
      <c r="I80" s="10"/>
      <c r="J80" s="1"/>
      <c r="K80" s="14"/>
      <c r="L80" s="1"/>
    </row>
    <row r="81" spans="1:12" x14ac:dyDescent="0.2">
      <c r="A81" s="11"/>
      <c r="B81" s="1"/>
      <c r="C81" s="12"/>
      <c r="I81" s="10"/>
      <c r="J81" s="1"/>
      <c r="K81" s="14"/>
      <c r="L81" s="1"/>
    </row>
    <row r="82" spans="1:12" x14ac:dyDescent="0.2">
      <c r="A82" s="11"/>
      <c r="B82" s="1"/>
      <c r="C82" s="12"/>
      <c r="I82" s="10"/>
      <c r="J82" s="1"/>
      <c r="K82" s="14"/>
      <c r="L82" s="1"/>
    </row>
    <row r="83" spans="1:12" x14ac:dyDescent="0.2">
      <c r="A83" s="11"/>
      <c r="B83" s="1"/>
      <c r="C83" s="12"/>
      <c r="I83" s="10"/>
      <c r="J83" s="1"/>
      <c r="K83" s="14"/>
      <c r="L83" s="1"/>
    </row>
    <row r="84" spans="1:12" x14ac:dyDescent="0.2">
      <c r="A84" s="11"/>
      <c r="B84" s="1"/>
      <c r="C84" s="12"/>
      <c r="I84" s="10"/>
      <c r="J84" s="1"/>
      <c r="K84" s="14"/>
      <c r="L84" s="1"/>
    </row>
    <row r="85" spans="1:12" x14ac:dyDescent="0.2">
      <c r="A85" s="11"/>
      <c r="I85" s="10"/>
      <c r="J85" s="1"/>
      <c r="K85" s="14"/>
      <c r="L85" s="1"/>
    </row>
  </sheetData>
  <mergeCells count="3">
    <mergeCell ref="A4:A6"/>
    <mergeCell ref="A9:A10"/>
    <mergeCell ref="N6:N7"/>
  </mergeCells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tabSelected="1" workbookViewId="0">
      <selection activeCell="C11" sqref="C11"/>
    </sheetView>
  </sheetViews>
  <sheetFormatPr defaultRowHeight="12.75" x14ac:dyDescent="0.2"/>
  <cols>
    <col min="1" max="1" width="12.28515625" customWidth="1"/>
    <col min="2" max="2" width="52.140625" bestFit="1" customWidth="1"/>
    <col min="3" max="3" width="53.85546875" customWidth="1"/>
    <col min="4" max="4" width="3.7109375" style="189" customWidth="1"/>
    <col min="5" max="5" width="6.28515625" customWidth="1"/>
    <col min="6" max="6" width="34.85546875" style="190" customWidth="1"/>
  </cols>
  <sheetData>
    <row r="1" spans="1:6" x14ac:dyDescent="0.2">
      <c r="A1" s="3"/>
      <c r="B1" s="192" t="s">
        <v>161</v>
      </c>
      <c r="C1" s="192"/>
      <c r="D1" s="192"/>
      <c r="E1" s="192"/>
      <c r="F1" s="192"/>
    </row>
    <row r="2" spans="1:6" x14ac:dyDescent="0.2">
      <c r="A2" s="192"/>
      <c r="B2" s="192"/>
      <c r="C2" s="192"/>
      <c r="D2" s="192"/>
      <c r="E2" s="192"/>
      <c r="F2" s="192"/>
    </row>
    <row r="3" spans="1:6" x14ac:dyDescent="0.2">
      <c r="A3" s="197" t="s">
        <v>73</v>
      </c>
      <c r="B3" s="192" t="s">
        <v>74</v>
      </c>
      <c r="C3" s="192"/>
      <c r="D3" s="192"/>
      <c r="E3" s="192"/>
      <c r="F3" s="192"/>
    </row>
    <row r="4" spans="1:6" x14ac:dyDescent="0.2">
      <c r="A4" s="192"/>
      <c r="B4" s="192" t="s">
        <v>75</v>
      </c>
      <c r="C4" s="192"/>
      <c r="D4" s="192"/>
      <c r="E4" s="192"/>
      <c r="F4" s="192"/>
    </row>
    <row r="5" spans="1:6" x14ac:dyDescent="0.2">
      <c r="A5" s="192"/>
      <c r="B5" s="192" t="s">
        <v>76</v>
      </c>
      <c r="C5" s="192"/>
      <c r="D5" s="192"/>
      <c r="E5" s="192"/>
      <c r="F5" s="192"/>
    </row>
    <row r="6" spans="1:6" x14ac:dyDescent="0.2">
      <c r="A6" s="192"/>
      <c r="B6" s="192" t="s">
        <v>77</v>
      </c>
      <c r="C6" s="192"/>
      <c r="D6" s="192"/>
      <c r="E6" s="192"/>
      <c r="F6" s="192"/>
    </row>
    <row r="7" spans="1:6" x14ac:dyDescent="0.2">
      <c r="A7" s="192"/>
      <c r="B7" s="192" t="s">
        <v>78</v>
      </c>
      <c r="C7" s="192"/>
      <c r="D7" s="192"/>
      <c r="E7" s="192"/>
      <c r="F7" s="192"/>
    </row>
    <row r="8" spans="1:6" x14ac:dyDescent="0.2">
      <c r="A8" s="192"/>
      <c r="B8" s="192"/>
      <c r="C8" s="192"/>
      <c r="D8" s="192"/>
      <c r="E8" s="192"/>
      <c r="F8" s="192"/>
    </row>
    <row r="9" spans="1:6" ht="15" x14ac:dyDescent="0.25">
      <c r="A9" s="192" t="s">
        <v>79</v>
      </c>
      <c r="B9" s="192" t="s">
        <v>62</v>
      </c>
      <c r="C9" s="192"/>
      <c r="D9" s="192"/>
      <c r="E9" s="192"/>
      <c r="F9" s="192"/>
    </row>
    <row r="10" spans="1:6" x14ac:dyDescent="0.2">
      <c r="A10" s="192" t="s">
        <v>45</v>
      </c>
      <c r="B10" s="192" t="s">
        <v>64</v>
      </c>
      <c r="C10" s="192"/>
      <c r="D10" s="192"/>
      <c r="E10" s="192"/>
      <c r="F10" s="192"/>
    </row>
    <row r="11" spans="1:6" ht="15" x14ac:dyDescent="0.25">
      <c r="A11" s="192" t="s">
        <v>17</v>
      </c>
      <c r="B11" s="192" t="s">
        <v>63</v>
      </c>
      <c r="C11" s="192"/>
      <c r="D11" s="192"/>
      <c r="E11" s="192"/>
      <c r="F11" s="192"/>
    </row>
    <row r="12" spans="1:6" x14ac:dyDescent="0.2">
      <c r="A12" s="192"/>
      <c r="B12" s="192"/>
      <c r="C12" s="192"/>
      <c r="D12" s="192"/>
      <c r="E12" s="192"/>
      <c r="F12" s="192"/>
    </row>
    <row r="13" spans="1:6" x14ac:dyDescent="0.2">
      <c r="A13" s="192"/>
      <c r="B13" s="192"/>
      <c r="C13" s="192"/>
      <c r="D13" s="192"/>
      <c r="E13" s="192"/>
      <c r="F13" s="192"/>
    </row>
    <row r="14" spans="1:6" x14ac:dyDescent="0.2">
      <c r="A14" s="192"/>
      <c r="B14" s="192"/>
      <c r="C14" s="192"/>
      <c r="D14" s="192"/>
      <c r="E14" s="192"/>
      <c r="F14" s="192"/>
    </row>
    <row r="15" spans="1:6" x14ac:dyDescent="0.2">
      <c r="A15" s="198"/>
      <c r="B15" s="198"/>
      <c r="C15" s="198"/>
      <c r="D15" s="192"/>
      <c r="E15" s="192"/>
      <c r="F15" s="192"/>
    </row>
    <row r="16" spans="1:6" x14ac:dyDescent="0.2">
      <c r="A16" s="192"/>
      <c r="B16" s="207"/>
      <c r="C16" s="192"/>
      <c r="D16" s="192"/>
      <c r="E16" s="192"/>
      <c r="F16" s="192"/>
    </row>
    <row r="17" spans="1:6" x14ac:dyDescent="0.2">
      <c r="A17" s="192"/>
      <c r="B17" s="192"/>
      <c r="C17" s="192"/>
      <c r="D17" s="192"/>
      <c r="E17" s="192"/>
      <c r="F17" s="192"/>
    </row>
    <row r="18" spans="1:6" x14ac:dyDescent="0.2">
      <c r="A18" s="192"/>
      <c r="B18" s="192"/>
      <c r="C18" s="192"/>
      <c r="D18" s="192"/>
      <c r="E18" s="192"/>
      <c r="F18" s="192"/>
    </row>
    <row r="19" spans="1:6" x14ac:dyDescent="0.2">
      <c r="A19" s="192"/>
      <c r="B19" s="192"/>
      <c r="C19" s="192"/>
      <c r="D19" s="192"/>
      <c r="E19" s="192"/>
      <c r="F19" s="192"/>
    </row>
    <row r="20" spans="1:6" x14ac:dyDescent="0.2">
      <c r="A20" s="192"/>
      <c r="B20" s="192"/>
      <c r="C20" s="192"/>
      <c r="D20" s="192"/>
      <c r="E20" s="192"/>
      <c r="F20" s="192"/>
    </row>
    <row r="21" spans="1:6" x14ac:dyDescent="0.2">
      <c r="A21" s="192"/>
      <c r="B21" s="192"/>
      <c r="C21" s="192"/>
      <c r="D21" s="192"/>
      <c r="E21" s="192"/>
      <c r="F21" s="192"/>
    </row>
    <row r="22" spans="1:6" x14ac:dyDescent="0.2">
      <c r="A22" s="192"/>
      <c r="B22" s="192"/>
      <c r="C22" s="192"/>
      <c r="D22" s="192"/>
      <c r="E22" s="192"/>
      <c r="F22" s="192"/>
    </row>
    <row r="23" spans="1:6" x14ac:dyDescent="0.2">
      <c r="A23" s="192"/>
      <c r="B23" s="192"/>
      <c r="C23" s="192"/>
      <c r="D23" s="192"/>
      <c r="E23" s="192"/>
      <c r="F23" s="192"/>
    </row>
    <row r="24" spans="1:6" x14ac:dyDescent="0.2">
      <c r="A24" s="192"/>
      <c r="B24" s="192"/>
      <c r="C24" s="192"/>
      <c r="D24" s="192"/>
      <c r="E24" s="192"/>
      <c r="F24" s="192"/>
    </row>
    <row r="25" spans="1:6" x14ac:dyDescent="0.2">
      <c r="A25" s="192"/>
      <c r="B25" s="192"/>
      <c r="C25" s="192"/>
      <c r="D25" s="192"/>
      <c r="E25" s="192"/>
      <c r="F25" s="192"/>
    </row>
    <row r="26" spans="1:6" x14ac:dyDescent="0.2">
      <c r="A26" s="192"/>
      <c r="B26" s="192"/>
      <c r="C26" s="192"/>
      <c r="D26" s="192"/>
      <c r="E26" s="192"/>
      <c r="F26" s="192"/>
    </row>
    <row r="27" spans="1:6" x14ac:dyDescent="0.2">
      <c r="A27" s="192"/>
      <c r="B27" s="192"/>
      <c r="C27" s="192"/>
      <c r="D27" s="192"/>
      <c r="E27" s="192"/>
      <c r="F27" s="19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2"/>
  <sheetViews>
    <sheetView topLeftCell="A13" workbookViewId="0">
      <selection activeCell="H24" sqref="H24"/>
    </sheetView>
  </sheetViews>
  <sheetFormatPr defaultRowHeight="12.75" x14ac:dyDescent="0.2"/>
  <cols>
    <col min="1" max="1" width="29.5703125" customWidth="1"/>
    <col min="4" max="4" width="20.7109375" customWidth="1"/>
    <col min="5" max="5" width="11.5703125" customWidth="1"/>
    <col min="6" max="6" width="12.140625" customWidth="1"/>
    <col min="14" max="14" width="19.5703125" customWidth="1"/>
  </cols>
  <sheetData>
    <row r="1" spans="1:10" x14ac:dyDescent="0.2">
      <c r="A1" s="363" t="s">
        <v>167</v>
      </c>
      <c r="B1" s="363"/>
      <c r="C1" s="363"/>
      <c r="D1" s="363"/>
      <c r="E1" s="363"/>
      <c r="F1" s="20"/>
    </row>
    <row r="2" spans="1:10" x14ac:dyDescent="0.2">
      <c r="A2" s="15"/>
      <c r="B2" s="18"/>
      <c r="C2" s="336" t="s">
        <v>49</v>
      </c>
      <c r="D2" s="223" t="s">
        <v>124</v>
      </c>
      <c r="E2" s="263" t="s">
        <v>125</v>
      </c>
      <c r="F2" s="330" t="s">
        <v>122</v>
      </c>
      <c r="H2" s="192"/>
      <c r="I2" s="192"/>
      <c r="J2" s="192"/>
    </row>
    <row r="3" spans="1:10" x14ac:dyDescent="0.2">
      <c r="A3" s="15" t="s">
        <v>135</v>
      </c>
      <c r="B3" s="147" t="s">
        <v>50</v>
      </c>
      <c r="C3" s="20">
        <f>+D25</f>
        <v>8.9700000000000006</v>
      </c>
      <c r="D3" s="20">
        <f>+E25</f>
        <v>8.9700000000000006</v>
      </c>
      <c r="E3" s="20">
        <f t="shared" ref="E3:F3" si="0">+F25</f>
        <v>10.77</v>
      </c>
      <c r="F3" s="20">
        <f t="shared" si="0"/>
        <v>19.66</v>
      </c>
    </row>
    <row r="4" spans="1:10" x14ac:dyDescent="0.2">
      <c r="A4" s="194" t="s">
        <v>136</v>
      </c>
      <c r="B4" s="147"/>
      <c r="C4" s="264">
        <v>0.8</v>
      </c>
      <c r="D4" s="264">
        <v>0.8</v>
      </c>
      <c r="E4" s="264">
        <v>0.8</v>
      </c>
      <c r="F4" s="264">
        <v>0.8</v>
      </c>
    </row>
    <row r="5" spans="1:10" x14ac:dyDescent="0.2">
      <c r="A5" s="15" t="s">
        <v>51</v>
      </c>
      <c r="B5" s="147" t="s">
        <v>52</v>
      </c>
      <c r="C5" s="148">
        <f>+C3+D29</f>
        <v>11.649461375000001</v>
      </c>
      <c r="D5" s="20">
        <f>+D3+E30</f>
        <v>9.3867124999999998</v>
      </c>
      <c r="E5" s="20">
        <f>+E3+F30</f>
        <v>13.985353649999999</v>
      </c>
      <c r="F5" s="20">
        <f>+F3+G30</f>
        <v>27.02851878125</v>
      </c>
    </row>
    <row r="6" spans="1:10" x14ac:dyDescent="0.2">
      <c r="A6" s="15" t="s">
        <v>137</v>
      </c>
      <c r="B6" s="147" t="s">
        <v>53</v>
      </c>
      <c r="C6" s="19">
        <f>D26</f>
        <v>25</v>
      </c>
      <c r="D6" s="19">
        <f t="shared" ref="D6:F6" si="1">E26</f>
        <v>25</v>
      </c>
      <c r="E6" s="19">
        <f t="shared" si="1"/>
        <v>35</v>
      </c>
      <c r="F6" s="19">
        <f t="shared" si="1"/>
        <v>55</v>
      </c>
    </row>
    <row r="7" spans="1:10" x14ac:dyDescent="0.2">
      <c r="A7" s="32" t="s">
        <v>54</v>
      </c>
      <c r="B7" s="149" t="s">
        <v>55</v>
      </c>
      <c r="C7" s="220">
        <f>((LN(C5/C3)-((C5-C3)/C6))/(LN(C6/C3)-((C6-C3)/C6)))</f>
        <v>0.40177116179176781</v>
      </c>
      <c r="D7" s="221">
        <f>((LN(D5/D3)-((D5-D3)/D6))/(LN(D6/D3)-((D6-D3)/D6)))</f>
        <v>7.4887147160129924E-2</v>
      </c>
      <c r="E7" s="221">
        <f>((LN(E5/E3)-((E5-E3)/E6))/(LN(E6/E3)-((E6-E3)/E6)))</f>
        <v>0.34830274024295266</v>
      </c>
      <c r="F7" s="221">
        <f>((LN(F5/F3)-((F5-F3)/F6))/(LN(F6/F3)-((F6-F3)/F6)))</f>
        <v>0.47729830386632793</v>
      </c>
    </row>
    <row r="8" spans="1:10" x14ac:dyDescent="0.2">
      <c r="A8" s="32" t="s">
        <v>72</v>
      </c>
      <c r="B8" s="149"/>
      <c r="C8" s="37"/>
      <c r="D8" s="191"/>
      <c r="E8" s="178"/>
      <c r="F8" s="146"/>
      <c r="H8" s="192"/>
      <c r="I8" s="192"/>
    </row>
    <row r="9" spans="1:10" x14ac:dyDescent="0.2">
      <c r="A9" s="15"/>
      <c r="B9" s="25"/>
      <c r="C9" s="18"/>
      <c r="D9" s="17"/>
      <c r="E9" s="19"/>
      <c r="F9" s="20"/>
    </row>
    <row r="10" spans="1:10" x14ac:dyDescent="0.2">
      <c r="A10" s="15"/>
      <c r="B10" s="25"/>
      <c r="C10" s="18"/>
      <c r="D10" s="17"/>
      <c r="E10" s="19"/>
      <c r="F10" s="20"/>
    </row>
    <row r="11" spans="1:10" x14ac:dyDescent="0.2">
      <c r="A11" s="15"/>
      <c r="B11" s="30"/>
      <c r="C11" s="18"/>
      <c r="D11" s="191"/>
      <c r="E11" s="19"/>
      <c r="F11" s="20"/>
    </row>
    <row r="12" spans="1:10" x14ac:dyDescent="0.2">
      <c r="A12" s="15"/>
      <c r="B12" s="25"/>
      <c r="C12" s="18"/>
      <c r="D12" s="17"/>
      <c r="E12" s="19"/>
      <c r="F12" s="20"/>
    </row>
    <row r="13" spans="1:10" x14ac:dyDescent="0.2">
      <c r="A13" s="194"/>
      <c r="B13" s="25"/>
      <c r="C13" s="18"/>
      <c r="D13" s="17"/>
      <c r="E13" s="19"/>
      <c r="F13" s="20"/>
    </row>
    <row r="14" spans="1:10" x14ac:dyDescent="0.2">
      <c r="A14" s="15"/>
      <c r="B14" s="25"/>
      <c r="C14" s="18"/>
      <c r="D14" s="17"/>
      <c r="E14" s="17"/>
      <c r="F14" s="20"/>
    </row>
    <row r="15" spans="1:10" ht="13.5" thickBot="1" x14ac:dyDescent="0.25">
      <c r="A15" s="15"/>
      <c r="B15" s="25"/>
    </row>
    <row r="16" spans="1:10" ht="13.5" thickBot="1" x14ac:dyDescent="0.25">
      <c r="A16" s="150" t="s">
        <v>131</v>
      </c>
      <c r="B16" s="217">
        <v>5.2999999999999999E-2</v>
      </c>
      <c r="C16" s="142" t="s">
        <v>108</v>
      </c>
      <c r="E16" t="s">
        <v>111</v>
      </c>
      <c r="G16" s="192" t="s">
        <v>159</v>
      </c>
    </row>
    <row r="17" spans="1:15" ht="13.5" thickBot="1" x14ac:dyDescent="0.25">
      <c r="A17" s="150" t="s">
        <v>132</v>
      </c>
      <c r="B17" s="151">
        <f>B16*(1+E17)</f>
        <v>0.34078999999999998</v>
      </c>
      <c r="C17" s="142"/>
      <c r="E17" s="218">
        <v>5.43</v>
      </c>
      <c r="G17" s="322" t="s">
        <v>154</v>
      </c>
    </row>
    <row r="18" spans="1:15" x14ac:dyDescent="0.2">
      <c r="A18" s="150" t="s">
        <v>133</v>
      </c>
      <c r="B18" s="152">
        <f>+B17-B16</f>
        <v>0.28778999999999999</v>
      </c>
    </row>
    <row r="19" spans="1:15" x14ac:dyDescent="0.2">
      <c r="A19" s="153" t="s">
        <v>127</v>
      </c>
      <c r="B19" s="154">
        <v>0.85</v>
      </c>
    </row>
    <row r="20" spans="1:15" ht="13.5" thickBot="1" x14ac:dyDescent="0.25">
      <c r="A20" s="155" t="s">
        <v>56</v>
      </c>
      <c r="B20" s="156">
        <v>0.185</v>
      </c>
    </row>
    <row r="21" spans="1:15" ht="13.5" thickBot="1" x14ac:dyDescent="0.25">
      <c r="A21" s="15"/>
      <c r="B21" s="25"/>
      <c r="M21" s="15"/>
    </row>
    <row r="22" spans="1:15" x14ac:dyDescent="0.2">
      <c r="A22" s="157"/>
      <c r="B22" s="158"/>
      <c r="C22" s="159"/>
      <c r="D22" s="157" t="s">
        <v>49</v>
      </c>
      <c r="E22" s="253" t="s">
        <v>124</v>
      </c>
      <c r="F22" s="160" t="s">
        <v>125</v>
      </c>
      <c r="G22" s="254" t="s">
        <v>122</v>
      </c>
      <c r="H22" s="192"/>
      <c r="L22" s="15"/>
      <c r="M22" s="15"/>
    </row>
    <row r="23" spans="1:15" ht="13.5" thickBot="1" x14ac:dyDescent="0.25">
      <c r="A23" s="161"/>
      <c r="B23" s="162"/>
      <c r="C23" s="163"/>
      <c r="D23" s="161"/>
      <c r="E23" s="162"/>
      <c r="F23" s="164"/>
      <c r="G23" s="255"/>
    </row>
    <row r="24" spans="1:15" x14ac:dyDescent="0.2">
      <c r="A24" s="165" t="s">
        <v>58</v>
      </c>
      <c r="B24" s="158"/>
      <c r="C24" s="160"/>
      <c r="D24" s="166">
        <v>50</v>
      </c>
      <c r="E24" s="179">
        <v>50</v>
      </c>
      <c r="F24" s="256">
        <v>60</v>
      </c>
      <c r="G24" s="262">
        <v>137.5</v>
      </c>
      <c r="H24" t="s">
        <v>109</v>
      </c>
      <c r="N24" s="203"/>
      <c r="O24" s="203"/>
    </row>
    <row r="25" spans="1:15" x14ac:dyDescent="0.2">
      <c r="A25" s="167" t="s">
        <v>128</v>
      </c>
      <c r="B25" s="168"/>
      <c r="C25" s="169" t="s">
        <v>61</v>
      </c>
      <c r="D25" s="180">
        <v>8.9700000000000006</v>
      </c>
      <c r="E25" s="180">
        <v>8.9700000000000006</v>
      </c>
      <c r="F25" s="180">
        <v>10.77</v>
      </c>
      <c r="G25" s="262">
        <v>19.66</v>
      </c>
      <c r="N25" s="203"/>
      <c r="O25" s="203"/>
    </row>
    <row r="26" spans="1:15" x14ac:dyDescent="0.2">
      <c r="A26" s="167" t="s">
        <v>134</v>
      </c>
      <c r="B26" s="168"/>
      <c r="C26" s="169" t="s">
        <v>53</v>
      </c>
      <c r="D26" s="170">
        <v>25</v>
      </c>
      <c r="E26" s="180">
        <v>25</v>
      </c>
      <c r="F26" s="257">
        <v>35</v>
      </c>
      <c r="G26" s="262">
        <v>55</v>
      </c>
      <c r="I26" s="15" t="s">
        <v>107</v>
      </c>
      <c r="N26" s="203"/>
      <c r="O26" s="203"/>
    </row>
    <row r="27" spans="1:15" ht="13.5" thickBot="1" x14ac:dyDescent="0.25">
      <c r="A27" s="171" t="s">
        <v>129</v>
      </c>
      <c r="B27" s="162"/>
      <c r="C27" s="164"/>
      <c r="D27" s="172">
        <f>D26-D25</f>
        <v>16.03</v>
      </c>
      <c r="E27" s="172">
        <f>E26-E25</f>
        <v>16.03</v>
      </c>
      <c r="F27" s="258">
        <f>F26-F25</f>
        <v>24.23</v>
      </c>
      <c r="G27" s="258">
        <f>G26-G25</f>
        <v>35.340000000000003</v>
      </c>
    </row>
    <row r="28" spans="1:15" x14ac:dyDescent="0.2">
      <c r="A28" s="165" t="str">
        <f>"Se intake through maize (mg/day)"</f>
        <v>Se intake through maize (mg/day)</v>
      </c>
      <c r="B28" s="158"/>
      <c r="C28" s="160"/>
      <c r="D28" s="173">
        <f>$B17*B19*D24</f>
        <v>14.483574999999998</v>
      </c>
      <c r="E28" s="173">
        <f>$B16*$B19*E24</f>
        <v>2.2524999999999999</v>
      </c>
      <c r="F28" s="259">
        <f>$B17*$B19*F24</f>
        <v>17.380289999999999</v>
      </c>
      <c r="G28" s="259">
        <f>$B17*$B19*G24</f>
        <v>39.829831249999998</v>
      </c>
    </row>
    <row r="29" spans="1:15" x14ac:dyDescent="0.2">
      <c r="A29" s="174" t="str">
        <f>"Se from maize after after cosidering technology technology coverage"</f>
        <v>Se from maize after after cosidering technology technology coverage</v>
      </c>
      <c r="B29" s="168"/>
      <c r="C29" s="175"/>
      <c r="D29" s="265">
        <f>+D28*B20</f>
        <v>2.6794613749999998</v>
      </c>
      <c r="E29" s="265">
        <f>+E28*B20</f>
        <v>0.41671249999999999</v>
      </c>
      <c r="F29" s="265">
        <f>+F28*B20</f>
        <v>3.2153536499999995</v>
      </c>
      <c r="G29" s="265">
        <f>+G28*B20</f>
        <v>7.3685187812499997</v>
      </c>
    </row>
    <row r="30" spans="1:15" x14ac:dyDescent="0.2">
      <c r="A30" s="174" t="s">
        <v>130</v>
      </c>
      <c r="B30" s="168"/>
      <c r="C30" s="169" t="s">
        <v>59</v>
      </c>
      <c r="D30" s="176">
        <f>+D29</f>
        <v>2.6794613749999998</v>
      </c>
      <c r="E30" s="176">
        <f>+E29</f>
        <v>0.41671249999999999</v>
      </c>
      <c r="F30" s="176">
        <f>+F29</f>
        <v>3.2153536499999995</v>
      </c>
      <c r="G30" s="176">
        <f>+G29</f>
        <v>7.3685187812499997</v>
      </c>
    </row>
    <row r="31" spans="1:15" ht="13.5" thickBot="1" x14ac:dyDescent="0.25">
      <c r="A31" s="174" t="str">
        <f>"Contribution of maize to reduce Se deficit (%)"</f>
        <v>Contribution of maize to reduce Se deficit (%)</v>
      </c>
      <c r="B31" s="168"/>
      <c r="C31" s="175"/>
      <c r="D31" s="209">
        <f>+D30/D27</f>
        <v>0.16715292420461633</v>
      </c>
      <c r="E31" s="209">
        <f>+E30/E27</f>
        <v>2.5995789145352461E-2</v>
      </c>
      <c r="F31" s="260">
        <f>+F30/F27</f>
        <v>0.13270134750309531</v>
      </c>
      <c r="G31" s="260">
        <f>+G30/G27</f>
        <v>0.20850364406479907</v>
      </c>
    </row>
    <row r="32" spans="1:15" ht="15.75" thickBot="1" x14ac:dyDescent="0.3">
      <c r="A32" s="177" t="s">
        <v>60</v>
      </c>
      <c r="B32" s="162"/>
      <c r="C32" s="163"/>
      <c r="D32" s="210">
        <f>C7</f>
        <v>0.40177116179176781</v>
      </c>
      <c r="E32" s="211">
        <f>D7</f>
        <v>7.4887147160129924E-2</v>
      </c>
      <c r="F32" s="261">
        <f>E7</f>
        <v>0.34830274024295266</v>
      </c>
      <c r="G32" s="261">
        <f>F7</f>
        <v>0.47729830386632793</v>
      </c>
    </row>
  </sheetData>
  <mergeCells count="1">
    <mergeCell ref="A1:E1"/>
  </mergeCells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S34"/>
  <sheetViews>
    <sheetView zoomScale="75" workbookViewId="0">
      <selection activeCell="F4" sqref="F4"/>
    </sheetView>
  </sheetViews>
  <sheetFormatPr defaultColWidth="9.140625" defaultRowHeight="12.75" x14ac:dyDescent="0.2"/>
  <cols>
    <col min="1" max="1" width="15.7109375" style="21" customWidth="1"/>
    <col min="2" max="2" width="12.7109375" style="16" customWidth="1"/>
    <col min="3" max="3" width="11.7109375" style="15" customWidth="1"/>
    <col min="4" max="4" width="20.85546875" style="25" customWidth="1"/>
    <col min="5" max="5" width="15" style="25" customWidth="1"/>
    <col min="6" max="6" width="11.7109375" style="18" customWidth="1"/>
    <col min="7" max="7" width="10.7109375" style="17" customWidth="1"/>
    <col min="8" max="8" width="11.7109375" style="19" customWidth="1"/>
    <col min="9" max="9" width="10.7109375" style="20" customWidth="1"/>
    <col min="10" max="10" width="28.5703125" style="20" customWidth="1"/>
    <col min="11" max="11" width="11.7109375" style="15" customWidth="1"/>
    <col min="12" max="12" width="17.42578125" style="15" customWidth="1"/>
    <col min="13" max="14" width="11.7109375" style="15" customWidth="1"/>
    <col min="15" max="15" width="15.28515625" style="15" customWidth="1"/>
    <col min="16" max="16" width="15.7109375" style="15" customWidth="1"/>
    <col min="17" max="17" width="16.7109375" style="15" customWidth="1"/>
    <col min="18" max="16384" width="9.140625" style="16"/>
  </cols>
  <sheetData>
    <row r="2" spans="1:19" x14ac:dyDescent="0.2">
      <c r="F2" s="193" t="s">
        <v>47</v>
      </c>
    </row>
    <row r="4" spans="1:19" s="72" customFormat="1" ht="25.5" x14ac:dyDescent="0.2">
      <c r="A4" s="115" t="s">
        <v>17</v>
      </c>
      <c r="B4" s="116" t="s">
        <v>16</v>
      </c>
      <c r="C4" s="73" t="s">
        <v>18</v>
      </c>
      <c r="D4" s="74" t="s">
        <v>19</v>
      </c>
      <c r="E4" s="74" t="s">
        <v>156</v>
      </c>
      <c r="F4" s="75" t="s">
        <v>20</v>
      </c>
      <c r="G4" s="76" t="s">
        <v>21</v>
      </c>
      <c r="H4" s="77" t="s">
        <v>22</v>
      </c>
      <c r="I4" s="78" t="s">
        <v>23</v>
      </c>
      <c r="J4" s="78" t="s">
        <v>65</v>
      </c>
      <c r="K4" s="73" t="s">
        <v>24</v>
      </c>
      <c r="L4" s="73"/>
      <c r="M4" s="73" t="s">
        <v>25</v>
      </c>
      <c r="N4" s="73" t="s">
        <v>26</v>
      </c>
      <c r="O4" s="73" t="s">
        <v>27</v>
      </c>
      <c r="P4" s="73" t="s">
        <v>39</v>
      </c>
      <c r="Q4" s="73" t="s">
        <v>40</v>
      </c>
      <c r="R4" s="7"/>
      <c r="S4" s="7"/>
    </row>
    <row r="5" spans="1:19" s="103" customFormat="1" x14ac:dyDescent="0.2">
      <c r="A5" s="364" t="str">
        <f>Selenium!A4</f>
        <v>Goiter</v>
      </c>
      <c r="B5" s="117" t="str">
        <f>Selenium!B4</f>
        <v>PSA</v>
      </c>
      <c r="C5" s="84">
        <f>Selenium!K4</f>
        <v>20921765.599999998</v>
      </c>
      <c r="D5" s="82">
        <f>Selenium!E4</f>
        <v>0.40500000000000003</v>
      </c>
      <c r="E5" s="82">
        <f>Selenium!F4</f>
        <v>5.0625000000000003E-2</v>
      </c>
      <c r="F5" s="80"/>
      <c r="G5" s="81">
        <f>Selenium!D4</f>
        <v>1.0999999999999999E-2</v>
      </c>
      <c r="H5" s="82">
        <f>Selenium!I4</f>
        <v>2</v>
      </c>
      <c r="I5" s="83">
        <f>Selenium!L4</f>
        <v>0.03</v>
      </c>
      <c r="J5" s="185"/>
      <c r="K5" s="85">
        <f>C5*F5*((1-EXP(-I5*H5))/I5)</f>
        <v>0</v>
      </c>
      <c r="L5" s="186">
        <f>D5*G5*((1-EXP(-I5*H5))/I5)</f>
        <v>8.6479667627390646E-3</v>
      </c>
      <c r="M5" s="196">
        <f t="shared" ref="M5:M11" si="0">+C5*E5*G5*((1-EXP(-I5*H5))/I5)</f>
        <v>22616.34169082719</v>
      </c>
      <c r="N5" s="85">
        <f t="shared" ref="N5:N11" si="1">SUM(K5:M5)</f>
        <v>22616.350338793953</v>
      </c>
      <c r="O5" s="85">
        <f t="shared" ref="O5:O11" si="2">C5*F5</f>
        <v>0</v>
      </c>
      <c r="P5" s="85"/>
      <c r="Q5" s="85"/>
      <c r="R5" s="16"/>
      <c r="S5" s="16"/>
    </row>
    <row r="6" spans="1:19" s="103" customFormat="1" x14ac:dyDescent="0.2">
      <c r="A6" s="364"/>
      <c r="B6" s="117" t="str">
        <f>Selenium!B5</f>
        <v>SAC</v>
      </c>
      <c r="C6" s="84">
        <f>Selenium!K5</f>
        <v>21284896.199999999</v>
      </c>
      <c r="D6" s="82">
        <f>Selenium!E5</f>
        <v>0.42899999999999999</v>
      </c>
      <c r="E6" s="82">
        <f>Selenium!F5</f>
        <v>4.5044999999999995E-2</v>
      </c>
      <c r="F6" s="86"/>
      <c r="G6" s="81">
        <f>Selenium!D5</f>
        <v>1.0999999999999999E-2</v>
      </c>
      <c r="H6" s="82">
        <f>Selenium!I5</f>
        <v>2</v>
      </c>
      <c r="I6" s="83">
        <f>Selenium!L5</f>
        <v>0.03</v>
      </c>
      <c r="J6" s="252"/>
      <c r="K6" s="85"/>
      <c r="L6" s="186">
        <f>D6*G6*((1-EXP(-I6*H6))/I6)</f>
        <v>9.1604388671976747E-3</v>
      </c>
      <c r="M6" s="196">
        <f t="shared" si="0"/>
        <v>20472.793995648546</v>
      </c>
      <c r="N6" s="85">
        <f t="shared" si="1"/>
        <v>20472.803156087415</v>
      </c>
      <c r="O6" s="85"/>
      <c r="P6" s="85"/>
      <c r="Q6" s="85"/>
      <c r="R6" s="16"/>
      <c r="S6" s="16"/>
    </row>
    <row r="7" spans="1:19" s="103" customFormat="1" x14ac:dyDescent="0.2">
      <c r="A7" s="365"/>
      <c r="B7" s="117" t="str">
        <f>Selenium!B6</f>
        <v>WRA</v>
      </c>
      <c r="C7" s="84">
        <f>Selenium!K6</f>
        <v>29797571.5</v>
      </c>
      <c r="D7" s="82">
        <f>Selenium!E6</f>
        <v>0.35799999999999998</v>
      </c>
      <c r="E7" s="82">
        <f>Selenium!F6</f>
        <v>4.2959999999999998E-2</v>
      </c>
      <c r="F7" s="113"/>
      <c r="G7" s="81">
        <f>Selenium!D6</f>
        <v>1.0999999999999999E-2</v>
      </c>
      <c r="H7" s="82">
        <f>Selenium!I6</f>
        <v>2</v>
      </c>
      <c r="I7" s="83">
        <f>Selenium!L6</f>
        <v>0.03</v>
      </c>
      <c r="J7" s="114"/>
      <c r="K7" s="112"/>
      <c r="L7" s="186">
        <f>D7*G7*((1-EXP(-I7*H7))/I7)</f>
        <v>7.6443755581742847E-3</v>
      </c>
      <c r="M7" s="196">
        <f t="shared" si="0"/>
        <v>27334.059272106075</v>
      </c>
      <c r="N7" s="112">
        <f t="shared" si="1"/>
        <v>27334.066916481632</v>
      </c>
      <c r="O7" s="112">
        <f t="shared" si="2"/>
        <v>0</v>
      </c>
      <c r="P7" s="85"/>
      <c r="Q7" s="85"/>
      <c r="R7" s="16"/>
      <c r="S7" s="16"/>
    </row>
    <row r="8" spans="1:19" s="103" customFormat="1" ht="25.5" x14ac:dyDescent="0.2">
      <c r="A8" s="348" t="str">
        <f>Selenium!A7</f>
        <v>Cogitive dysfunction</v>
      </c>
      <c r="B8" s="118" t="str">
        <f>Selenium!B7</f>
        <v>PSA</v>
      </c>
      <c r="C8" s="84">
        <f>Selenium!K7</f>
        <v>20921765.599999998</v>
      </c>
      <c r="D8" s="82">
        <f>Selenium!E7</f>
        <v>0.186</v>
      </c>
      <c r="E8" s="82">
        <f>Selenium!F7</f>
        <v>4.2336383447029961E-4</v>
      </c>
      <c r="F8" s="86"/>
      <c r="G8" s="81">
        <f>Selenium!D7</f>
        <v>3.1E-2</v>
      </c>
      <c r="H8" s="82">
        <f>Selenium!I7</f>
        <v>70.294147910000007</v>
      </c>
      <c r="I8" s="83">
        <f>Selenium!L7</f>
        <v>0.03</v>
      </c>
      <c r="J8" s="184"/>
      <c r="K8" s="85"/>
      <c r="L8" s="186">
        <f t="shared" ref="L8:L11" si="3">D8*G8*((1-EXP(-I8*H8))/I8)</f>
        <v>0.16887065385601466</v>
      </c>
      <c r="M8" s="196">
        <f t="shared" si="0"/>
        <v>8041.8011268142254</v>
      </c>
      <c r="N8" s="85">
        <f t="shared" si="1"/>
        <v>8041.9699974680816</v>
      </c>
      <c r="O8" s="85">
        <f t="shared" si="2"/>
        <v>0</v>
      </c>
      <c r="P8" s="85"/>
      <c r="Q8" s="85"/>
      <c r="R8" s="16"/>
      <c r="S8" s="16"/>
    </row>
    <row r="9" spans="1:19" s="103" customFormat="1" ht="12.75" customHeight="1" x14ac:dyDescent="0.2">
      <c r="A9" s="366" t="str">
        <f>Selenium!A8</f>
        <v>Anemia</v>
      </c>
      <c r="B9" s="117" t="str">
        <f>Selenium!B8</f>
        <v>PSA</v>
      </c>
      <c r="C9" s="84">
        <f>Selenium!K8</f>
        <v>20921765.599999998</v>
      </c>
      <c r="D9" s="82">
        <f>Selenium!E8</f>
        <v>0.22900000000000001</v>
      </c>
      <c r="E9" s="82">
        <f>Selenium!F8</f>
        <v>9.6180000000000015E-2</v>
      </c>
      <c r="F9" s="80"/>
      <c r="G9" s="81">
        <f>Selenium!D8</f>
        <v>5.1999999999999998E-2</v>
      </c>
      <c r="H9" s="82">
        <f>Selenium!I8</f>
        <v>0.33333333333333331</v>
      </c>
      <c r="I9" s="83">
        <f>Selenium!L8</f>
        <v>0.03</v>
      </c>
      <c r="J9" s="185"/>
      <c r="K9" s="84"/>
      <c r="L9" s="186">
        <f t="shared" si="3"/>
        <v>3.94955265716354E-3</v>
      </c>
      <c r="M9" s="196">
        <f t="shared" si="0"/>
        <v>34705.278265573754</v>
      </c>
      <c r="N9" s="88">
        <f t="shared" si="1"/>
        <v>34705.282215126412</v>
      </c>
      <c r="O9" s="85">
        <f t="shared" si="2"/>
        <v>0</v>
      </c>
      <c r="P9" s="85"/>
      <c r="Q9" s="85"/>
      <c r="R9" s="16"/>
      <c r="S9" s="16"/>
    </row>
    <row r="10" spans="1:19" s="103" customFormat="1" ht="12.75" customHeight="1" x14ac:dyDescent="0.2">
      <c r="A10" s="367"/>
      <c r="B10" s="117" t="str">
        <f>Selenium!B9</f>
        <v>SAC</v>
      </c>
      <c r="C10" s="84">
        <f>Selenium!K9</f>
        <v>21284896.199999999</v>
      </c>
      <c r="D10" s="82">
        <f>Selenium!E9</f>
        <v>0.251</v>
      </c>
      <c r="E10" s="82">
        <f>Selenium!F9</f>
        <v>8.2830000000000001E-2</v>
      </c>
      <c r="F10" s="86"/>
      <c r="G10" s="81">
        <f>Selenium!D9</f>
        <v>5.1999999999999998E-2</v>
      </c>
      <c r="H10" s="82">
        <f>Selenium!I9</f>
        <v>0.33333333333333331</v>
      </c>
      <c r="I10" s="83">
        <f>Selenium!L9</f>
        <v>0.03</v>
      </c>
      <c r="J10" s="187"/>
      <c r="K10" s="85"/>
      <c r="L10" s="186">
        <f t="shared" si="3"/>
        <v>4.3289856635285963E-3</v>
      </c>
      <c r="M10" s="196">
        <f t="shared" si="0"/>
        <v>30406.863464833117</v>
      </c>
      <c r="N10" s="88">
        <f t="shared" si="1"/>
        <v>30406.867793818779</v>
      </c>
      <c r="O10" s="85">
        <f t="shared" si="2"/>
        <v>0</v>
      </c>
      <c r="P10" s="85"/>
      <c r="Q10" s="85"/>
      <c r="R10" s="16"/>
      <c r="S10" s="16"/>
    </row>
    <row r="11" spans="1:19" s="103" customFormat="1" x14ac:dyDescent="0.2">
      <c r="A11" s="368"/>
      <c r="B11" s="117" t="str">
        <f>Selenium!B10</f>
        <v>WRA</v>
      </c>
      <c r="C11" s="84">
        <f>Selenium!K10</f>
        <v>29797571.5</v>
      </c>
      <c r="D11" s="82">
        <f>Selenium!E10</f>
        <v>0.113</v>
      </c>
      <c r="E11" s="82">
        <f>Selenium!F10</f>
        <v>4.0680000000000001E-2</v>
      </c>
      <c r="F11" s="113"/>
      <c r="G11" s="81">
        <f>Selenium!D10</f>
        <v>5.1999999999999998E-2</v>
      </c>
      <c r="H11" s="82">
        <f>Selenium!I10</f>
        <v>0.33333333333333331</v>
      </c>
      <c r="I11" s="83">
        <f>Selenium!L10</f>
        <v>0.03</v>
      </c>
      <c r="J11" s="114"/>
      <c r="K11" s="112"/>
      <c r="L11" s="186">
        <f t="shared" si="3"/>
        <v>1.948905896329607E-3</v>
      </c>
      <c r="M11" s="196">
        <f t="shared" si="0"/>
        <v>20906.158605355096</v>
      </c>
      <c r="N11" s="88">
        <f t="shared" si="1"/>
        <v>20906.160554260994</v>
      </c>
      <c r="O11" s="85">
        <f t="shared" si="2"/>
        <v>0</v>
      </c>
      <c r="P11" s="85"/>
      <c r="Q11" s="85"/>
      <c r="R11" s="16"/>
      <c r="S11" s="16"/>
    </row>
    <row r="12" spans="1:19" s="4" customFormat="1" x14ac:dyDescent="0.2">
      <c r="A12" s="11"/>
      <c r="C12" s="6"/>
      <c r="D12" s="30"/>
      <c r="E12" s="30"/>
      <c r="F12" s="31"/>
      <c r="G12" s="41"/>
      <c r="H12" s="13"/>
      <c r="I12" s="42" t="s">
        <v>126</v>
      </c>
      <c r="J12" s="42"/>
      <c r="K12" s="6">
        <f>SUM(K5:K11)</f>
        <v>0</v>
      </c>
      <c r="L12" s="188"/>
      <c r="M12" s="6">
        <f>SUM(M5:M11)</f>
        <v>164483.29642115801</v>
      </c>
      <c r="N12" s="6">
        <f>SUM(N5:N11)</f>
        <v>164483.50097203729</v>
      </c>
      <c r="O12" s="6">
        <f>SUM(O5:O11)</f>
        <v>0</v>
      </c>
      <c r="P12" s="43">
        <f>N12*1000</f>
        <v>164483500.97203729</v>
      </c>
      <c r="Q12" s="43">
        <f>N12*500</f>
        <v>82241750.486018643</v>
      </c>
    </row>
    <row r="13" spans="1:19" s="4" customFormat="1" x14ac:dyDescent="0.2">
      <c r="A13" s="11"/>
      <c r="C13" s="6"/>
      <c r="D13" s="30"/>
      <c r="E13" s="30"/>
      <c r="F13" s="31"/>
      <c r="G13" s="41"/>
      <c r="H13" s="13"/>
      <c r="I13" s="42"/>
      <c r="J13" s="42"/>
      <c r="K13" s="6"/>
      <c r="L13" s="188"/>
      <c r="M13" s="6"/>
      <c r="N13" s="6"/>
      <c r="O13" s="6"/>
      <c r="P13" s="43"/>
      <c r="Q13" s="43"/>
    </row>
    <row r="14" spans="1:19" s="4" customFormat="1" x14ac:dyDescent="0.2">
      <c r="A14" s="11"/>
      <c r="C14" s="6"/>
      <c r="D14" s="30"/>
      <c r="E14" s="30"/>
      <c r="F14" s="31"/>
      <c r="G14" s="41"/>
      <c r="H14" s="13"/>
      <c r="I14" s="42"/>
      <c r="J14" s="42"/>
      <c r="K14" s="6"/>
      <c r="L14" s="188"/>
      <c r="M14" s="6"/>
      <c r="N14" s="6"/>
      <c r="O14" s="6"/>
      <c r="P14" s="43"/>
      <c r="Q14" s="43"/>
    </row>
    <row r="15" spans="1:19" s="35" customFormat="1" x14ac:dyDescent="0.2">
      <c r="A15" s="7"/>
      <c r="C15" s="32"/>
      <c r="D15" s="29"/>
      <c r="E15" s="29"/>
      <c r="F15" s="36"/>
      <c r="G15" s="37"/>
      <c r="H15" s="38"/>
      <c r="I15" s="34" t="s">
        <v>126</v>
      </c>
      <c r="J15" s="34"/>
      <c r="K15" s="48">
        <f>K12/1000000</f>
        <v>0</v>
      </c>
      <c r="L15" s="48"/>
      <c r="M15" s="195">
        <f>M12/1000000</f>
        <v>0.164483296421158</v>
      </c>
      <c r="N15" s="195">
        <f>N12/1000000</f>
        <v>0.16448350097203729</v>
      </c>
      <c r="O15" s="195">
        <f>O12/1000000</f>
        <v>0</v>
      </c>
      <c r="P15" s="49">
        <f>P12/1000000000</f>
        <v>0.16448350097203729</v>
      </c>
      <c r="Q15" s="49">
        <f>Q12/1000000000</f>
        <v>8.2241750486018644E-2</v>
      </c>
    </row>
    <row r="16" spans="1:19" x14ac:dyDescent="0.2">
      <c r="P16" s="23"/>
      <c r="Q16" s="23"/>
    </row>
    <row r="17" spans="1:18" x14ac:dyDescent="0.2">
      <c r="A17" s="39">
        <f>Selenium!A13</f>
        <v>0</v>
      </c>
      <c r="J17" s="328"/>
      <c r="K17" s="329"/>
      <c r="L17" s="145"/>
      <c r="M17" s="145"/>
      <c r="N17" s="62"/>
      <c r="P17" s="23"/>
      <c r="Q17" s="23"/>
    </row>
    <row r="18" spans="1:18" x14ac:dyDescent="0.2">
      <c r="J18" s="279"/>
      <c r="K18" s="279"/>
      <c r="L18" s="62"/>
      <c r="O18" s="145"/>
      <c r="P18" s="325"/>
      <c r="Q18" s="23"/>
    </row>
    <row r="19" spans="1:18" x14ac:dyDescent="0.2">
      <c r="J19" s="279"/>
      <c r="K19" s="279"/>
      <c r="L19" s="326"/>
      <c r="O19" s="145"/>
      <c r="P19" s="325"/>
      <c r="Q19" s="23"/>
    </row>
    <row r="20" spans="1:18" x14ac:dyDescent="0.2">
      <c r="J20" s="279"/>
      <c r="K20" s="279"/>
      <c r="P20" s="327"/>
      <c r="Q20" s="24"/>
    </row>
    <row r="21" spans="1:18" x14ac:dyDescent="0.2">
      <c r="J21" s="279"/>
      <c r="K21" s="279"/>
      <c r="P21" s="325"/>
      <c r="Q21" s="23"/>
    </row>
    <row r="22" spans="1:18" x14ac:dyDescent="0.2">
      <c r="D22" s="16"/>
      <c r="E22" s="16"/>
      <c r="F22" s="15"/>
      <c r="G22" s="25"/>
      <c r="J22" s="279"/>
      <c r="K22" s="205"/>
      <c r="P22" s="325"/>
      <c r="Q22" s="23"/>
    </row>
    <row r="23" spans="1:18" x14ac:dyDescent="0.2">
      <c r="D23" s="16"/>
      <c r="E23" s="16"/>
      <c r="F23" s="15"/>
      <c r="G23" s="25"/>
      <c r="J23" s="205"/>
      <c r="K23" s="205"/>
      <c r="P23" s="23"/>
      <c r="Q23" s="23"/>
    </row>
    <row r="24" spans="1:18" x14ac:dyDescent="0.2">
      <c r="D24" s="16"/>
      <c r="E24" s="16"/>
      <c r="F24" s="15"/>
      <c r="G24" s="148"/>
      <c r="J24" s="205"/>
      <c r="K24" s="205"/>
      <c r="L24" s="145"/>
      <c r="P24" s="23"/>
      <c r="Q24" s="23"/>
    </row>
    <row r="25" spans="1:18" x14ac:dyDescent="0.2">
      <c r="J25" s="205"/>
      <c r="K25" s="205"/>
      <c r="P25" s="23"/>
      <c r="Q25" s="23"/>
    </row>
    <row r="26" spans="1:18" x14ac:dyDescent="0.2">
      <c r="J26" s="205"/>
      <c r="P26" s="23"/>
      <c r="Q26" s="23"/>
    </row>
    <row r="27" spans="1:18" x14ac:dyDescent="0.2">
      <c r="F27" s="193"/>
    </row>
    <row r="29" spans="1:18" x14ac:dyDescent="0.2">
      <c r="A29" s="11"/>
      <c r="B29" s="4"/>
      <c r="C29" s="6"/>
      <c r="D29" s="30"/>
      <c r="E29" s="30"/>
      <c r="F29" s="31"/>
      <c r="G29" s="41"/>
      <c r="H29" s="13"/>
      <c r="I29" s="42"/>
      <c r="J29" s="42"/>
      <c r="K29" s="6"/>
      <c r="L29" s="188"/>
      <c r="M29" s="6"/>
      <c r="N29" s="6"/>
      <c r="O29" s="6"/>
      <c r="P29" s="43"/>
      <c r="Q29" s="43"/>
      <c r="R29" s="4"/>
    </row>
    <row r="30" spans="1:18" x14ac:dyDescent="0.2">
      <c r="A30" s="11"/>
      <c r="B30" s="4"/>
      <c r="C30" s="6"/>
      <c r="D30" s="30"/>
      <c r="E30" s="30"/>
      <c r="F30" s="31"/>
      <c r="G30" s="41"/>
      <c r="H30" s="13"/>
      <c r="I30" s="42"/>
      <c r="J30" s="42"/>
      <c r="K30" s="6"/>
      <c r="L30" s="188"/>
      <c r="M30" s="6"/>
      <c r="N30" s="6"/>
      <c r="O30" s="6"/>
      <c r="P30" s="43"/>
      <c r="Q30" s="43"/>
      <c r="R30" s="4"/>
    </row>
    <row r="31" spans="1:18" x14ac:dyDescent="0.2">
      <c r="A31" s="7"/>
      <c r="B31" s="35"/>
      <c r="C31" s="32"/>
      <c r="D31" s="29"/>
      <c r="E31" s="29"/>
      <c r="F31" s="36"/>
      <c r="G31" s="37"/>
      <c r="H31" s="38"/>
      <c r="I31" s="34"/>
      <c r="J31" s="34"/>
      <c r="K31" s="48"/>
      <c r="L31" s="48"/>
      <c r="M31" s="195"/>
      <c r="N31" s="195"/>
      <c r="O31" s="195"/>
      <c r="P31" s="49"/>
      <c r="Q31" s="49"/>
      <c r="R31" s="35"/>
    </row>
    <row r="32" spans="1:18" x14ac:dyDescent="0.2">
      <c r="P32" s="23"/>
      <c r="Q32" s="23"/>
    </row>
    <row r="33" spans="1:17" x14ac:dyDescent="0.2">
      <c r="A33" s="39"/>
      <c r="K33" s="145"/>
      <c r="L33" s="145"/>
      <c r="M33" s="145"/>
      <c r="N33" s="62"/>
      <c r="P33" s="23"/>
      <c r="Q33" s="23"/>
    </row>
    <row r="34" spans="1:17" x14ac:dyDescent="0.2">
      <c r="P34" s="23"/>
      <c r="Q34" s="23"/>
    </row>
  </sheetData>
  <mergeCells count="2">
    <mergeCell ref="A5:A7"/>
    <mergeCell ref="A9:A11"/>
  </mergeCells>
  <phoneticPr fontId="8" type="noConversion"/>
  <pageMargins left="0.55118110236220474" right="0.55118110236220474" top="0.98425196850393704" bottom="0.39370078740157483" header="0.51181102362204722" footer="0.51181102362204722"/>
  <pageSetup paperSize="9" scale="59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55"/>
  <sheetViews>
    <sheetView zoomScale="90" zoomScaleNormal="90" workbookViewId="0">
      <selection activeCell="F2" sqref="F2"/>
    </sheetView>
  </sheetViews>
  <sheetFormatPr defaultColWidth="13.42578125" defaultRowHeight="12.75" x14ac:dyDescent="0.2"/>
  <cols>
    <col min="1" max="1" width="20.7109375" style="50" customWidth="1"/>
    <col min="2" max="2" width="12.7109375" style="9" customWidth="1"/>
    <col min="3" max="3" width="15.7109375" style="50" customWidth="1"/>
    <col min="4" max="4" width="22.28515625" style="5" customWidth="1"/>
    <col min="5" max="7" width="12.7109375" style="5" customWidth="1"/>
    <col min="8" max="8" width="17.7109375" style="50" customWidth="1"/>
    <col min="9" max="9" width="21.7109375" style="27" customWidth="1"/>
    <col min="10" max="10" width="15.7109375" style="54" customWidth="1"/>
    <col min="11" max="11" width="21.7109375" style="51" customWidth="1"/>
    <col min="12" max="12" width="15.7109375" style="27" customWidth="1"/>
    <col min="13" max="13" width="12.7109375" style="53" customWidth="1"/>
    <col min="14" max="16384" width="13.42578125" style="50"/>
  </cols>
  <sheetData>
    <row r="1" spans="1:15" s="72" customFormat="1" ht="25.5" x14ac:dyDescent="0.2">
      <c r="A1" s="63" t="s">
        <v>44</v>
      </c>
      <c r="B1" s="64" t="s">
        <v>16</v>
      </c>
      <c r="C1" s="65" t="s">
        <v>32</v>
      </c>
      <c r="D1" s="66" t="s">
        <v>29</v>
      </c>
      <c r="E1" s="66"/>
      <c r="F1" s="66" t="s">
        <v>31</v>
      </c>
      <c r="G1" s="66" t="s">
        <v>156</v>
      </c>
      <c r="H1" s="67" t="s">
        <v>36</v>
      </c>
      <c r="I1" s="70" t="s">
        <v>28</v>
      </c>
      <c r="J1" s="68" t="s">
        <v>35</v>
      </c>
      <c r="K1" s="69" t="s">
        <v>34</v>
      </c>
      <c r="L1" s="70" t="s">
        <v>1</v>
      </c>
      <c r="M1" s="71" t="s">
        <v>33</v>
      </c>
      <c r="N1" s="7"/>
      <c r="O1" s="7"/>
    </row>
    <row r="2" spans="1:15" s="90" customFormat="1" ht="12.75" customHeight="1" x14ac:dyDescent="0.2">
      <c r="A2" s="369" t="str">
        <f>Selenium!A4</f>
        <v>Goiter</v>
      </c>
      <c r="B2" s="104" t="str">
        <f>Selenium!B4</f>
        <v>PSA</v>
      </c>
      <c r="C2" s="90">
        <f>Selenium!C4</f>
        <v>0.25</v>
      </c>
      <c r="D2" s="90">
        <f>Selenium!D4</f>
        <v>1.0999999999999999E-2</v>
      </c>
      <c r="F2" s="91">
        <f>Selenium!F4 * (1-C17)</f>
        <v>3.0003055407516115E-2</v>
      </c>
      <c r="G2" s="324"/>
      <c r="H2" s="92" t="str">
        <f>Selenium!G5</f>
        <v>not applicable (temp)</v>
      </c>
      <c r="I2" s="93" t="str">
        <f>Selenium!H5</f>
        <v>not applicable</v>
      </c>
      <c r="J2" s="94">
        <f>Selenium!I4</f>
        <v>2</v>
      </c>
      <c r="K2" s="95" t="str">
        <f>Selenium!J5</f>
        <v>not applicable</v>
      </c>
      <c r="L2" s="96">
        <f>Selenium!K4</f>
        <v>20921765.599999998</v>
      </c>
      <c r="M2" s="97">
        <f>Selenium!L5</f>
        <v>0.03</v>
      </c>
      <c r="N2" s="50"/>
      <c r="O2" s="50"/>
    </row>
    <row r="3" spans="1:15" s="90" customFormat="1" ht="12.75" customHeight="1" x14ac:dyDescent="0.2">
      <c r="A3" s="369"/>
      <c r="B3" s="104" t="str">
        <f>Selenium!B5</f>
        <v>SAC</v>
      </c>
      <c r="C3" s="90">
        <f>Selenium!C5</f>
        <v>0.21</v>
      </c>
      <c r="D3" s="90">
        <f>Selenium!D5</f>
        <v>1.0999999999999999E-2</v>
      </c>
      <c r="F3" s="91">
        <f>Selenium!F5 * (1-C18)</f>
        <v>2.9132837506449565E-2</v>
      </c>
      <c r="G3" s="324"/>
      <c r="H3" s="92" t="str">
        <f>Selenium!G6</f>
        <v>not applicable (temp)</v>
      </c>
      <c r="I3" s="93" t="str">
        <f>Selenium!H6</f>
        <v>not applicable</v>
      </c>
      <c r="J3" s="94">
        <f>Selenium!I5</f>
        <v>2</v>
      </c>
      <c r="K3" s="95" t="str">
        <f>Selenium!J6</f>
        <v>not applicable</v>
      </c>
      <c r="L3" s="96">
        <f>Selenium!K5</f>
        <v>21284896.199999999</v>
      </c>
      <c r="M3" s="97">
        <f>Selenium!L6</f>
        <v>0.03</v>
      </c>
      <c r="N3" s="50"/>
      <c r="O3" s="50"/>
    </row>
    <row r="4" spans="1:15" s="90" customFormat="1" ht="12.75" customHeight="1" x14ac:dyDescent="0.2">
      <c r="A4" s="370"/>
      <c r="B4" s="104" t="str">
        <f>Selenium!B6</f>
        <v>WRA</v>
      </c>
      <c r="C4" s="90">
        <f>Selenium!C6</f>
        <v>0.24</v>
      </c>
      <c r="D4" s="90">
        <f>Selenium!D6</f>
        <v>1.0999999999999999E-2</v>
      </c>
      <c r="E4" s="98"/>
      <c r="F4" s="91">
        <f>Selenium!F6 * (1-C19)</f>
        <v>3.245411988254026E-2</v>
      </c>
      <c r="G4" s="324"/>
      <c r="H4" s="99" t="str">
        <f>Selenium!G6</f>
        <v>not applicable (temp)</v>
      </c>
      <c r="I4" s="100" t="str">
        <f>Selenium!H6</f>
        <v>not applicable</v>
      </c>
      <c r="J4" s="94">
        <f>Selenium!I6</f>
        <v>2</v>
      </c>
      <c r="K4" s="101" t="str">
        <f>Selenium!J6</f>
        <v>not applicable</v>
      </c>
      <c r="L4" s="96">
        <f>Selenium!K6</f>
        <v>29797571.5</v>
      </c>
      <c r="M4" s="102">
        <f>Selenium!L6</f>
        <v>0.03</v>
      </c>
      <c r="N4" s="50"/>
      <c r="O4" s="50"/>
    </row>
    <row r="5" spans="1:15" s="90" customFormat="1" ht="12.75" customHeight="1" x14ac:dyDescent="0.2">
      <c r="A5" s="266" t="str">
        <f>Selenium!A7</f>
        <v>Cogitive dysfunction</v>
      </c>
      <c r="B5" s="104" t="str">
        <f>Selenium!B7</f>
        <v>PSA</v>
      </c>
      <c r="C5" s="92">
        <v>0.43</v>
      </c>
      <c r="D5" s="106">
        <f>Selenium!D7</f>
        <v>3.1E-2</v>
      </c>
      <c r="E5" s="107"/>
      <c r="F5" s="108">
        <f>Selenium!F7*(1-C17)</f>
        <v>2.5090782386470874E-4</v>
      </c>
      <c r="G5" s="324"/>
      <c r="H5" s="99">
        <f>Selenium!G7</f>
        <v>3</v>
      </c>
      <c r="I5" s="109" t="str">
        <f>Selenium!H7</f>
        <v>not applicable</v>
      </c>
      <c r="J5" s="321">
        <f>Selenium!I7</f>
        <v>70.294147910000007</v>
      </c>
      <c r="K5" s="101" t="str">
        <f>Selenium!J7</f>
        <v>not applicable</v>
      </c>
      <c r="L5" s="96">
        <f>Selenium!K7</f>
        <v>20921765.599999998</v>
      </c>
      <c r="M5" s="111">
        <f>Selenium!L7</f>
        <v>0.03</v>
      </c>
      <c r="N5" s="50"/>
      <c r="O5" s="50"/>
    </row>
    <row r="6" spans="1:15" s="90" customFormat="1" ht="12.75" customHeight="1" x14ac:dyDescent="0.2">
      <c r="A6" s="266" t="str">
        <f>Selenium!A8</f>
        <v>Anemia</v>
      </c>
      <c r="B6" s="104" t="str">
        <f>Selenium!B8</f>
        <v>PSA</v>
      </c>
      <c r="C6" s="99">
        <f>Selenium!C8</f>
        <v>0.14000000000000001</v>
      </c>
      <c r="D6" s="106">
        <f>Selenium!D8</f>
        <v>5.1999999999999998E-2</v>
      </c>
      <c r="F6" s="108">
        <f>Selenium!F8*(1-C19)</f>
        <v>7.2659153871106219E-2</v>
      </c>
      <c r="G6" s="324"/>
      <c r="H6" s="99">
        <f>Selenium!G8</f>
        <v>3</v>
      </c>
      <c r="I6" s="109" t="str">
        <f>Selenium!H8</f>
        <v>not applicable</v>
      </c>
      <c r="J6" s="321">
        <f>Selenium!I8</f>
        <v>0.33333333333333331</v>
      </c>
      <c r="K6" s="101" t="str">
        <f>Selenium!J8</f>
        <v>not applicable</v>
      </c>
      <c r="L6" s="96">
        <f>Selenium!K8</f>
        <v>20921765.599999998</v>
      </c>
      <c r="M6" s="111">
        <f>Selenium!L8</f>
        <v>0.03</v>
      </c>
      <c r="N6" s="50"/>
      <c r="O6" s="50"/>
    </row>
    <row r="7" spans="1:15" s="90" customFormat="1" ht="12.75" customHeight="1" x14ac:dyDescent="0.2">
      <c r="A7" s="371"/>
      <c r="B7" s="104" t="str">
        <f>Selenium!B9</f>
        <v>SAC</v>
      </c>
      <c r="C7" s="99">
        <f>Selenium!C9</f>
        <v>0.11</v>
      </c>
      <c r="D7" s="106">
        <f>Selenium!D9</f>
        <v>5.1999999999999998E-2</v>
      </c>
      <c r="F7" s="108">
        <f>Selenium!F9*(1-C20)</f>
        <v>8.2830000000000001E-2</v>
      </c>
      <c r="G7" s="324"/>
      <c r="H7" s="99">
        <f>Selenium!G9</f>
        <v>9</v>
      </c>
      <c r="I7" s="109" t="str">
        <f>Selenium!H9</f>
        <v>not applicable</v>
      </c>
      <c r="J7" s="321">
        <f>Selenium!I9</f>
        <v>0.33333333333333331</v>
      </c>
      <c r="K7" s="101" t="str">
        <f>Selenium!J9</f>
        <v>not applicable</v>
      </c>
      <c r="L7" s="96">
        <f>Selenium!K9</f>
        <v>21284896.199999999</v>
      </c>
      <c r="M7" s="111">
        <f>Selenium!L9</f>
        <v>0.03</v>
      </c>
      <c r="N7" s="50"/>
      <c r="O7" s="50"/>
    </row>
    <row r="8" spans="1:15" s="90" customFormat="1" ht="12.75" customHeight="1" x14ac:dyDescent="0.2">
      <c r="A8" s="371"/>
      <c r="B8" s="104" t="str">
        <f>Selenium!B10</f>
        <v>WRA</v>
      </c>
      <c r="C8" s="99">
        <f>Selenium!C10</f>
        <v>0.12</v>
      </c>
      <c r="D8" s="106">
        <f>Selenium!D10</f>
        <v>5.1999999999999998E-2</v>
      </c>
      <c r="F8" s="108">
        <f>Selenium!F10*(1-C21)</f>
        <v>4.0680000000000001E-2</v>
      </c>
      <c r="G8" s="324"/>
      <c r="H8" s="99">
        <f>Selenium!G10</f>
        <v>32</v>
      </c>
      <c r="I8" s="109" t="str">
        <f>Selenium!H10</f>
        <v>not applicable</v>
      </c>
      <c r="J8" s="321">
        <f>Selenium!I10</f>
        <v>0.33333333333333331</v>
      </c>
      <c r="K8" s="101" t="str">
        <f>Selenium!J10</f>
        <v>not applicable</v>
      </c>
      <c r="L8" s="96">
        <f>Selenium!K10</f>
        <v>29797571.5</v>
      </c>
      <c r="M8" s="111">
        <f>Selenium!L10</f>
        <v>0.03</v>
      </c>
      <c r="N8" s="50"/>
      <c r="O8" s="50"/>
    </row>
    <row r="9" spans="1:15" s="90" customFormat="1" ht="25.5" customHeight="1" x14ac:dyDescent="0.2">
      <c r="A9" s="304"/>
      <c r="B9" s="305"/>
      <c r="C9" s="268"/>
      <c r="D9" s="306"/>
      <c r="E9" s="307"/>
      <c r="F9" s="308"/>
      <c r="G9" s="308"/>
      <c r="H9" s="306"/>
      <c r="I9" s="309"/>
      <c r="J9" s="310"/>
      <c r="K9" s="311"/>
      <c r="L9" s="309"/>
      <c r="M9" s="312"/>
      <c r="N9" s="50"/>
      <c r="O9" s="50"/>
    </row>
    <row r="10" spans="1:15" x14ac:dyDescent="0.2">
      <c r="J10" s="55"/>
      <c r="L10" s="56"/>
      <c r="M10" s="52"/>
    </row>
    <row r="11" spans="1:15" x14ac:dyDescent="0.2">
      <c r="A11" s="39" t="s">
        <v>138</v>
      </c>
    </row>
    <row r="12" spans="1:15" x14ac:dyDescent="0.2">
      <c r="A12" s="39" t="s">
        <v>41</v>
      </c>
    </row>
    <row r="14" spans="1:15" ht="12.75" customHeight="1" x14ac:dyDescent="0.2">
      <c r="B14" s="226"/>
      <c r="C14" s="227"/>
      <c r="E14" s="267"/>
      <c r="F14" s="267"/>
      <c r="G14" s="267"/>
      <c r="H14" s="268"/>
      <c r="I14" s="269"/>
      <c r="J14" s="270"/>
    </row>
    <row r="15" spans="1:15" x14ac:dyDescent="0.2">
      <c r="A15" s="225" t="s">
        <v>158</v>
      </c>
      <c r="B15" s="60"/>
      <c r="C15" s="59" t="s">
        <v>110</v>
      </c>
      <c r="E15" s="272"/>
      <c r="F15" s="267"/>
      <c r="G15" s="267"/>
      <c r="H15" s="268"/>
      <c r="I15" s="273"/>
      <c r="J15" s="270"/>
    </row>
    <row r="16" spans="1:15" x14ac:dyDescent="0.2">
      <c r="A16" s="57" t="s">
        <v>43</v>
      </c>
      <c r="B16" s="37"/>
      <c r="C16" s="213">
        <f>C29</f>
        <v>0.40734705367869406</v>
      </c>
      <c r="E16" s="267"/>
      <c r="F16" s="267"/>
      <c r="G16" s="267"/>
      <c r="H16" s="268"/>
      <c r="I16" s="269"/>
      <c r="J16" s="270"/>
    </row>
    <row r="17" spans="1:17" x14ac:dyDescent="0.2">
      <c r="A17" s="58" t="s">
        <v>124</v>
      </c>
      <c r="B17" s="37"/>
      <c r="C17" s="213">
        <f>D29</f>
        <v>0.40734705367869406</v>
      </c>
      <c r="E17" s="272"/>
      <c r="F17" s="267"/>
      <c r="G17" s="267"/>
      <c r="H17" s="268"/>
      <c r="I17" s="269"/>
      <c r="J17" s="270"/>
    </row>
    <row r="18" spans="1:17" x14ac:dyDescent="0.2">
      <c r="A18" s="58" t="s">
        <v>125</v>
      </c>
      <c r="B18" s="37"/>
      <c r="C18" s="213">
        <f>E29</f>
        <v>0.35325036060718024</v>
      </c>
      <c r="E18" s="267"/>
      <c r="F18" s="267"/>
      <c r="G18" s="267"/>
      <c r="H18" s="268"/>
      <c r="I18" s="269"/>
      <c r="J18" s="270"/>
    </row>
    <row r="19" spans="1:17" x14ac:dyDescent="0.2">
      <c r="A19" s="61" t="s">
        <v>122</v>
      </c>
      <c r="B19" s="37"/>
      <c r="C19" s="213">
        <f>F29</f>
        <v>0.24455028206377413</v>
      </c>
    </row>
    <row r="21" spans="1:17" x14ac:dyDescent="0.2">
      <c r="B21" s="267"/>
      <c r="C21" s="267"/>
    </row>
    <row r="22" spans="1:17" ht="18" x14ac:dyDescent="0.2">
      <c r="A22" s="274"/>
      <c r="B22" s="5"/>
      <c r="C22" s="5"/>
      <c r="D22" s="267"/>
      <c r="E22" s="268"/>
      <c r="F22" s="269"/>
      <c r="G22" s="269"/>
      <c r="H22" s="54"/>
      <c r="I22" s="51"/>
      <c r="J22" s="27"/>
    </row>
    <row r="23" spans="1:17" x14ac:dyDescent="0.2">
      <c r="B23" s="32"/>
      <c r="C23" s="32"/>
      <c r="E23" s="50"/>
      <c r="F23" s="27"/>
      <c r="G23" s="27"/>
      <c r="H23" s="54"/>
      <c r="I23" s="51"/>
      <c r="J23" s="27"/>
    </row>
    <row r="24" spans="1:17" x14ac:dyDescent="0.2">
      <c r="A24" s="32" t="s">
        <v>48</v>
      </c>
      <c r="B24" s="18"/>
      <c r="C24" s="37" t="s">
        <v>49</v>
      </c>
      <c r="D24" s="32"/>
      <c r="E24" s="32"/>
      <c r="F24" s="20"/>
      <c r="G24" s="20"/>
      <c r="H24" s="15"/>
      <c r="I24" s="15"/>
      <c r="J24" s="15"/>
    </row>
    <row r="25" spans="1:17" x14ac:dyDescent="0.2">
      <c r="A25" s="15"/>
      <c r="C25" s="319" t="s">
        <v>49</v>
      </c>
      <c r="D25" s="38" t="s">
        <v>124</v>
      </c>
      <c r="E25" s="320" t="s">
        <v>125</v>
      </c>
      <c r="F25" s="146" t="s">
        <v>122</v>
      </c>
      <c r="G25" s="146"/>
      <c r="H25" s="20"/>
      <c r="I25" s="15"/>
      <c r="J25" s="15"/>
    </row>
    <row r="26" spans="1:17" x14ac:dyDescent="0.2">
      <c r="A26" s="15" t="s">
        <v>139</v>
      </c>
      <c r="B26" s="147" t="s">
        <v>50</v>
      </c>
      <c r="C26" s="20">
        <f>Efficacy!D25</f>
        <v>8.9700000000000006</v>
      </c>
      <c r="D26" s="20">
        <f>Efficacy!E25</f>
        <v>8.9700000000000006</v>
      </c>
      <c r="E26" s="20">
        <f>Efficacy!F25</f>
        <v>10.77</v>
      </c>
      <c r="F26" s="20">
        <f>Efficacy!G25</f>
        <v>19.66</v>
      </c>
      <c r="G26" s="20"/>
      <c r="H26" s="16"/>
      <c r="I26" s="15"/>
      <c r="J26" s="15"/>
    </row>
    <row r="27" spans="1:17" x14ac:dyDescent="0.2">
      <c r="A27" s="15" t="s">
        <v>51</v>
      </c>
      <c r="B27" s="147" t="s">
        <v>52</v>
      </c>
      <c r="C27" s="148">
        <f>+C26+D50</f>
        <v>11.69632</v>
      </c>
      <c r="D27" s="20">
        <f>+D26+E50</f>
        <v>11.69632</v>
      </c>
      <c r="E27" s="20">
        <f>+E26+F51</f>
        <v>14.041584</v>
      </c>
      <c r="F27" s="148">
        <f>+F26+F50</f>
        <v>22.931584000000001</v>
      </c>
      <c r="G27" s="148"/>
      <c r="H27" s="16"/>
      <c r="I27" s="15"/>
      <c r="J27" s="15"/>
    </row>
    <row r="28" spans="1:17" x14ac:dyDescent="0.2">
      <c r="A28" s="15" t="s">
        <v>137</v>
      </c>
      <c r="B28" s="147" t="s">
        <v>53</v>
      </c>
      <c r="C28" s="19">
        <v>25</v>
      </c>
      <c r="D28" s="19">
        <f>E47</f>
        <v>25</v>
      </c>
      <c r="E28" s="19">
        <f t="shared" ref="E28" si="0">F47</f>
        <v>35</v>
      </c>
      <c r="F28" s="19">
        <f>H47</f>
        <v>55</v>
      </c>
      <c r="G28" s="19"/>
      <c r="H28" s="16"/>
      <c r="I28" s="15"/>
      <c r="J28" s="15"/>
    </row>
    <row r="29" spans="1:17" x14ac:dyDescent="0.2">
      <c r="A29" s="32" t="s">
        <v>54</v>
      </c>
      <c r="B29" s="149" t="s">
        <v>55</v>
      </c>
      <c r="C29" s="29">
        <f>((LN(C27/C26)-((C27-C26)/C28))/(LN(C28/C26)-((C28-C26)/C28)))</f>
        <v>0.40734705367869406</v>
      </c>
      <c r="D29" s="29">
        <f>((LN(D27/D26)-((D27-D26)/D28))/(LN(D28/D26)-((D28-D26)/D28)))</f>
        <v>0.40734705367869406</v>
      </c>
      <c r="E29" s="29">
        <f>((LN(E27/E26)-((E27-E26)/E28))/(LN(E28/E26)-((E28-E26)/E28)))</f>
        <v>0.35325036060718024</v>
      </c>
      <c r="F29" s="29">
        <f>((LN(F27/F26)-((F27-F26)/F28))/(LN(F28/F26)-((F28-F26)/F28)))</f>
        <v>0.24455028206377413</v>
      </c>
      <c r="G29" s="29"/>
      <c r="H29" s="16"/>
      <c r="I29" s="15"/>
      <c r="J29" s="15"/>
    </row>
    <row r="30" spans="1:17" x14ac:dyDescent="0.2">
      <c r="A30" s="15"/>
      <c r="B30" s="25"/>
      <c r="C30" s="18"/>
      <c r="D30" s="17"/>
      <c r="E30" s="19"/>
      <c r="F30" s="20"/>
      <c r="G30" s="20"/>
      <c r="H30" s="15"/>
      <c r="I30" s="15"/>
      <c r="J30" s="15"/>
    </row>
    <row r="31" spans="1:17" ht="15" x14ac:dyDescent="0.25">
      <c r="A31" s="15"/>
      <c r="B31" s="25"/>
      <c r="C31" s="18"/>
      <c r="D31" s="17"/>
      <c r="E31" s="19"/>
      <c r="F31" s="20"/>
      <c r="G31" s="20"/>
      <c r="H31" s="15"/>
      <c r="I31" s="15"/>
      <c r="J31" s="181"/>
      <c r="L31" s="51"/>
      <c r="M31" s="51"/>
      <c r="Q31" s="183">
        <f>1000/365</f>
        <v>2.7397260273972601</v>
      </c>
    </row>
    <row r="32" spans="1:17" x14ac:dyDescent="0.2">
      <c r="A32" s="15"/>
      <c r="B32" s="25"/>
      <c r="C32" s="18"/>
      <c r="D32" s="17"/>
      <c r="E32" s="19"/>
      <c r="F32" s="20"/>
      <c r="G32" s="20"/>
      <c r="H32" s="15"/>
      <c r="I32" s="15"/>
      <c r="L32" s="51"/>
      <c r="Q32" s="2">
        <f>0.400657407- 0.330120482</f>
        <v>7.0536925000000028E-2</v>
      </c>
    </row>
    <row r="33" spans="1:17" x14ac:dyDescent="0.2">
      <c r="A33" s="15"/>
      <c r="B33" s="25"/>
      <c r="C33" s="18"/>
      <c r="D33" s="17"/>
      <c r="E33" s="19"/>
      <c r="F33" s="20"/>
      <c r="G33" s="20"/>
      <c r="H33" s="15"/>
      <c r="I33" s="15"/>
      <c r="J33" s="15"/>
      <c r="L33" s="51"/>
    </row>
    <row r="34" spans="1:17" x14ac:dyDescent="0.2">
      <c r="A34" s="15"/>
      <c r="B34" s="219">
        <f>Efficacy!E17</f>
        <v>5.43</v>
      </c>
      <c r="C34" s="18"/>
      <c r="D34" s="17"/>
      <c r="E34" s="19"/>
      <c r="F34" s="20"/>
      <c r="G34" s="20"/>
      <c r="H34" s="15"/>
      <c r="I34" s="15"/>
      <c r="J34" s="15"/>
      <c r="L34" s="51"/>
    </row>
    <row r="35" spans="1:17" ht="13.5" thickBot="1" x14ac:dyDescent="0.25">
      <c r="A35" s="15" t="s">
        <v>111</v>
      </c>
      <c r="B35" s="25"/>
      <c r="C35"/>
      <c r="D35" s="17"/>
      <c r="E35" s="17"/>
      <c r="F35" s="20"/>
      <c r="G35" s="20"/>
      <c r="H35" s="15"/>
      <c r="I35" s="15"/>
      <c r="J35" s="15"/>
      <c r="L35" s="51"/>
      <c r="M35" s="51"/>
      <c r="N35" s="51"/>
    </row>
    <row r="36" spans="1:17" ht="34.5" customHeight="1" thickBot="1" x14ac:dyDescent="0.3">
      <c r="A36" s="150" t="s">
        <v>140</v>
      </c>
      <c r="B36" s="151">
        <f>Efficacy!B16</f>
        <v>5.2999999999999999E-2</v>
      </c>
      <c r="C36" s="142" t="str">
        <f>Efficacy!C16</f>
        <v xml:space="preserve">The geonutrition grain data </v>
      </c>
      <c r="D36"/>
      <c r="E36"/>
      <c r="F36"/>
      <c r="G36"/>
      <c r="H36" s="15"/>
      <c r="I36" s="15"/>
      <c r="J36" s="15"/>
      <c r="P36" s="183"/>
      <c r="Q36" s="2">
        <f>0.400657407*0.330120482</f>
        <v>0.13226521631571017</v>
      </c>
    </row>
    <row r="37" spans="1:17" ht="13.5" thickBot="1" x14ac:dyDescent="0.25">
      <c r="A37" s="150" t="s">
        <v>141</v>
      </c>
      <c r="B37" s="151">
        <f>(1+B34)*B36</f>
        <v>0.34078999999999998</v>
      </c>
      <c r="C37" s="142">
        <f>Efficacy!C17</f>
        <v>0</v>
      </c>
      <c r="D37"/>
      <c r="E37"/>
      <c r="F37"/>
      <c r="G37"/>
      <c r="H37" s="15"/>
      <c r="I37" s="15"/>
      <c r="J37" s="15"/>
    </row>
    <row r="38" spans="1:17" x14ac:dyDescent="0.2">
      <c r="A38" s="150" t="s">
        <v>152</v>
      </c>
      <c r="B38" s="152">
        <f>+B37-B36</f>
        <v>0.28778999999999999</v>
      </c>
      <c r="C38" s="142">
        <f>Efficacy!C18</f>
        <v>0</v>
      </c>
      <c r="D38"/>
      <c r="E38"/>
      <c r="F38"/>
      <c r="G38"/>
      <c r="H38" s="15"/>
      <c r="I38" s="15"/>
      <c r="J38" s="15"/>
    </row>
    <row r="39" spans="1:17" x14ac:dyDescent="0.2">
      <c r="A39" s="153" t="s">
        <v>127</v>
      </c>
      <c r="B39" s="154">
        <v>0.8</v>
      </c>
      <c r="C39" s="142">
        <f>Efficacy!C19</f>
        <v>0</v>
      </c>
      <c r="D39"/>
      <c r="E39"/>
      <c r="F39"/>
      <c r="G39"/>
      <c r="H39" s="15"/>
      <c r="I39" s="15"/>
      <c r="J39" s="15"/>
    </row>
    <row r="40" spans="1:17" ht="13.5" thickBot="1" x14ac:dyDescent="0.25">
      <c r="A40" s="155" t="s">
        <v>56</v>
      </c>
      <c r="B40" s="156">
        <v>0.2</v>
      </c>
      <c r="C40" s="142"/>
      <c r="D40"/>
      <c r="E40"/>
      <c r="F40"/>
      <c r="G40"/>
      <c r="H40"/>
      <c r="I40"/>
      <c r="J40" s="15"/>
    </row>
    <row r="41" spans="1:17" ht="13.5" thickBot="1" x14ac:dyDescent="0.25">
      <c r="B41" s="25"/>
      <c r="C41"/>
      <c r="D41"/>
      <c r="E41"/>
      <c r="F41"/>
      <c r="G41"/>
      <c r="H41"/>
      <c r="I41"/>
      <c r="J41" s="15"/>
    </row>
    <row r="42" spans="1:17" ht="13.5" thickBot="1" x14ac:dyDescent="0.25">
      <c r="A42" s="15"/>
      <c r="B42" s="158"/>
      <c r="C42" s="159"/>
      <c r="D42"/>
      <c r="E42"/>
      <c r="F42"/>
      <c r="G42"/>
      <c r="H42" s="15"/>
      <c r="I42" s="15"/>
      <c r="J42" s="15"/>
    </row>
    <row r="43" spans="1:17" ht="13.5" thickBot="1" x14ac:dyDescent="0.25">
      <c r="A43" s="157"/>
      <c r="B43" s="162"/>
      <c r="C43" s="163"/>
      <c r="D43" s="157" t="s">
        <v>49</v>
      </c>
      <c r="E43" s="253" t="s">
        <v>124</v>
      </c>
      <c r="F43" s="160" t="s">
        <v>125</v>
      </c>
      <c r="G43" s="323"/>
      <c r="H43" s="222" t="s">
        <v>122</v>
      </c>
      <c r="I43" s="15" t="s">
        <v>57</v>
      </c>
      <c r="J43" s="15"/>
    </row>
    <row r="44" spans="1:17" ht="13.5" thickBot="1" x14ac:dyDescent="0.25">
      <c r="A44" s="161"/>
      <c r="B44" s="158"/>
      <c r="C44" s="160"/>
      <c r="D44" s="161"/>
      <c r="E44" s="162"/>
      <c r="F44" s="164"/>
      <c r="G44" s="323"/>
      <c r="I44" s="15"/>
      <c r="J44" s="15"/>
    </row>
    <row r="45" spans="1:17" x14ac:dyDescent="0.2">
      <c r="A45" s="165" t="s">
        <v>58</v>
      </c>
      <c r="B45" s="168"/>
      <c r="C45" s="169" t="s">
        <v>61</v>
      </c>
      <c r="D45" s="212">
        <f>Efficacy!D24</f>
        <v>50</v>
      </c>
      <c r="E45" s="212">
        <f>Efficacy!E24</f>
        <v>50</v>
      </c>
      <c r="F45" s="212">
        <f>Efficacy!F24</f>
        <v>60</v>
      </c>
      <c r="G45" s="212"/>
      <c r="H45" s="212">
        <f>Efficacy!G24</f>
        <v>137.5</v>
      </c>
      <c r="I45" s="23" t="str">
        <f>Efficacy!H24</f>
        <v>LSMS_2018</v>
      </c>
      <c r="J45" s="15"/>
    </row>
    <row r="46" spans="1:17" x14ac:dyDescent="0.2">
      <c r="A46" s="167" t="s">
        <v>148</v>
      </c>
      <c r="B46" s="168"/>
      <c r="C46" s="169" t="s">
        <v>53</v>
      </c>
      <c r="D46" s="170">
        <f>Efficacy!D25</f>
        <v>8.9700000000000006</v>
      </c>
      <c r="E46" s="170">
        <f>Efficacy!E25</f>
        <v>8.9700000000000006</v>
      </c>
      <c r="F46" s="170">
        <f>Efficacy!F25</f>
        <v>10.77</v>
      </c>
      <c r="G46" s="170"/>
      <c r="H46" s="170">
        <f>Efficacy!G25</f>
        <v>19.66</v>
      </c>
      <c r="I46" s="23">
        <f>Efficacy!H25</f>
        <v>0</v>
      </c>
      <c r="J46" s="15"/>
    </row>
    <row r="47" spans="1:17" ht="13.5" thickBot="1" x14ac:dyDescent="0.25">
      <c r="A47" s="167" t="s">
        <v>149</v>
      </c>
      <c r="B47" s="162"/>
      <c r="C47" s="164"/>
      <c r="D47" s="170">
        <f>Efficacy!D26</f>
        <v>25</v>
      </c>
      <c r="E47" s="170">
        <f>Efficacy!E26</f>
        <v>25</v>
      </c>
      <c r="F47" s="170">
        <f>Efficacy!F26</f>
        <v>35</v>
      </c>
      <c r="G47" s="170"/>
      <c r="H47" s="170">
        <f>Efficacy!G26</f>
        <v>55</v>
      </c>
      <c r="I47" s="23">
        <f>Efficacy!H26</f>
        <v>0</v>
      </c>
      <c r="J47" s="15"/>
    </row>
    <row r="48" spans="1:17" ht="13.5" thickBot="1" x14ac:dyDescent="0.25">
      <c r="A48" s="171" t="s">
        <v>150</v>
      </c>
      <c r="B48" s="158"/>
      <c r="C48" s="160"/>
      <c r="D48" s="172">
        <f>D47-D46</f>
        <v>16.03</v>
      </c>
      <c r="E48" s="172">
        <f>E47-E46</f>
        <v>16.03</v>
      </c>
      <c r="F48" s="172">
        <f>F47-F46</f>
        <v>24.23</v>
      </c>
      <c r="G48" s="172"/>
      <c r="H48" s="172">
        <f>H47-H46</f>
        <v>35.340000000000003</v>
      </c>
      <c r="I48" s="15"/>
      <c r="J48" s="15"/>
    </row>
    <row r="49" spans="1:10" x14ac:dyDescent="0.2">
      <c r="A49" s="165" t="str">
        <f>"Se intake through maize (µg/day)"</f>
        <v>Se intake through maize (µg/day)</v>
      </c>
      <c r="B49" s="168"/>
      <c r="C49" s="175"/>
      <c r="D49" s="182">
        <f>B37*B39*D45</f>
        <v>13.631599999999999</v>
      </c>
      <c r="E49" s="173">
        <f>$B37*$B39*E45</f>
        <v>13.631599999999999</v>
      </c>
      <c r="F49" s="173">
        <f>$B37*$B39*F45</f>
        <v>16.35792</v>
      </c>
      <c r="G49" s="173"/>
      <c r="H49" s="173">
        <f>$B37*$B39*H45</f>
        <v>37.486899999999999</v>
      </c>
      <c r="I49" s="15"/>
      <c r="J49" s="15"/>
    </row>
    <row r="50" spans="1:10" x14ac:dyDescent="0.2">
      <c r="A50" s="174" t="str">
        <f>"Se from maize after after cosidering technology technology coverage"</f>
        <v>Se from maize after after cosidering technology technology coverage</v>
      </c>
      <c r="B50" s="168"/>
      <c r="C50" s="169" t="s">
        <v>59</v>
      </c>
      <c r="D50" s="17">
        <f>+D49*B40</f>
        <v>2.7263199999999999</v>
      </c>
      <c r="E50" s="17">
        <f>+E49*B40</f>
        <v>2.7263199999999999</v>
      </c>
      <c r="F50" s="17">
        <f>+F49*B40</f>
        <v>3.2715840000000003</v>
      </c>
      <c r="G50" s="17"/>
      <c r="H50" s="17">
        <f>+H49*B40</f>
        <v>7.4973799999999997</v>
      </c>
      <c r="I50" s="15"/>
      <c r="J50" s="15"/>
    </row>
    <row r="51" spans="1:10" x14ac:dyDescent="0.2">
      <c r="A51" s="174" t="s">
        <v>151</v>
      </c>
      <c r="B51" s="168"/>
      <c r="C51" s="175"/>
      <c r="D51" s="176">
        <f>+D50</f>
        <v>2.7263199999999999</v>
      </c>
      <c r="E51" s="176">
        <f t="shared" ref="E51:H51" si="1">+E50</f>
        <v>2.7263199999999999</v>
      </c>
      <c r="F51" s="176">
        <f t="shared" si="1"/>
        <v>3.2715840000000003</v>
      </c>
      <c r="G51" s="176"/>
      <c r="H51" s="176">
        <f t="shared" si="1"/>
        <v>7.4973799999999997</v>
      </c>
      <c r="I51" s="15"/>
      <c r="J51" s="15"/>
    </row>
    <row r="52" spans="1:10" ht="13.5" thickBot="1" x14ac:dyDescent="0.25">
      <c r="A52" s="174" t="str">
        <f>"Contribution of maize to reduce Se deficit (%)"</f>
        <v>Contribution of maize to reduce Se deficit (%)</v>
      </c>
      <c r="B52" s="162"/>
      <c r="C52" s="164"/>
      <c r="D52" s="176">
        <f>+D51/D48</f>
        <v>0.1700761072988147</v>
      </c>
      <c r="E52" s="176">
        <f>+E51/E48</f>
        <v>0.1700761072988147</v>
      </c>
      <c r="F52" s="176">
        <f>+F51/F48</f>
        <v>0.13502203879488239</v>
      </c>
      <c r="G52" s="176"/>
      <c r="H52" s="176">
        <f>+H51/H48</f>
        <v>0.21214997170345215</v>
      </c>
      <c r="I52" s="15"/>
      <c r="J52" s="15"/>
    </row>
    <row r="53" spans="1:10" ht="13.5" thickBot="1" x14ac:dyDescent="0.25">
      <c r="A53" s="177" t="s">
        <v>60</v>
      </c>
      <c r="B53" s="25"/>
      <c r="C53" s="18"/>
      <c r="D53" s="29">
        <f>C29</f>
        <v>0.40734705367869406</v>
      </c>
      <c r="E53" s="29">
        <f t="shared" ref="E53" si="2">D29</f>
        <v>0.40734705367869406</v>
      </c>
      <c r="F53" s="29">
        <f>E29</f>
        <v>0.35325036060718024</v>
      </c>
      <c r="G53" s="29"/>
      <c r="H53" s="29">
        <f>F29</f>
        <v>0.24455028206377413</v>
      </c>
      <c r="I53" s="15"/>
      <c r="J53" s="15"/>
    </row>
    <row r="54" spans="1:10" x14ac:dyDescent="0.2">
      <c r="A54" s="15"/>
      <c r="B54" s="25"/>
      <c r="C54" s="18"/>
      <c r="D54" s="17"/>
      <c r="E54" s="19"/>
      <c r="F54" s="20"/>
      <c r="G54" s="20"/>
      <c r="H54" s="15"/>
      <c r="I54" s="15"/>
      <c r="J54" s="15"/>
    </row>
    <row r="55" spans="1:10" x14ac:dyDescent="0.2">
      <c r="A55" s="15"/>
      <c r="D55" s="17"/>
      <c r="E55" s="19"/>
      <c r="F55" s="20"/>
      <c r="G55" s="20"/>
      <c r="H55" s="15"/>
      <c r="I55" s="15"/>
      <c r="J55" s="15"/>
    </row>
  </sheetData>
  <mergeCells count="2">
    <mergeCell ref="A2:A4"/>
    <mergeCell ref="A7:A8"/>
  </mergeCells>
  <phoneticPr fontId="8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38"/>
  <sheetViews>
    <sheetView zoomScale="75" workbookViewId="0">
      <selection activeCell="M22" sqref="M22"/>
    </sheetView>
  </sheetViews>
  <sheetFormatPr defaultColWidth="9.140625" defaultRowHeight="12.75" x14ac:dyDescent="0.2"/>
  <cols>
    <col min="1" max="1" width="15.7109375" style="21" customWidth="1"/>
    <col min="2" max="2" width="12.7109375" style="16" customWidth="1"/>
    <col min="3" max="3" width="11.7109375" style="15" customWidth="1"/>
    <col min="4" max="4" width="10.7109375" style="25" customWidth="1"/>
    <col min="5" max="5" width="11.7109375" style="18" customWidth="1"/>
    <col min="6" max="6" width="10.7109375" style="17" customWidth="1"/>
    <col min="7" max="7" width="11.7109375" style="19" customWidth="1"/>
    <col min="8" max="8" width="10.7109375" style="20" customWidth="1"/>
    <col min="9" max="11" width="11.7109375" style="15" customWidth="1"/>
    <col min="12" max="12" width="12.7109375" style="15" customWidth="1"/>
    <col min="13" max="13" width="18.5703125" style="15" customWidth="1"/>
    <col min="14" max="19" width="16.7109375" style="15" customWidth="1"/>
    <col min="20" max="20" width="8.7109375" style="16" customWidth="1"/>
    <col min="21" max="16384" width="9.140625" style="16"/>
  </cols>
  <sheetData>
    <row r="1" spans="1:20" s="228" customFormat="1" ht="25.5" x14ac:dyDescent="0.2">
      <c r="A1" s="115" t="s">
        <v>17</v>
      </c>
      <c r="B1" s="116" t="s">
        <v>16</v>
      </c>
      <c r="C1" s="73" t="s">
        <v>18</v>
      </c>
      <c r="D1" s="74" t="s">
        <v>19</v>
      </c>
      <c r="E1" s="75" t="s">
        <v>20</v>
      </c>
      <c r="F1" s="76" t="s">
        <v>21</v>
      </c>
      <c r="G1" s="77" t="s">
        <v>22</v>
      </c>
      <c r="H1" s="78" t="s">
        <v>23</v>
      </c>
      <c r="I1" s="73" t="s">
        <v>24</v>
      </c>
      <c r="J1" s="73" t="s">
        <v>25</v>
      </c>
      <c r="K1" s="73" t="s">
        <v>26</v>
      </c>
      <c r="L1" s="73" t="s">
        <v>27</v>
      </c>
      <c r="M1" s="73" t="s">
        <v>39</v>
      </c>
      <c r="N1" s="73" t="s">
        <v>40</v>
      </c>
      <c r="O1" s="105"/>
      <c r="P1" s="105"/>
      <c r="Q1" s="277"/>
      <c r="R1" s="277"/>
      <c r="S1" s="277"/>
      <c r="T1" s="278"/>
    </row>
    <row r="2" spans="1:20" s="281" customFormat="1" x14ac:dyDescent="0.2">
      <c r="A2" s="372" t="str">
        <f>Selenium!A4</f>
        <v>Goiter</v>
      </c>
      <c r="B2" s="127" t="str">
        <f>Selenium!B4</f>
        <v>PSA</v>
      </c>
      <c r="C2" s="84">
        <f>Selenium!K4</f>
        <v>20921765.599999998</v>
      </c>
      <c r="D2" s="79">
        <f>'Selenium pessimist'!F2</f>
        <v>3.0003055407516115E-2</v>
      </c>
      <c r="E2" s="86"/>
      <c r="F2" s="81">
        <f>'Selenium pessimist'!D2</f>
        <v>1.0999999999999999E-2</v>
      </c>
      <c r="G2" s="82">
        <f>'Selenium pessimist'!J2</f>
        <v>2</v>
      </c>
      <c r="H2" s="83">
        <f>'Selenium pessimist'!M2</f>
        <v>0.03</v>
      </c>
      <c r="I2" s="84">
        <f t="shared" ref="I2:I5" si="0">C2*E2*((1-EXP(-H2*G2))/H2)</f>
        <v>0</v>
      </c>
      <c r="J2" s="84">
        <f t="shared" ref="J2:J5" si="1">C2*D2*F2*((1-EXP(-H2*G2))/H2)</f>
        <v>13403.641538078122</v>
      </c>
      <c r="K2" s="84">
        <f t="shared" ref="K2:K5" si="2">SUM(I2:J2)</f>
        <v>13403.641538078122</v>
      </c>
      <c r="L2" s="84">
        <f t="shared" ref="L2:L5" si="3">C2*E2</f>
        <v>0</v>
      </c>
      <c r="M2" s="85"/>
      <c r="N2" s="85"/>
      <c r="O2" s="15"/>
      <c r="P2" s="15"/>
      <c r="Q2" s="279"/>
      <c r="R2" s="279"/>
      <c r="S2" s="279"/>
      <c r="T2" s="280"/>
    </row>
    <row r="3" spans="1:20" s="281" customFormat="1" x14ac:dyDescent="0.2">
      <c r="A3" s="372"/>
      <c r="B3" s="127" t="str">
        <f>Selenium!B5</f>
        <v>SAC</v>
      </c>
      <c r="C3" s="84">
        <f>Selenium!K5</f>
        <v>21284896.199999999</v>
      </c>
      <c r="D3" s="79">
        <f>'Selenium pessimist'!F3</f>
        <v>2.9132837506449565E-2</v>
      </c>
      <c r="E3" s="86"/>
      <c r="F3" s="81">
        <f>'Selenium pessimist'!D3</f>
        <v>1.0999999999999999E-2</v>
      </c>
      <c r="G3" s="82">
        <f>'Selenium pessimist'!J3</f>
        <v>2</v>
      </c>
      <c r="H3" s="83">
        <f>'Selenium pessimist'!M3</f>
        <v>0.03</v>
      </c>
      <c r="I3" s="85">
        <f t="shared" si="0"/>
        <v>0</v>
      </c>
      <c r="J3" s="84">
        <f t="shared" si="1"/>
        <v>13240.772134049186</v>
      </c>
      <c r="K3" s="84">
        <f t="shared" si="2"/>
        <v>13240.772134049186</v>
      </c>
      <c r="L3" s="84">
        <f t="shared" si="3"/>
        <v>0</v>
      </c>
      <c r="M3" s="85"/>
      <c r="N3" s="85"/>
      <c r="O3" s="15"/>
      <c r="P3" s="15"/>
      <c r="Q3" s="279"/>
      <c r="R3" s="279"/>
      <c r="S3" s="279"/>
      <c r="T3" s="280"/>
    </row>
    <row r="4" spans="1:20" s="281" customFormat="1" x14ac:dyDescent="0.2">
      <c r="A4" s="373"/>
      <c r="B4" s="127" t="str">
        <f>Selenium!B6</f>
        <v>WRA</v>
      </c>
      <c r="C4" s="84">
        <f>Selenium!K6</f>
        <v>29797571.5</v>
      </c>
      <c r="D4" s="79">
        <f>'Selenium pessimist'!F4</f>
        <v>3.245411988254026E-2</v>
      </c>
      <c r="E4" s="113"/>
      <c r="F4" s="81">
        <f>'Selenium pessimist'!D4</f>
        <v>1.0999999999999999E-2</v>
      </c>
      <c r="G4" s="82">
        <f>'Selenium pessimist'!J4</f>
        <v>2</v>
      </c>
      <c r="H4" s="83">
        <f>'Selenium pessimist'!M4</f>
        <v>0.03</v>
      </c>
      <c r="I4" s="112">
        <f t="shared" si="0"/>
        <v>0</v>
      </c>
      <c r="J4" s="84">
        <f t="shared" si="1"/>
        <v>20649.507367164613</v>
      </c>
      <c r="K4" s="112">
        <f t="shared" si="2"/>
        <v>20649.507367164613</v>
      </c>
      <c r="L4" s="112">
        <f t="shared" si="3"/>
        <v>0</v>
      </c>
      <c r="M4" s="85"/>
      <c r="N4" s="85"/>
      <c r="O4" s="15"/>
      <c r="P4" s="15"/>
      <c r="Q4" s="279"/>
      <c r="R4" s="279"/>
      <c r="S4" s="279"/>
    </row>
    <row r="5" spans="1:20" s="281" customFormat="1" ht="25.5" x14ac:dyDescent="0.2">
      <c r="A5" s="349" t="str">
        <f>Selenium!A7</f>
        <v>Cogitive dysfunction</v>
      </c>
      <c r="B5" s="127" t="str">
        <f>Selenium!B7</f>
        <v>PSA</v>
      </c>
      <c r="C5" s="84">
        <f>Selenium!K7</f>
        <v>20921765.599999998</v>
      </c>
      <c r="D5" s="79">
        <f>'Selenium pessimist'!F5</f>
        <v>2.5090782386470874E-4</v>
      </c>
      <c r="E5" s="87"/>
      <c r="F5" s="81">
        <f>'Selenium pessimist'!D5</f>
        <v>3.1E-2</v>
      </c>
      <c r="G5" s="82">
        <f>'Selenium pessimist'!J5</f>
        <v>70.294147910000007</v>
      </c>
      <c r="H5" s="83">
        <f>'Selenium pessimist'!M5</f>
        <v>0.03</v>
      </c>
      <c r="I5" s="112">
        <f t="shared" si="0"/>
        <v>0</v>
      </c>
      <c r="J5" s="84">
        <f t="shared" si="1"/>
        <v>4765.9971315364492</v>
      </c>
      <c r="K5" s="85">
        <f t="shared" si="2"/>
        <v>4765.9971315364492</v>
      </c>
      <c r="L5" s="112">
        <f t="shared" si="3"/>
        <v>0</v>
      </c>
      <c r="M5" s="85"/>
      <c r="N5" s="85"/>
      <c r="O5" s="15"/>
      <c r="P5" s="15"/>
      <c r="Q5" s="279"/>
      <c r="R5" s="279"/>
      <c r="S5" s="279"/>
    </row>
    <row r="6" spans="1:20" s="281" customFormat="1" ht="12.75" customHeight="1" x14ac:dyDescent="0.2">
      <c r="A6" s="374" t="s">
        <v>155</v>
      </c>
      <c r="B6" s="127" t="str">
        <f>Selenium!B8</f>
        <v>PSA</v>
      </c>
      <c r="C6" s="84">
        <f>Selenium!K8</f>
        <v>20921765.599999998</v>
      </c>
      <c r="D6" s="79">
        <f>'Selenium pessimist'!F6</f>
        <v>7.2659153871106219E-2</v>
      </c>
      <c r="E6" s="87"/>
      <c r="F6" s="81">
        <f>'Selenium pessimist'!D6</f>
        <v>5.1999999999999998E-2</v>
      </c>
      <c r="G6" s="82">
        <f>'Selenium pessimist'!J6</f>
        <v>0.33333333333333331</v>
      </c>
      <c r="H6" s="83">
        <f>'Selenium pessimist'!M6</f>
        <v>0.03</v>
      </c>
      <c r="I6" s="112">
        <f t="shared" ref="I6:I8" si="4">IFERROR(C6*E6*((1-EXP(-H6*G6))/H6),"0")</f>
        <v>0</v>
      </c>
      <c r="J6" s="84">
        <f t="shared" ref="J6:J8" si="5">C6*D6*F6*((1-EXP(-H6*G6))/H6)</f>
        <v>26218.092676625922</v>
      </c>
      <c r="K6" s="85">
        <f t="shared" ref="K6:K8" si="6">SUM(I6:J6)</f>
        <v>26218.092676625922</v>
      </c>
      <c r="L6" s="112">
        <f t="shared" ref="L6:L8" si="7">IFERROR(C6*E6,"0")</f>
        <v>0</v>
      </c>
      <c r="M6" s="85"/>
      <c r="N6" s="85"/>
      <c r="O6" s="15"/>
      <c r="P6" s="15"/>
      <c r="Q6" s="279"/>
      <c r="R6" s="279"/>
      <c r="S6" s="279"/>
    </row>
    <row r="7" spans="1:20" s="281" customFormat="1" ht="12.75" customHeight="1" x14ac:dyDescent="0.2">
      <c r="A7" s="375"/>
      <c r="B7" s="127" t="str">
        <f>Selenium!B9</f>
        <v>SAC</v>
      </c>
      <c r="C7" s="84">
        <f>Selenium!K9</f>
        <v>21284896.199999999</v>
      </c>
      <c r="D7" s="79">
        <f>'Selenium pessimist'!F7</f>
        <v>8.2830000000000001E-2</v>
      </c>
      <c r="E7" s="87"/>
      <c r="F7" s="81">
        <f>'Selenium pessimist'!D7</f>
        <v>5.1999999999999998E-2</v>
      </c>
      <c r="G7" s="82">
        <f>'Selenium pessimist'!J7</f>
        <v>0.33333333333333331</v>
      </c>
      <c r="H7" s="83">
        <f>'Selenium pessimist'!M7</f>
        <v>0.03</v>
      </c>
      <c r="I7" s="112">
        <f t="shared" si="4"/>
        <v>0</v>
      </c>
      <c r="J7" s="84">
        <f t="shared" si="5"/>
        <v>30406.863464833117</v>
      </c>
      <c r="K7" s="85">
        <f t="shared" si="6"/>
        <v>30406.863464833117</v>
      </c>
      <c r="L7" s="112">
        <f t="shared" si="7"/>
        <v>0</v>
      </c>
      <c r="M7" s="85"/>
      <c r="N7" s="85"/>
      <c r="O7" s="15"/>
      <c r="P7" s="15"/>
      <c r="Q7" s="279"/>
      <c r="R7" s="279"/>
      <c r="S7" s="279"/>
    </row>
    <row r="8" spans="1:20" s="281" customFormat="1" ht="12.75" customHeight="1" x14ac:dyDescent="0.2">
      <c r="A8" s="375"/>
      <c r="B8" s="127" t="str">
        <f>Selenium!B10</f>
        <v>WRA</v>
      </c>
      <c r="C8" s="84">
        <f>Selenium!K10</f>
        <v>29797571.5</v>
      </c>
      <c r="D8" s="79">
        <f>'Selenium pessimist'!F8</f>
        <v>4.0680000000000001E-2</v>
      </c>
      <c r="E8" s="89"/>
      <c r="F8" s="81">
        <f>'Selenium pessimist'!D8</f>
        <v>5.1999999999999998E-2</v>
      </c>
      <c r="G8" s="82">
        <f>'Selenium pessimist'!J8</f>
        <v>0.33333333333333331</v>
      </c>
      <c r="H8" s="83">
        <f>'Selenium pessimist'!M8</f>
        <v>0.03</v>
      </c>
      <c r="I8" s="112">
        <f t="shared" si="4"/>
        <v>0</v>
      </c>
      <c r="J8" s="84">
        <f t="shared" si="5"/>
        <v>20906.158605355096</v>
      </c>
      <c r="K8" s="85">
        <f t="shared" si="6"/>
        <v>20906.158605355096</v>
      </c>
      <c r="L8" s="112">
        <f t="shared" si="7"/>
        <v>0</v>
      </c>
      <c r="M8" s="85"/>
      <c r="N8" s="85"/>
      <c r="O8" s="15"/>
      <c r="P8" s="15"/>
      <c r="Q8" s="279"/>
      <c r="R8" s="279"/>
      <c r="S8" s="279"/>
    </row>
    <row r="9" spans="1:20" s="281" customFormat="1" ht="13.5" thickBot="1" x14ac:dyDescent="0.25">
      <c r="A9" s="314"/>
      <c r="B9" s="282"/>
      <c r="C9" s="205"/>
      <c r="D9" s="315"/>
      <c r="E9" s="215"/>
      <c r="F9" s="216"/>
      <c r="G9" s="316"/>
      <c r="H9" s="317"/>
      <c r="I9" s="283"/>
      <c r="J9" s="283"/>
      <c r="K9" s="283"/>
      <c r="L9" s="283"/>
      <c r="M9" s="283"/>
      <c r="N9" s="283"/>
      <c r="O9" s="15"/>
      <c r="P9" s="15"/>
      <c r="Q9" s="283"/>
      <c r="R9" s="283"/>
      <c r="S9" s="283"/>
    </row>
    <row r="10" spans="1:20" s="282" customFormat="1" ht="13.5" thickTop="1" x14ac:dyDescent="0.2">
      <c r="A10" s="11"/>
      <c r="B10" s="4"/>
      <c r="C10" s="6"/>
      <c r="D10" s="30"/>
      <c r="E10" s="31"/>
      <c r="F10" s="216"/>
      <c r="G10" s="13"/>
      <c r="H10" s="42" t="s">
        <v>142</v>
      </c>
      <c r="I10" s="6">
        <f>SUM(I2:I9)</f>
        <v>0</v>
      </c>
      <c r="J10" s="6">
        <f>SUM(J2:J9)</f>
        <v>129591.03291764251</v>
      </c>
      <c r="K10" s="6">
        <f>SUM(K2:K9)</f>
        <v>129591.03291764251</v>
      </c>
      <c r="L10" s="6">
        <f>SUM(L2:L9)</f>
        <v>0</v>
      </c>
      <c r="M10" s="43">
        <f>K10*1000</f>
        <v>129591032.91764252</v>
      </c>
      <c r="N10" s="43">
        <f>K10*500</f>
        <v>64795516.458821259</v>
      </c>
      <c r="O10" s="43"/>
      <c r="P10" s="43"/>
      <c r="Q10" s="284"/>
      <c r="R10" s="284"/>
      <c r="S10" s="284"/>
    </row>
    <row r="11" spans="1:20" s="282" customFormat="1" x14ac:dyDescent="0.2">
      <c r="A11" s="11"/>
      <c r="B11" s="35"/>
      <c r="C11" s="32"/>
      <c r="D11" s="29"/>
      <c r="E11" s="36"/>
      <c r="F11" s="41"/>
      <c r="G11" s="13"/>
      <c r="H11" s="42"/>
      <c r="I11" s="6"/>
      <c r="J11" s="6"/>
      <c r="K11" s="6"/>
      <c r="L11" s="6"/>
      <c r="M11" s="43"/>
      <c r="N11" s="43"/>
      <c r="O11" s="43"/>
      <c r="P11" s="43"/>
      <c r="Q11" s="284"/>
      <c r="R11" s="284"/>
      <c r="S11" s="284"/>
    </row>
    <row r="12" spans="1:20" s="286" customFormat="1" x14ac:dyDescent="0.2">
      <c r="A12" s="7"/>
      <c r="B12" s="16"/>
      <c r="C12" s="15"/>
      <c r="D12" s="25"/>
      <c r="E12" s="18"/>
      <c r="F12" s="37"/>
      <c r="G12" s="38"/>
      <c r="H12" s="34" t="s">
        <v>142</v>
      </c>
      <c r="I12" s="48">
        <f>I10/1000000</f>
        <v>0</v>
      </c>
      <c r="J12" s="48">
        <f>J10/1000000</f>
        <v>0.12959103291764251</v>
      </c>
      <c r="K12" s="48">
        <f>K10/1000000</f>
        <v>0.12959103291764251</v>
      </c>
      <c r="L12" s="48">
        <f>L10/1000000</f>
        <v>0</v>
      </c>
      <c r="M12" s="49">
        <f>M10/1000000000</f>
        <v>0.12959103291764251</v>
      </c>
      <c r="N12" s="49">
        <f>N10/1000000000</f>
        <v>6.4795516458821256E-2</v>
      </c>
      <c r="O12" s="49"/>
      <c r="P12" s="49"/>
      <c r="Q12" s="285"/>
      <c r="R12" s="285"/>
      <c r="S12" s="285"/>
    </row>
    <row r="13" spans="1:20" s="281" customFormat="1" x14ac:dyDescent="0.2">
      <c r="A13" s="21"/>
      <c r="B13" s="16"/>
      <c r="C13" s="15"/>
      <c r="D13" s="25"/>
      <c r="E13" s="18"/>
      <c r="F13" s="17"/>
      <c r="G13" s="19"/>
      <c r="H13" s="33" t="s">
        <v>38</v>
      </c>
      <c r="I13" s="23">
        <f>'DALYs status quo'!K12</f>
        <v>0</v>
      </c>
      <c r="J13" s="23">
        <f>'DALYs status quo'!M12</f>
        <v>164483.29642115801</v>
      </c>
      <c r="K13" s="23">
        <f>'DALYs status quo'!N12</f>
        <v>164483.50097203729</v>
      </c>
      <c r="L13" s="23">
        <f>'DALYs status quo'!O12</f>
        <v>0</v>
      </c>
      <c r="M13" s="40">
        <f>K13*1000</f>
        <v>164483500.97203729</v>
      </c>
      <c r="N13" s="40">
        <f>K13*500</f>
        <v>82241750.486018643</v>
      </c>
      <c r="O13" s="40"/>
      <c r="P13" s="40"/>
      <c r="Q13" s="287"/>
      <c r="R13" s="287"/>
      <c r="S13" s="287"/>
    </row>
    <row r="14" spans="1:20" x14ac:dyDescent="0.2">
      <c r="H14" s="45" t="s">
        <v>42</v>
      </c>
      <c r="I14" s="44">
        <f>I13-I10</f>
        <v>0</v>
      </c>
      <c r="J14" s="44">
        <f>J13-J10</f>
        <v>34892.263503515496</v>
      </c>
      <c r="K14" s="44">
        <f>K13-K10</f>
        <v>34892.468054394776</v>
      </c>
      <c r="L14" s="44">
        <f>L13-L10</f>
        <v>0</v>
      </c>
      <c r="M14" s="46">
        <f>K14*1000</f>
        <v>34892468.054394774</v>
      </c>
      <c r="N14" s="46">
        <f>K14*500</f>
        <v>17446234.027197387</v>
      </c>
      <c r="O14" s="46"/>
      <c r="P14" s="46"/>
      <c r="Q14" s="46"/>
      <c r="R14" s="46"/>
      <c r="S14" s="46"/>
    </row>
    <row r="15" spans="1:20" x14ac:dyDescent="0.2">
      <c r="H15" s="28" t="s">
        <v>42</v>
      </c>
      <c r="I15" s="143">
        <f t="shared" ref="I15:N15" si="8">I14/1000000</f>
        <v>0</v>
      </c>
      <c r="J15" s="143">
        <f t="shared" si="8"/>
        <v>3.4892263503515493E-2</v>
      </c>
      <c r="K15" s="143">
        <f t="shared" si="8"/>
        <v>3.4892468054394776E-2</v>
      </c>
      <c r="L15" s="143">
        <f t="shared" si="8"/>
        <v>0</v>
      </c>
      <c r="M15" s="143">
        <f t="shared" si="8"/>
        <v>34.892468054394776</v>
      </c>
      <c r="N15" s="143">
        <f t="shared" si="8"/>
        <v>17.446234027197388</v>
      </c>
      <c r="O15" s="47"/>
      <c r="P15" s="47"/>
      <c r="Q15" s="47"/>
      <c r="R15" s="47"/>
      <c r="S15" s="47"/>
    </row>
    <row r="16" spans="1:20" x14ac:dyDescent="0.2">
      <c r="G16" s="223" t="s">
        <v>112</v>
      </c>
      <c r="K16" s="313">
        <f>1-(K10/K13)</f>
        <v>0.21213354438708476</v>
      </c>
      <c r="M16" s="23"/>
      <c r="N16" s="23"/>
      <c r="O16" s="23"/>
      <c r="P16" s="23"/>
      <c r="Q16" s="23"/>
      <c r="R16" s="23"/>
      <c r="S16" s="23"/>
      <c r="T16" s="22"/>
    </row>
    <row r="17" spans="1:20" x14ac:dyDescent="0.2">
      <c r="A17" s="39"/>
      <c r="M17" s="24"/>
      <c r="N17" s="24"/>
      <c r="O17" s="24"/>
      <c r="P17" s="24"/>
      <c r="Q17" s="24"/>
      <c r="R17" s="24"/>
      <c r="S17" s="24"/>
      <c r="T17" s="22"/>
    </row>
    <row r="18" spans="1:20" x14ac:dyDescent="0.2">
      <c r="A18" s="39"/>
      <c r="K18" s="264"/>
      <c r="M18" s="23"/>
      <c r="N18" s="23"/>
      <c r="O18" s="23"/>
      <c r="P18" s="23"/>
      <c r="Q18" s="23"/>
      <c r="R18" s="23"/>
      <c r="S18" s="23"/>
      <c r="T18" s="22"/>
    </row>
    <row r="19" spans="1:20" x14ac:dyDescent="0.2">
      <c r="M19" s="23"/>
      <c r="N19" s="23"/>
      <c r="O19" s="23"/>
      <c r="P19" s="23"/>
      <c r="Q19" s="23"/>
      <c r="R19" s="23"/>
      <c r="S19" s="23"/>
      <c r="T19" s="22"/>
    </row>
    <row r="20" spans="1:20" x14ac:dyDescent="0.2">
      <c r="M20" s="23"/>
      <c r="N20" s="23"/>
      <c r="O20" s="23"/>
      <c r="P20" s="23"/>
      <c r="Q20" s="23"/>
      <c r="R20" s="23"/>
      <c r="S20" s="23"/>
      <c r="T20" s="22"/>
    </row>
    <row r="21" spans="1:20" x14ac:dyDescent="0.2">
      <c r="C21" s="140"/>
      <c r="M21" s="23"/>
      <c r="N21" s="23"/>
      <c r="O21" s="23"/>
      <c r="P21" s="23"/>
      <c r="Q21" s="23"/>
      <c r="R21" s="23"/>
      <c r="S21" s="23"/>
      <c r="T21" s="22"/>
    </row>
    <row r="22" spans="1:20" x14ac:dyDescent="0.2">
      <c r="M22" s="23"/>
      <c r="N22" s="23"/>
      <c r="O22" s="23"/>
      <c r="P22" s="23"/>
      <c r="Q22" s="23"/>
      <c r="R22" s="23"/>
      <c r="S22" s="23"/>
      <c r="T22" s="22"/>
    </row>
    <row r="23" spans="1:20" x14ac:dyDescent="0.2">
      <c r="K23" s="62"/>
      <c r="M23" s="23"/>
      <c r="N23" s="23"/>
      <c r="O23" s="23"/>
      <c r="P23" s="23"/>
      <c r="Q23" s="23"/>
      <c r="R23" s="23"/>
      <c r="S23" s="23"/>
      <c r="T23" s="22"/>
    </row>
    <row r="24" spans="1:20" x14ac:dyDescent="0.2">
      <c r="M24" s="23"/>
      <c r="N24" s="23"/>
      <c r="O24" s="23"/>
      <c r="P24" s="23"/>
      <c r="Q24" s="23"/>
      <c r="R24" s="23"/>
      <c r="S24" s="23"/>
      <c r="T24" s="22"/>
    </row>
    <row r="25" spans="1:20" x14ac:dyDescent="0.2">
      <c r="M25" s="23"/>
      <c r="N25" s="23"/>
      <c r="O25" s="23"/>
      <c r="P25" s="23"/>
      <c r="Q25" s="23"/>
      <c r="R25" s="23"/>
      <c r="S25" s="23"/>
      <c r="T25" s="22"/>
    </row>
    <row r="26" spans="1:20" x14ac:dyDescent="0.2">
      <c r="M26" s="23"/>
      <c r="N26" s="23"/>
      <c r="O26" s="23"/>
      <c r="P26" s="23"/>
      <c r="Q26" s="23"/>
      <c r="R26" s="23"/>
      <c r="S26" s="23"/>
      <c r="T26" s="22"/>
    </row>
    <row r="27" spans="1:20" x14ac:dyDescent="0.2">
      <c r="M27" s="23"/>
      <c r="N27" s="23"/>
      <c r="O27" s="23"/>
      <c r="P27" s="23"/>
      <c r="Q27" s="23"/>
      <c r="R27" s="23"/>
      <c r="S27" s="23"/>
      <c r="T27" s="22"/>
    </row>
    <row r="28" spans="1:20" x14ac:dyDescent="0.2">
      <c r="M28" s="23"/>
      <c r="N28" s="23"/>
      <c r="O28" s="23"/>
      <c r="P28" s="23"/>
      <c r="Q28" s="23"/>
      <c r="R28" s="23"/>
      <c r="S28" s="23"/>
      <c r="T28" s="22"/>
    </row>
    <row r="29" spans="1:20" x14ac:dyDescent="0.2">
      <c r="M29" s="23"/>
      <c r="N29" s="23"/>
      <c r="O29" s="23"/>
      <c r="P29" s="23"/>
      <c r="Q29" s="23"/>
      <c r="R29" s="23"/>
      <c r="S29" s="23"/>
      <c r="T29" s="22"/>
    </row>
    <row r="30" spans="1:20" x14ac:dyDescent="0.2">
      <c r="M30" s="23"/>
      <c r="N30" s="23"/>
      <c r="O30" s="23"/>
      <c r="P30" s="23"/>
      <c r="Q30" s="23"/>
      <c r="R30" s="23"/>
      <c r="S30" s="23"/>
      <c r="T30" s="22"/>
    </row>
    <row r="31" spans="1:20" x14ac:dyDescent="0.2">
      <c r="M31" s="23"/>
      <c r="N31" s="23"/>
      <c r="O31" s="23"/>
      <c r="P31" s="23"/>
      <c r="Q31" s="23"/>
      <c r="R31" s="23"/>
      <c r="S31" s="23"/>
      <c r="T31" s="22"/>
    </row>
    <row r="32" spans="1:20" x14ac:dyDescent="0.2">
      <c r="M32" s="23"/>
      <c r="N32" s="23"/>
      <c r="O32" s="23"/>
      <c r="P32" s="23"/>
      <c r="Q32" s="23"/>
      <c r="R32" s="23"/>
      <c r="S32" s="23"/>
      <c r="T32" s="22"/>
    </row>
    <row r="33" spans="13:20" x14ac:dyDescent="0.2">
      <c r="M33" s="23"/>
      <c r="N33" s="23"/>
      <c r="O33" s="23"/>
      <c r="P33" s="23"/>
      <c r="Q33" s="23"/>
      <c r="R33" s="23"/>
      <c r="S33" s="23"/>
      <c r="T33" s="22"/>
    </row>
    <row r="34" spans="13:20" x14ac:dyDescent="0.2">
      <c r="M34" s="23"/>
      <c r="N34" s="23"/>
      <c r="O34" s="23"/>
      <c r="P34" s="23"/>
      <c r="Q34" s="23"/>
      <c r="R34" s="23"/>
      <c r="S34" s="23"/>
      <c r="T34" s="22"/>
    </row>
    <row r="35" spans="13:20" x14ac:dyDescent="0.2">
      <c r="M35" s="23"/>
      <c r="N35" s="23"/>
      <c r="O35" s="23"/>
      <c r="P35" s="23"/>
      <c r="Q35" s="23"/>
      <c r="R35" s="23"/>
      <c r="S35" s="23"/>
      <c r="T35" s="22"/>
    </row>
    <row r="36" spans="13:20" x14ac:dyDescent="0.2">
      <c r="M36" s="23"/>
      <c r="N36" s="23"/>
      <c r="O36" s="23"/>
      <c r="P36" s="23"/>
      <c r="Q36" s="23"/>
      <c r="R36" s="23"/>
      <c r="S36" s="23"/>
      <c r="T36" s="22"/>
    </row>
    <row r="37" spans="13:20" x14ac:dyDescent="0.2">
      <c r="T37" s="22"/>
    </row>
    <row r="38" spans="13:20" x14ac:dyDescent="0.2">
      <c r="T38" s="22"/>
    </row>
  </sheetData>
  <mergeCells count="2">
    <mergeCell ref="A2:A4"/>
    <mergeCell ref="A6:A8"/>
  </mergeCells>
  <phoneticPr fontId="8" type="noConversion"/>
  <pageMargins left="0.55118110236220474" right="0.55118110236220474" top="0.98425196850393704" bottom="0.39370078740157483" header="0.51181102362204722" footer="0.51181102362204722"/>
  <pageSetup paperSize="9" scale="59" fitToHeight="2" orientation="landscape" r:id="rId1"/>
  <headerFooter alignWithMargins="0"/>
  <ignoredErrors>
    <ignoredError sqref="M12:N12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6DC33-6874-41FA-9714-9494BE01DC5C}">
  <dimension ref="A1:Q55"/>
  <sheetViews>
    <sheetView topLeftCell="C1" workbookViewId="0">
      <selection activeCell="H15" sqref="H15"/>
    </sheetView>
  </sheetViews>
  <sheetFormatPr defaultColWidth="13.42578125" defaultRowHeight="12.75" x14ac:dyDescent="0.2"/>
  <cols>
    <col min="1" max="1" width="20.7109375" style="50" customWidth="1"/>
    <col min="2" max="2" width="12.7109375" style="9" customWidth="1"/>
    <col min="3" max="3" width="15.7109375" style="50" customWidth="1"/>
    <col min="4" max="4" width="22.28515625" style="5" customWidth="1"/>
    <col min="5" max="7" width="12.7109375" style="5" customWidth="1"/>
    <col min="8" max="8" width="17.7109375" style="50" customWidth="1"/>
    <col min="9" max="9" width="21.7109375" style="27" customWidth="1"/>
    <col min="10" max="10" width="15.7109375" style="54" customWidth="1"/>
    <col min="11" max="11" width="21.7109375" style="51" customWidth="1"/>
    <col min="12" max="12" width="15.7109375" style="27" customWidth="1"/>
    <col min="13" max="13" width="12.7109375" style="53" customWidth="1"/>
    <col min="14" max="16384" width="13.42578125" style="50"/>
  </cols>
  <sheetData>
    <row r="1" spans="1:15" s="72" customFormat="1" ht="25.5" x14ac:dyDescent="0.2">
      <c r="A1" s="63" t="s">
        <v>44</v>
      </c>
      <c r="B1" s="64" t="s">
        <v>16</v>
      </c>
      <c r="C1" s="65" t="s">
        <v>32</v>
      </c>
      <c r="D1" s="66" t="s">
        <v>29</v>
      </c>
      <c r="E1" s="66"/>
      <c r="F1" s="66" t="s">
        <v>31</v>
      </c>
      <c r="G1" s="66" t="s">
        <v>157</v>
      </c>
      <c r="H1" s="67" t="s">
        <v>36</v>
      </c>
      <c r="I1" s="70" t="s">
        <v>28</v>
      </c>
      <c r="J1" s="68" t="s">
        <v>35</v>
      </c>
      <c r="K1" s="69" t="s">
        <v>34</v>
      </c>
      <c r="L1" s="70" t="s">
        <v>1</v>
      </c>
      <c r="M1" s="71" t="s">
        <v>33</v>
      </c>
      <c r="N1" s="7"/>
      <c r="O1" s="7"/>
    </row>
    <row r="2" spans="1:15" s="90" customFormat="1" ht="12.75" customHeight="1" x14ac:dyDescent="0.2">
      <c r="A2" s="371" t="str">
        <f>Selenium!A4</f>
        <v>Goiter</v>
      </c>
      <c r="B2" s="104" t="str">
        <f>Selenium!B4</f>
        <v>PSA</v>
      </c>
      <c r="C2" s="90">
        <f>Selenium!C5</f>
        <v>0.21</v>
      </c>
      <c r="D2" s="90">
        <f>Selenium!D4</f>
        <v>1.0999999999999999E-2</v>
      </c>
      <c r="F2" s="91">
        <f>Selenium!F4 * (1-C17)</f>
        <v>8.8154668457841011E-4</v>
      </c>
      <c r="G2" s="91"/>
      <c r="H2" s="92" t="str">
        <f>Selenium!G5</f>
        <v>not applicable (temp)</v>
      </c>
      <c r="I2" s="93" t="str">
        <f>Selenium!H5</f>
        <v>not applicable</v>
      </c>
      <c r="J2" s="94">
        <f>Selenium!I4</f>
        <v>2</v>
      </c>
      <c r="K2" s="95" t="str">
        <f>Selenium!J5</f>
        <v>not applicable</v>
      </c>
      <c r="L2" s="96">
        <f>Selenium!K4</f>
        <v>20921765.599999998</v>
      </c>
      <c r="M2" s="97">
        <f>Selenium!L5</f>
        <v>0.03</v>
      </c>
      <c r="N2" s="50"/>
      <c r="O2" s="50"/>
    </row>
    <row r="3" spans="1:15" s="90" customFormat="1" ht="12.75" customHeight="1" x14ac:dyDescent="0.2">
      <c r="A3" s="371"/>
      <c r="B3" s="104" t="str">
        <f>Selenium!B5</f>
        <v>SAC</v>
      </c>
      <c r="C3" s="90">
        <f>Selenium!C6</f>
        <v>0.24</v>
      </c>
      <c r="D3" s="90">
        <f>Selenium!D5</f>
        <v>1.0999999999999999E-2</v>
      </c>
      <c r="F3" s="91">
        <f>Selenium!F5 * (1-C18)</f>
        <v>4.6174129914431788E-3</v>
      </c>
      <c r="G3" s="91"/>
      <c r="H3" s="92" t="str">
        <f>Selenium!G6</f>
        <v>not applicable (temp)</v>
      </c>
      <c r="I3" s="93" t="str">
        <f>Selenium!H6</f>
        <v>not applicable</v>
      </c>
      <c r="J3" s="94">
        <f>Selenium!I5</f>
        <v>2</v>
      </c>
      <c r="K3" s="95" t="str">
        <f>Selenium!J6</f>
        <v>not applicable</v>
      </c>
      <c r="L3" s="96">
        <f>Selenium!K5</f>
        <v>21284896.199999999</v>
      </c>
      <c r="M3" s="97">
        <f>Selenium!L6</f>
        <v>0.03</v>
      </c>
      <c r="N3" s="50"/>
      <c r="O3" s="50"/>
    </row>
    <row r="4" spans="1:15" s="90" customFormat="1" ht="12.75" customHeight="1" x14ac:dyDescent="0.2">
      <c r="A4" s="376"/>
      <c r="B4" s="300" t="str">
        <f>Selenium!B6</f>
        <v>WRA</v>
      </c>
      <c r="C4" s="90">
        <f>Selenium!C7</f>
        <v>0.16</v>
      </c>
      <c r="D4" s="90">
        <f>Selenium!D6</f>
        <v>1.0999999999999999E-2</v>
      </c>
      <c r="E4" s="98"/>
      <c r="F4" s="91">
        <f>Selenium!F6 * (1-C19)</f>
        <v>1.2301745165363656E-4</v>
      </c>
      <c r="G4" s="91"/>
      <c r="H4" s="99" t="str">
        <f>Selenium!G6</f>
        <v>not applicable (temp)</v>
      </c>
      <c r="I4" s="100" t="str">
        <f>Selenium!H6</f>
        <v>not applicable</v>
      </c>
      <c r="J4" s="94">
        <f>Selenium!I6</f>
        <v>2</v>
      </c>
      <c r="K4" s="101" t="str">
        <f>Selenium!J6</f>
        <v>not applicable</v>
      </c>
      <c r="L4" s="96">
        <f>Selenium!K6</f>
        <v>29797571.5</v>
      </c>
      <c r="M4" s="102">
        <f>Selenium!L6</f>
        <v>0.03</v>
      </c>
      <c r="N4" s="50"/>
      <c r="O4" s="50"/>
    </row>
    <row r="5" spans="1:15" s="90" customFormat="1" ht="12.75" customHeight="1" x14ac:dyDescent="0.2">
      <c r="A5" s="266" t="str">
        <f>Selenium!A7</f>
        <v>Cogitive dysfunction</v>
      </c>
      <c r="B5" s="104" t="str">
        <f>Selenium!B7</f>
        <v>PSA</v>
      </c>
      <c r="C5" s="106">
        <f>Selenium!C7</f>
        <v>0.16</v>
      </c>
      <c r="D5" s="106">
        <f>Selenium!D7</f>
        <v>3.1E-2</v>
      </c>
      <c r="E5" s="107"/>
      <c r="F5" s="108">
        <f>Selenium!F7*(1-C17)</f>
        <v>7.3721478448927495E-6</v>
      </c>
      <c r="G5" s="91"/>
      <c r="H5" s="107">
        <f>Selenium!G7</f>
        <v>3</v>
      </c>
      <c r="I5" s="109" t="str">
        <f>Selenium!H7</f>
        <v>not applicable</v>
      </c>
      <c r="J5" s="110">
        <f>Selenium!I7</f>
        <v>70.294147910000007</v>
      </c>
      <c r="K5" s="101" t="str">
        <f>Selenium!J7</f>
        <v>not applicable</v>
      </c>
      <c r="L5" s="96">
        <f>Selenium!K7</f>
        <v>20921765.599999998</v>
      </c>
      <c r="M5" s="111">
        <f>Selenium!L7</f>
        <v>0.03</v>
      </c>
      <c r="N5" s="50"/>
      <c r="O5" s="50"/>
    </row>
    <row r="6" spans="1:15" s="90" customFormat="1" ht="12.75" customHeight="1" x14ac:dyDescent="0.2">
      <c r="A6" s="371" t="str">
        <f>Selenium!A8</f>
        <v>Anemia</v>
      </c>
      <c r="B6" s="300" t="str">
        <f>Selenium!B8</f>
        <v>PSA</v>
      </c>
      <c r="C6" s="301">
        <f>Selenium!C8</f>
        <v>0.14000000000000001</v>
      </c>
      <c r="D6" s="301">
        <f>Selenium!D8</f>
        <v>5.1999999999999998E-2</v>
      </c>
      <c r="E6" s="98"/>
      <c r="F6" s="302">
        <f>Selenium!F8*(1-C19)</f>
        <v>2.7541476955416126E-4</v>
      </c>
      <c r="G6" s="91"/>
      <c r="H6" s="107">
        <f>Selenium!G8</f>
        <v>3</v>
      </c>
      <c r="I6" s="109" t="str">
        <f>Selenium!H8</f>
        <v>not applicable</v>
      </c>
      <c r="J6" s="110">
        <f>Selenium!I8</f>
        <v>0.33333333333333331</v>
      </c>
      <c r="K6" s="101" t="str">
        <f>Selenium!J8</f>
        <v>not applicable</v>
      </c>
      <c r="L6" s="96">
        <f>Selenium!K8</f>
        <v>20921765.599999998</v>
      </c>
      <c r="M6" s="111">
        <f>Selenium!L8</f>
        <v>0.03</v>
      </c>
      <c r="N6" s="50"/>
      <c r="O6" s="50"/>
    </row>
    <row r="7" spans="1:15" s="90" customFormat="1" ht="12.75" customHeight="1" x14ac:dyDescent="0.2">
      <c r="A7" s="371"/>
      <c r="B7" s="300" t="str">
        <f>Selenium!B9</f>
        <v>SAC</v>
      </c>
      <c r="C7" s="301">
        <f>Selenium!C9</f>
        <v>0.11</v>
      </c>
      <c r="D7" s="301">
        <f>Selenium!D9</f>
        <v>5.1999999999999998E-2</v>
      </c>
      <c r="F7" s="302">
        <f>Selenium!F9*(1-C20)</f>
        <v>8.2830000000000001E-2</v>
      </c>
      <c r="G7" s="91"/>
      <c r="H7" s="107">
        <f>Selenium!G9</f>
        <v>9</v>
      </c>
      <c r="I7" s="109" t="str">
        <f>Selenium!H9</f>
        <v>not applicable</v>
      </c>
      <c r="J7" s="110">
        <f>Selenium!I9</f>
        <v>0.33333333333333331</v>
      </c>
      <c r="K7" s="101" t="str">
        <f>Selenium!J9</f>
        <v>not applicable</v>
      </c>
      <c r="L7" s="96">
        <f>Selenium!K9</f>
        <v>21284896.199999999</v>
      </c>
      <c r="M7" s="111">
        <f>Selenium!L9</f>
        <v>0.03</v>
      </c>
      <c r="N7" s="50"/>
      <c r="O7" s="50"/>
    </row>
    <row r="8" spans="1:15" s="90" customFormat="1" ht="12.75" customHeight="1" x14ac:dyDescent="0.2">
      <c r="A8" s="371"/>
      <c r="B8" s="300" t="str">
        <f>Selenium!B10</f>
        <v>WRA</v>
      </c>
      <c r="C8" s="301">
        <f>Selenium!C10</f>
        <v>0.12</v>
      </c>
      <c r="D8" s="301">
        <f>Selenium!D10</f>
        <v>5.1999999999999998E-2</v>
      </c>
      <c r="F8" s="302">
        <f>Selenium!F10*(1-C21)</f>
        <v>4.0680000000000001E-2</v>
      </c>
      <c r="G8" s="91"/>
      <c r="H8" s="107">
        <f>Selenium!G10</f>
        <v>32</v>
      </c>
      <c r="I8" s="109" t="str">
        <f>Selenium!H10</f>
        <v>not applicable</v>
      </c>
      <c r="J8" s="110">
        <f>Selenium!I10</f>
        <v>0.33333333333333331</v>
      </c>
      <c r="K8" s="101" t="str">
        <f>Selenium!J10</f>
        <v>not applicable</v>
      </c>
      <c r="L8" s="96">
        <f>Selenium!K10</f>
        <v>29797571.5</v>
      </c>
      <c r="M8" s="111">
        <f>Selenium!L10</f>
        <v>0.03</v>
      </c>
      <c r="N8" s="50"/>
      <c r="O8" s="50"/>
    </row>
    <row r="9" spans="1:15" s="90" customFormat="1" ht="25.5" customHeight="1" x14ac:dyDescent="0.2">
      <c r="A9" s="304"/>
      <c r="B9" s="305"/>
      <c r="C9" s="268"/>
      <c r="D9" s="306"/>
      <c r="E9" s="307"/>
      <c r="F9" s="308"/>
      <c r="G9" s="308"/>
      <c r="H9" s="306"/>
      <c r="I9" s="309"/>
      <c r="J9" s="310"/>
      <c r="K9" s="311"/>
      <c r="L9" s="309"/>
      <c r="M9" s="312"/>
      <c r="N9" s="50"/>
      <c r="O9" s="50"/>
    </row>
    <row r="10" spans="1:15" x14ac:dyDescent="0.2">
      <c r="J10" s="55"/>
      <c r="L10" s="56"/>
      <c r="M10" s="52"/>
    </row>
    <row r="11" spans="1:15" x14ac:dyDescent="0.2">
      <c r="A11" s="39"/>
    </row>
    <row r="12" spans="1:15" x14ac:dyDescent="0.2">
      <c r="A12" s="39"/>
    </row>
    <row r="14" spans="1:15" ht="12.75" customHeight="1" x14ac:dyDescent="0.2">
      <c r="B14" s="226"/>
      <c r="C14" s="227"/>
      <c r="E14" s="267"/>
      <c r="F14" s="267"/>
      <c r="G14" s="267"/>
      <c r="H14" s="268"/>
      <c r="I14" s="269"/>
      <c r="J14" s="270"/>
      <c r="K14" s="271"/>
    </row>
    <row r="15" spans="1:15" x14ac:dyDescent="0.2">
      <c r="A15" s="225" t="s">
        <v>160</v>
      </c>
      <c r="B15" s="60"/>
      <c r="C15" s="59" t="s">
        <v>110</v>
      </c>
      <c r="E15" s="272"/>
      <c r="F15" s="267"/>
      <c r="G15" s="267"/>
      <c r="H15" s="268"/>
      <c r="I15" s="273"/>
      <c r="J15" s="270"/>
      <c r="K15" s="271"/>
    </row>
    <row r="16" spans="1:15" x14ac:dyDescent="0.2">
      <c r="A16" s="57" t="s">
        <v>43</v>
      </c>
      <c r="B16" s="37"/>
      <c r="C16" s="213">
        <f>C29</f>
        <v>0.96048379820107344</v>
      </c>
      <c r="E16" s="267"/>
      <c r="F16" s="267"/>
      <c r="G16" s="267"/>
      <c r="H16" s="268"/>
      <c r="I16" s="269"/>
      <c r="J16" s="303"/>
      <c r="K16" s="271"/>
    </row>
    <row r="17" spans="1:17" x14ac:dyDescent="0.2">
      <c r="A17" s="58" t="s">
        <v>124</v>
      </c>
      <c r="B17" s="208"/>
      <c r="C17" s="214">
        <f>D29</f>
        <v>0.98258673215647585</v>
      </c>
      <c r="E17" s="272"/>
      <c r="F17" s="267"/>
      <c r="G17" s="267"/>
      <c r="H17" s="268"/>
      <c r="I17" s="269"/>
      <c r="J17" s="270"/>
      <c r="K17" s="271"/>
    </row>
    <row r="18" spans="1:17" x14ac:dyDescent="0.2">
      <c r="A18" s="58" t="s">
        <v>125</v>
      </c>
      <c r="B18" s="37"/>
      <c r="C18" s="214">
        <f>E29</f>
        <v>0.89749332908329049</v>
      </c>
    </row>
    <row r="19" spans="1:17" x14ac:dyDescent="0.2">
      <c r="A19" s="61" t="s">
        <v>122</v>
      </c>
      <c r="B19" s="37"/>
      <c r="C19" s="275">
        <f>F29</f>
        <v>0.99713646527808109</v>
      </c>
    </row>
    <row r="21" spans="1:17" x14ac:dyDescent="0.2">
      <c r="B21" s="267"/>
      <c r="C21" s="267"/>
    </row>
    <row r="22" spans="1:17" ht="18" x14ac:dyDescent="0.2">
      <c r="A22" s="274"/>
      <c r="B22" s="5"/>
      <c r="C22" s="5"/>
      <c r="D22" s="267"/>
      <c r="E22" s="268"/>
      <c r="F22" s="269"/>
      <c r="G22" s="269"/>
      <c r="H22" s="54"/>
      <c r="I22" s="51"/>
      <c r="J22" s="27"/>
    </row>
    <row r="23" spans="1:17" x14ac:dyDescent="0.2">
      <c r="B23" s="32"/>
      <c r="C23" s="32"/>
      <c r="E23" s="50"/>
      <c r="F23" s="27"/>
      <c r="G23" s="27"/>
      <c r="H23" s="54"/>
      <c r="I23" s="51"/>
      <c r="J23" s="27"/>
    </row>
    <row r="24" spans="1:17" x14ac:dyDescent="0.2">
      <c r="A24" s="32" t="s">
        <v>48</v>
      </c>
      <c r="B24" s="18"/>
      <c r="C24" s="37" t="s">
        <v>49</v>
      </c>
      <c r="D24" s="32"/>
      <c r="E24" s="32"/>
      <c r="F24" s="20"/>
      <c r="G24" s="20"/>
      <c r="H24" s="15"/>
      <c r="I24" s="15"/>
      <c r="J24" s="15"/>
    </row>
    <row r="25" spans="1:17" x14ac:dyDescent="0.2">
      <c r="A25" s="15"/>
      <c r="C25" s="222" t="s">
        <v>49</v>
      </c>
      <c r="D25" s="223" t="s">
        <v>124</v>
      </c>
      <c r="E25" s="263" t="s">
        <v>125</v>
      </c>
      <c r="F25" s="330" t="s">
        <v>122</v>
      </c>
      <c r="G25" s="146"/>
      <c r="H25" s="20"/>
      <c r="I25" s="15"/>
      <c r="J25" s="15"/>
    </row>
    <row r="26" spans="1:17" x14ac:dyDescent="0.2">
      <c r="A26" s="15" t="s">
        <v>139</v>
      </c>
      <c r="B26" s="147" t="s">
        <v>50</v>
      </c>
      <c r="C26" s="20">
        <f>Efficacy!D25</f>
        <v>8.9700000000000006</v>
      </c>
      <c r="D26" s="20">
        <f>Efficacy!E25</f>
        <v>8.9700000000000006</v>
      </c>
      <c r="E26" s="20">
        <f>Efficacy!F25</f>
        <v>10.77</v>
      </c>
      <c r="F26" s="20">
        <f>Efficacy!G25</f>
        <v>19.66</v>
      </c>
      <c r="G26" s="20"/>
      <c r="H26" s="16"/>
      <c r="I26" s="15"/>
      <c r="J26" s="15"/>
    </row>
    <row r="27" spans="1:17" x14ac:dyDescent="0.2">
      <c r="A27" s="15" t="s">
        <v>51</v>
      </c>
      <c r="B27" s="147" t="s">
        <v>52</v>
      </c>
      <c r="C27" s="20">
        <f>+C26+D50</f>
        <v>20.895000000000003</v>
      </c>
      <c r="D27" s="20">
        <f>+D26+E50</f>
        <v>22.22</v>
      </c>
      <c r="E27" s="20">
        <f>+E26+F50</f>
        <v>25.08</v>
      </c>
      <c r="F27" s="20">
        <f>+F26+H50</f>
        <v>52.453749999999999</v>
      </c>
      <c r="G27" s="20"/>
      <c r="H27" s="16"/>
      <c r="I27" s="15"/>
      <c r="J27" s="15"/>
    </row>
    <row r="28" spans="1:17" x14ac:dyDescent="0.2">
      <c r="A28" s="15" t="s">
        <v>137</v>
      </c>
      <c r="B28" s="147" t="s">
        <v>53</v>
      </c>
      <c r="C28" s="19">
        <f>Efficacy!D26</f>
        <v>25</v>
      </c>
      <c r="D28" s="19">
        <f>Efficacy!E26</f>
        <v>25</v>
      </c>
      <c r="E28" s="19">
        <f>Efficacy!F26</f>
        <v>35</v>
      </c>
      <c r="F28" s="19">
        <f>Efficacy!G26</f>
        <v>55</v>
      </c>
      <c r="G28" s="19"/>
      <c r="H28" s="16"/>
      <c r="I28" s="194" t="s">
        <v>143</v>
      </c>
      <c r="J28" s="15"/>
    </row>
    <row r="29" spans="1:17" x14ac:dyDescent="0.2">
      <c r="A29" s="32" t="s">
        <v>54</v>
      </c>
      <c r="B29" s="149" t="s">
        <v>55</v>
      </c>
      <c r="C29" s="29">
        <f>((LN(C27/C26)-((C27-C26)/C28))/(LN(C28/C26)-((C28-C26)/C28)))</f>
        <v>0.96048379820107344</v>
      </c>
      <c r="D29" s="29">
        <f>((LN(D27/D26)-((D27-D26)/D28))/(LN(D28/D26)-((D28-D26)/D28)))</f>
        <v>0.98258673215647585</v>
      </c>
      <c r="E29" s="29">
        <f>((LN(E27/E26)-((E27-E26)/E28))/(LN(E28/E26)-((E28-E26)/E28)))</f>
        <v>0.89749332908329049</v>
      </c>
      <c r="F29" s="29">
        <f>((LN(F27/F26)-((F27-F26)/F28))/(LN(F28/F26)-((F28-F26)/F28)))</f>
        <v>0.99713646527808109</v>
      </c>
      <c r="G29" s="29"/>
      <c r="H29" s="16"/>
      <c r="I29" s="15"/>
      <c r="J29" s="15"/>
    </row>
    <row r="30" spans="1:17" x14ac:dyDescent="0.2">
      <c r="A30" s="15"/>
      <c r="B30" s="25"/>
      <c r="C30" s="18"/>
      <c r="D30" s="17"/>
      <c r="E30" s="19"/>
      <c r="F30" s="20"/>
      <c r="G30" s="20"/>
      <c r="H30" s="15"/>
      <c r="I30" s="15"/>
      <c r="J30" s="15"/>
    </row>
    <row r="31" spans="1:17" ht="15" x14ac:dyDescent="0.25">
      <c r="A31" s="15"/>
      <c r="B31" s="25"/>
      <c r="C31" s="18"/>
      <c r="D31" s="17"/>
      <c r="E31" s="19"/>
      <c r="F31" s="20"/>
      <c r="G31" s="20"/>
      <c r="H31" s="15"/>
      <c r="I31" s="15"/>
      <c r="J31" s="181"/>
      <c r="L31" s="51"/>
      <c r="M31" s="51"/>
      <c r="Q31" s="183"/>
    </row>
    <row r="32" spans="1:17" x14ac:dyDescent="0.2">
      <c r="A32" s="15"/>
      <c r="B32" s="25"/>
      <c r="C32" s="18"/>
      <c r="D32" s="17"/>
      <c r="E32" s="19"/>
      <c r="F32" s="20"/>
      <c r="G32" s="20"/>
      <c r="H32" s="15"/>
      <c r="I32" s="15"/>
      <c r="L32" s="51"/>
      <c r="Q32" s="2"/>
    </row>
    <row r="33" spans="1:17" x14ac:dyDescent="0.2">
      <c r="A33" s="15"/>
      <c r="B33" s="25"/>
      <c r="C33" s="18"/>
      <c r="D33" s="17"/>
      <c r="E33" s="19"/>
      <c r="F33" s="20"/>
      <c r="G33" s="20"/>
      <c r="H33" s="15"/>
      <c r="I33" s="15"/>
      <c r="J33" s="15"/>
      <c r="L33" s="51"/>
    </row>
    <row r="34" spans="1:17" x14ac:dyDescent="0.2">
      <c r="A34" s="15"/>
      <c r="B34" s="219">
        <v>9</v>
      </c>
      <c r="C34" s="18"/>
      <c r="D34" s="17"/>
      <c r="E34" s="19"/>
      <c r="F34" s="20"/>
      <c r="G34" s="20"/>
      <c r="H34" s="15"/>
      <c r="I34" s="15"/>
      <c r="J34" s="15"/>
      <c r="L34" s="51"/>
    </row>
    <row r="35" spans="1:17" ht="13.5" thickBot="1" x14ac:dyDescent="0.25">
      <c r="A35" s="15" t="s">
        <v>111</v>
      </c>
      <c r="B35" s="25"/>
      <c r="C35"/>
      <c r="D35" s="17"/>
      <c r="E35" s="17"/>
      <c r="F35" s="20"/>
      <c r="G35" s="20"/>
      <c r="H35" s="15"/>
      <c r="I35" s="15"/>
      <c r="J35" s="15"/>
      <c r="L35" s="51"/>
      <c r="M35" s="51"/>
      <c r="N35" s="51"/>
    </row>
    <row r="36" spans="1:17" ht="34.5" customHeight="1" thickBot="1" x14ac:dyDescent="0.3">
      <c r="A36" s="150" t="s">
        <v>144</v>
      </c>
      <c r="B36" s="151">
        <f>Efficacy!B16</f>
        <v>5.2999999999999999E-2</v>
      </c>
      <c r="C36" s="142" t="s">
        <v>147</v>
      </c>
      <c r="D36"/>
      <c r="E36"/>
      <c r="F36"/>
      <c r="G36"/>
      <c r="H36" s="15"/>
      <c r="I36" s="15"/>
      <c r="J36" s="15"/>
      <c r="P36" s="183"/>
      <c r="Q36" s="2"/>
    </row>
    <row r="37" spans="1:17" ht="13.5" thickBot="1" x14ac:dyDescent="0.25">
      <c r="A37" s="150" t="s">
        <v>145</v>
      </c>
      <c r="B37" s="151">
        <f>(1+B34)*B36</f>
        <v>0.53</v>
      </c>
      <c r="C37" s="142"/>
      <c r="D37"/>
      <c r="E37"/>
      <c r="F37"/>
      <c r="G37"/>
      <c r="H37" s="15"/>
      <c r="I37" s="15"/>
      <c r="J37" s="15"/>
    </row>
    <row r="38" spans="1:17" x14ac:dyDescent="0.2">
      <c r="A38" s="150" t="s">
        <v>146</v>
      </c>
      <c r="B38" s="152">
        <f>+B37-B36</f>
        <v>0.47700000000000004</v>
      </c>
      <c r="C38"/>
      <c r="D38"/>
      <c r="E38"/>
      <c r="F38"/>
      <c r="G38"/>
      <c r="H38" s="15"/>
      <c r="I38" s="15"/>
      <c r="J38" s="15"/>
    </row>
    <row r="39" spans="1:17" x14ac:dyDescent="0.2">
      <c r="A39" s="153" t="s">
        <v>127</v>
      </c>
      <c r="B39" s="154">
        <v>0.9</v>
      </c>
      <c r="C39"/>
      <c r="D39"/>
      <c r="E39"/>
      <c r="F39"/>
      <c r="G39"/>
      <c r="H39" s="15"/>
      <c r="I39" s="15"/>
      <c r="J39" s="15"/>
    </row>
    <row r="40" spans="1:17" ht="13.5" thickBot="1" x14ac:dyDescent="0.25">
      <c r="A40" s="155" t="s">
        <v>56</v>
      </c>
      <c r="B40" s="156">
        <v>0.5</v>
      </c>
      <c r="C40"/>
      <c r="D40"/>
      <c r="E40"/>
      <c r="F40"/>
      <c r="G40"/>
      <c r="H40"/>
      <c r="I40"/>
      <c r="J40" s="15"/>
    </row>
    <row r="41" spans="1:17" ht="13.5" thickBot="1" x14ac:dyDescent="0.25">
      <c r="B41" s="25"/>
      <c r="C41"/>
      <c r="D41"/>
      <c r="E41"/>
      <c r="F41"/>
      <c r="G41"/>
      <c r="H41"/>
      <c r="I41"/>
      <c r="J41" s="15"/>
    </row>
    <row r="42" spans="1:17" ht="13.5" thickBot="1" x14ac:dyDescent="0.25">
      <c r="A42" s="15"/>
      <c r="B42" s="158"/>
      <c r="C42" s="159"/>
      <c r="D42"/>
      <c r="E42"/>
      <c r="F42"/>
      <c r="G42"/>
      <c r="H42" s="15"/>
      <c r="I42" s="15"/>
      <c r="J42" s="15"/>
    </row>
    <row r="43" spans="1:17" ht="13.5" thickBot="1" x14ac:dyDescent="0.25">
      <c r="A43" s="157"/>
      <c r="B43" s="162"/>
      <c r="C43" s="163"/>
      <c r="D43" s="157" t="s">
        <v>49</v>
      </c>
      <c r="E43" s="253" t="s">
        <v>124</v>
      </c>
      <c r="F43" s="160" t="s">
        <v>125</v>
      </c>
      <c r="G43" s="160"/>
      <c r="H43" s="160" t="s">
        <v>122</v>
      </c>
      <c r="I43" s="15"/>
      <c r="J43" s="15"/>
    </row>
    <row r="44" spans="1:17" ht="13.5" thickBot="1" x14ac:dyDescent="0.25">
      <c r="A44" s="161"/>
      <c r="B44" s="158"/>
      <c r="C44" s="160"/>
      <c r="D44" s="161"/>
      <c r="E44" s="162"/>
      <c r="F44" s="160"/>
      <c r="G44" s="160"/>
      <c r="H44" s="160"/>
      <c r="I44" s="15"/>
      <c r="J44" s="15"/>
    </row>
    <row r="45" spans="1:17" x14ac:dyDescent="0.2">
      <c r="A45" s="165" t="s">
        <v>58</v>
      </c>
      <c r="B45" s="168"/>
      <c r="C45" s="169" t="s">
        <v>61</v>
      </c>
      <c r="D45" s="212">
        <f>Efficacy!D24</f>
        <v>50</v>
      </c>
      <c r="E45" s="212">
        <f>Efficacy!E24</f>
        <v>50</v>
      </c>
      <c r="F45" s="212">
        <f>Efficacy!F24</f>
        <v>60</v>
      </c>
      <c r="G45" s="212"/>
      <c r="H45" s="212">
        <f>Efficacy!G24</f>
        <v>137.5</v>
      </c>
      <c r="I45" s="15"/>
      <c r="J45" s="15"/>
    </row>
    <row r="46" spans="1:17" x14ac:dyDescent="0.2">
      <c r="A46" s="167" t="s">
        <v>148</v>
      </c>
      <c r="B46" s="168"/>
      <c r="C46" s="169" t="s">
        <v>53</v>
      </c>
      <c r="D46" s="170">
        <f>Efficacy!D25</f>
        <v>8.9700000000000006</v>
      </c>
      <c r="E46" s="170">
        <f>Efficacy!E25</f>
        <v>8.9700000000000006</v>
      </c>
      <c r="F46" s="170">
        <f>Efficacy!F25</f>
        <v>10.77</v>
      </c>
      <c r="G46" s="170"/>
      <c r="H46" s="170">
        <f>Efficacy!G25</f>
        <v>19.66</v>
      </c>
      <c r="I46" s="15"/>
      <c r="J46" s="15"/>
    </row>
    <row r="47" spans="1:17" ht="13.5" thickBot="1" x14ac:dyDescent="0.25">
      <c r="A47" s="167" t="s">
        <v>149</v>
      </c>
      <c r="B47" s="162"/>
      <c r="C47" s="164"/>
      <c r="D47" s="170">
        <f>Efficacy!D26</f>
        <v>25</v>
      </c>
      <c r="E47" s="170">
        <f>Efficacy!E26</f>
        <v>25</v>
      </c>
      <c r="F47" s="170">
        <f>Efficacy!F26</f>
        <v>35</v>
      </c>
      <c r="G47" s="170"/>
      <c r="H47" s="170">
        <f>Efficacy!G26</f>
        <v>55</v>
      </c>
      <c r="I47" s="15" t="s">
        <v>107</v>
      </c>
      <c r="J47" s="15"/>
    </row>
    <row r="48" spans="1:17" ht="13.5" thickBot="1" x14ac:dyDescent="0.25">
      <c r="A48" s="171" t="s">
        <v>150</v>
      </c>
      <c r="B48" s="158"/>
      <c r="C48" s="160"/>
      <c r="D48" s="172">
        <f>D47-D46</f>
        <v>16.03</v>
      </c>
      <c r="E48" s="172">
        <f>E47-E46</f>
        <v>16.03</v>
      </c>
      <c r="F48" s="172">
        <f>F47-F46</f>
        <v>24.23</v>
      </c>
      <c r="G48" s="172"/>
      <c r="H48" s="172">
        <f>H47-H46</f>
        <v>35.340000000000003</v>
      </c>
      <c r="I48" s="15"/>
      <c r="J48" s="15"/>
    </row>
    <row r="49" spans="1:10" x14ac:dyDescent="0.2">
      <c r="A49" s="165" t="str">
        <f>"Se intake through maize (µg/day)"</f>
        <v>Se intake through maize (µg/day)</v>
      </c>
      <c r="B49" s="168"/>
      <c r="C49" s="175"/>
      <c r="D49" s="182">
        <f>B37*B39*D45</f>
        <v>23.85</v>
      </c>
      <c r="E49" s="173">
        <f>$B37*$B39*E45</f>
        <v>23.85</v>
      </c>
      <c r="F49" s="173">
        <f>$B37*$B39*F45</f>
        <v>28.62</v>
      </c>
      <c r="G49" s="173"/>
      <c r="H49" s="173">
        <f>$B37*$B39*H45</f>
        <v>65.587500000000006</v>
      </c>
      <c r="I49" s="15"/>
      <c r="J49" s="15"/>
    </row>
    <row r="50" spans="1:10" x14ac:dyDescent="0.2">
      <c r="A50" s="174" t="str">
        <f>"Se from maize after after cosidering technology technology coverage"</f>
        <v>Se from maize after after cosidering technology technology coverage</v>
      </c>
      <c r="B50" s="168"/>
      <c r="C50" s="169" t="s">
        <v>59</v>
      </c>
      <c r="D50" s="265">
        <f>+D49*B40</f>
        <v>11.925000000000001</v>
      </c>
      <c r="E50" s="265">
        <f>+E45*B37*B40</f>
        <v>13.25</v>
      </c>
      <c r="F50" s="276">
        <f>+F49*B40</f>
        <v>14.31</v>
      </c>
      <c r="G50" s="276"/>
      <c r="H50" s="276">
        <f>+H49*B40</f>
        <v>32.793750000000003</v>
      </c>
      <c r="I50" s="15"/>
      <c r="J50" s="15"/>
    </row>
    <row r="51" spans="1:10" x14ac:dyDescent="0.2">
      <c r="A51" s="174" t="s">
        <v>151</v>
      </c>
      <c r="B51" s="168"/>
      <c r="C51" s="175"/>
      <c r="D51" s="176">
        <f>+D50</f>
        <v>11.925000000000001</v>
      </c>
      <c r="E51" s="176">
        <f t="shared" ref="E51:F51" si="0">+E50</f>
        <v>13.25</v>
      </c>
      <c r="F51" s="176">
        <f t="shared" si="0"/>
        <v>14.31</v>
      </c>
      <c r="G51" s="176"/>
      <c r="H51" s="176">
        <f>+H50</f>
        <v>32.793750000000003</v>
      </c>
      <c r="I51" s="15"/>
      <c r="J51" s="15"/>
    </row>
    <row r="52" spans="1:10" ht="13.5" thickBot="1" x14ac:dyDescent="0.25">
      <c r="A52" s="174" t="str">
        <f>"Contribution of maize to reduce Se deficit (%)"</f>
        <v>Contribution of maize to reduce Se deficit (%)</v>
      </c>
      <c r="B52" s="162"/>
      <c r="C52" s="164"/>
      <c r="D52" s="176">
        <f>+D51/D48</f>
        <v>0.74391765439800372</v>
      </c>
      <c r="E52" s="176">
        <f>+E51/E48</f>
        <v>0.82657517155333748</v>
      </c>
      <c r="F52" s="176">
        <f>+F51/F48</f>
        <v>0.59059017746595133</v>
      </c>
      <c r="G52" s="176"/>
      <c r="H52" s="176">
        <f>+H51/H48</f>
        <v>0.92794991511035652</v>
      </c>
      <c r="I52" s="15"/>
      <c r="J52" s="15"/>
    </row>
    <row r="53" spans="1:10" ht="13.5" thickBot="1" x14ac:dyDescent="0.25">
      <c r="A53" s="177" t="s">
        <v>60</v>
      </c>
      <c r="B53" s="25"/>
      <c r="C53" s="18"/>
      <c r="D53" s="29">
        <f>C29</f>
        <v>0.96048379820107344</v>
      </c>
      <c r="E53" s="29">
        <f t="shared" ref="E53" si="1">D29</f>
        <v>0.98258673215647585</v>
      </c>
      <c r="F53" s="29">
        <f>E29</f>
        <v>0.89749332908329049</v>
      </c>
      <c r="G53" s="29"/>
      <c r="H53" s="29">
        <f>F29</f>
        <v>0.99713646527808109</v>
      </c>
      <c r="I53" s="15"/>
      <c r="J53" s="15"/>
    </row>
    <row r="54" spans="1:10" x14ac:dyDescent="0.2">
      <c r="A54" s="15"/>
      <c r="B54" s="25"/>
      <c r="C54" s="18"/>
      <c r="D54" s="17"/>
      <c r="E54" s="19"/>
      <c r="F54" s="20"/>
      <c r="G54" s="20"/>
      <c r="H54" s="15"/>
      <c r="I54" s="15"/>
      <c r="J54" s="15"/>
    </row>
    <row r="55" spans="1:10" x14ac:dyDescent="0.2">
      <c r="A55" s="15"/>
      <c r="D55" s="17"/>
      <c r="E55" s="19"/>
      <c r="F55" s="20"/>
      <c r="G55" s="20"/>
      <c r="H55" s="15"/>
      <c r="I55" s="15"/>
      <c r="J55" s="15"/>
    </row>
  </sheetData>
  <mergeCells count="2">
    <mergeCell ref="A6:A8"/>
    <mergeCell ref="A2:A4"/>
  </mergeCells>
  <pageMargins left="0.7" right="0.7" top="0.75" bottom="0.75" header="0.3" footer="0.3"/>
  <pageSetup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34"/>
  <sheetViews>
    <sheetView zoomScale="75" workbookViewId="0">
      <selection activeCell="J18" sqref="J18"/>
    </sheetView>
  </sheetViews>
  <sheetFormatPr defaultColWidth="9.140625" defaultRowHeight="12.75" x14ac:dyDescent="0.2"/>
  <cols>
    <col min="1" max="1" width="15.7109375" style="21" customWidth="1"/>
    <col min="2" max="2" width="12.7109375" style="16" customWidth="1"/>
    <col min="3" max="3" width="11.7109375" style="15" customWidth="1"/>
    <col min="4" max="4" width="10.7109375" style="25" customWidth="1"/>
    <col min="5" max="5" width="11.7109375" style="18" customWidth="1"/>
    <col min="6" max="6" width="10.7109375" style="17" customWidth="1"/>
    <col min="7" max="7" width="11.7109375" style="19" customWidth="1"/>
    <col min="8" max="8" width="10.7109375" style="20" customWidth="1"/>
    <col min="9" max="11" width="11.7109375" style="15" customWidth="1"/>
    <col min="12" max="12" width="13" style="15" customWidth="1"/>
    <col min="13" max="13" width="18.5703125" style="15" customWidth="1"/>
    <col min="14" max="14" width="16.7109375" style="15" customWidth="1"/>
    <col min="15" max="16384" width="9.140625" style="16"/>
  </cols>
  <sheetData>
    <row r="1" spans="1:16" s="228" customFormat="1" ht="25.5" x14ac:dyDescent="0.2">
      <c r="A1" s="115" t="s">
        <v>17</v>
      </c>
      <c r="B1" s="116" t="s">
        <v>16</v>
      </c>
      <c r="C1" s="73" t="s">
        <v>18</v>
      </c>
      <c r="D1" s="74" t="s">
        <v>19</v>
      </c>
      <c r="E1" s="75" t="s">
        <v>20</v>
      </c>
      <c r="F1" s="76" t="s">
        <v>21</v>
      </c>
      <c r="G1" s="77" t="s">
        <v>22</v>
      </c>
      <c r="H1" s="78" t="s">
        <v>23</v>
      </c>
      <c r="I1" s="73" t="s">
        <v>24</v>
      </c>
      <c r="J1" s="73" t="s">
        <v>25</v>
      </c>
      <c r="K1" s="73" t="s">
        <v>26</v>
      </c>
      <c r="L1" s="73" t="s">
        <v>27</v>
      </c>
      <c r="M1" s="73" t="s">
        <v>39</v>
      </c>
      <c r="N1" s="73" t="s">
        <v>40</v>
      </c>
      <c r="O1" s="7"/>
      <c r="P1" s="7"/>
    </row>
    <row r="2" spans="1:16" s="281" customFormat="1" x14ac:dyDescent="0.2">
      <c r="A2" s="377" t="str">
        <f>Selenium!A4</f>
        <v>Goiter</v>
      </c>
      <c r="B2" s="126" t="str">
        <f>Selenium!B4</f>
        <v>PSA</v>
      </c>
      <c r="C2" s="84">
        <f>Selenium!K4</f>
        <v>20921765.599999998</v>
      </c>
      <c r="D2" s="79">
        <f>'Selenium optimist'!F2</f>
        <v>8.8154668457841011E-4</v>
      </c>
      <c r="E2" s="86"/>
      <c r="F2" s="81">
        <f>'Selenium optimist'!D2</f>
        <v>1.0999999999999999E-2</v>
      </c>
      <c r="G2" s="82">
        <f>'Selenium optimist'!J2</f>
        <v>2</v>
      </c>
      <c r="H2" s="83">
        <f>'Selenium optimist'!M2</f>
        <v>0.03</v>
      </c>
      <c r="I2" s="84">
        <f t="shared" ref="I2:I4" si="0">C2*E2*((1-EXP(-H2*G2))/H2)</f>
        <v>0</v>
      </c>
      <c r="J2" s="84">
        <f t="shared" ref="J2:J5" si="1">C2*D2*F2*((1-EXP(-H2*G2))/H2)</f>
        <v>393.82441550303571</v>
      </c>
      <c r="K2" s="84">
        <f t="shared" ref="K2:K5" si="2">SUM(I2:J2)</f>
        <v>393.82441550303571</v>
      </c>
      <c r="L2" s="84">
        <f t="shared" ref="L2:L4" si="3">C2*E2</f>
        <v>0</v>
      </c>
      <c r="M2" s="85"/>
      <c r="N2" s="85"/>
      <c r="O2" s="16"/>
      <c r="P2" s="16"/>
    </row>
    <row r="3" spans="1:16" s="281" customFormat="1" x14ac:dyDescent="0.2">
      <c r="A3" s="377"/>
      <c r="B3" s="126" t="str">
        <f>Selenium!B5</f>
        <v>SAC</v>
      </c>
      <c r="C3" s="84">
        <f>Selenium!K5</f>
        <v>21284896.199999999</v>
      </c>
      <c r="D3" s="79">
        <f>'Selenium optimist'!F3</f>
        <v>4.6174129914431788E-3</v>
      </c>
      <c r="E3" s="86"/>
      <c r="F3" s="81">
        <f>'Selenium optimist'!D3</f>
        <v>1.0999999999999999E-2</v>
      </c>
      <c r="G3" s="82">
        <f>'Selenium optimist'!J3</f>
        <v>2</v>
      </c>
      <c r="H3" s="83">
        <f>'Selenium optimist'!M3</f>
        <v>0.03</v>
      </c>
      <c r="I3" s="84">
        <f t="shared" si="0"/>
        <v>0</v>
      </c>
      <c r="J3" s="84">
        <f t="shared" si="1"/>
        <v>2098.5979568575322</v>
      </c>
      <c r="K3" s="84">
        <f t="shared" si="2"/>
        <v>2098.5979568575322</v>
      </c>
      <c r="L3" s="85">
        <f t="shared" si="3"/>
        <v>0</v>
      </c>
      <c r="M3" s="85"/>
      <c r="N3" s="85"/>
      <c r="O3" s="16"/>
      <c r="P3" s="16"/>
    </row>
    <row r="4" spans="1:16" s="281" customFormat="1" x14ac:dyDescent="0.2">
      <c r="A4" s="378"/>
      <c r="B4" s="126" t="str">
        <f>Selenium!B6</f>
        <v>WRA</v>
      </c>
      <c r="C4" s="84">
        <f>Selenium!K6</f>
        <v>29797571.5</v>
      </c>
      <c r="D4" s="79">
        <f>'Selenium optimist'!F4</f>
        <v>1.2301745165363656E-4</v>
      </c>
      <c r="E4" s="113"/>
      <c r="F4" s="81">
        <f>'Selenium optimist'!D4</f>
        <v>1.0999999999999999E-2</v>
      </c>
      <c r="G4" s="82">
        <f>'Selenium optimist'!J4</f>
        <v>2</v>
      </c>
      <c r="H4" s="83">
        <f>'Selenium optimist'!M4</f>
        <v>0.03</v>
      </c>
      <c r="I4" s="84">
        <f t="shared" si="0"/>
        <v>0</v>
      </c>
      <c r="J4" s="84">
        <f t="shared" si="1"/>
        <v>78.2720278166654</v>
      </c>
      <c r="K4" s="112">
        <f t="shared" si="2"/>
        <v>78.2720278166654</v>
      </c>
      <c r="L4" s="112">
        <f t="shared" si="3"/>
        <v>0</v>
      </c>
      <c r="M4" s="85"/>
      <c r="N4" s="85"/>
      <c r="O4" s="16"/>
      <c r="P4" s="16"/>
    </row>
    <row r="5" spans="1:16" s="281" customFormat="1" ht="25.5" x14ac:dyDescent="0.2">
      <c r="A5" s="350" t="str">
        <f>Selenium!A7</f>
        <v>Cogitive dysfunction</v>
      </c>
      <c r="B5" s="126" t="str">
        <f>Selenium!B7</f>
        <v>PSA</v>
      </c>
      <c r="C5" s="84">
        <f>Selenium!K7</f>
        <v>20921765.599999998</v>
      </c>
      <c r="D5" s="79">
        <f>'Selenium optimist'!F5</f>
        <v>7.3721478448927495E-6</v>
      </c>
      <c r="E5" s="87" t="str">
        <f>'Selenium optimist'!K5</f>
        <v>not applicable</v>
      </c>
      <c r="F5" s="81">
        <f>'Selenium optimist'!D5</f>
        <v>3.1E-2</v>
      </c>
      <c r="G5" s="82">
        <f>'Selenium optimist'!J5</f>
        <v>70.294147910000007</v>
      </c>
      <c r="H5" s="83">
        <f>'Selenium optimist'!M5</f>
        <v>0.03</v>
      </c>
      <c r="I5" s="112" t="str">
        <f>IFERROR(C5*E5*((1-EXP(-H5*G5))/H5),"0")</f>
        <v>0</v>
      </c>
      <c r="J5" s="84">
        <f t="shared" si="1"/>
        <v>140.03403696557044</v>
      </c>
      <c r="K5" s="112">
        <f t="shared" si="2"/>
        <v>140.03403696557044</v>
      </c>
      <c r="L5" s="289" t="str">
        <f>IFERROR(C5*E5,"0")</f>
        <v>0</v>
      </c>
      <c r="M5" s="85"/>
      <c r="N5" s="85"/>
      <c r="O5" s="16"/>
      <c r="P5" s="16"/>
    </row>
    <row r="6" spans="1:16" s="281" customFormat="1" ht="12.75" customHeight="1" x14ac:dyDescent="0.2">
      <c r="A6" s="379" t="str">
        <f>Selenium!A8</f>
        <v>Anemia</v>
      </c>
      <c r="B6" s="126" t="str">
        <f>Selenium!B8</f>
        <v>PSA</v>
      </c>
      <c r="C6" s="84">
        <f>Selenium!K8</f>
        <v>20921765.599999998</v>
      </c>
      <c r="D6" s="79">
        <f>'Selenium optimist'!F6</f>
        <v>2.7541476955416126E-4</v>
      </c>
      <c r="E6" s="87" t="str">
        <f>'Selenium optimist'!K6</f>
        <v>not applicable</v>
      </c>
      <c r="F6" s="81">
        <f>'Selenium optimist'!D6</f>
        <v>5.1999999999999998E-2</v>
      </c>
      <c r="G6" s="82">
        <f>'Selenium optimist'!J6</f>
        <v>0.33333333333333331</v>
      </c>
      <c r="H6" s="83">
        <f>'Selenium optimist'!M6</f>
        <v>0.03</v>
      </c>
      <c r="I6" s="112" t="str">
        <f t="shared" ref="I6:I8" si="4">IFERROR(C6*E6*((1-EXP(-H6*G6))/H6),"0")</f>
        <v>0</v>
      </c>
      <c r="J6" s="84">
        <f t="shared" ref="J6:J8" si="5">C6*D6*F6*((1-EXP(-H6*G6))/H6)</f>
        <v>99.379769347328292</v>
      </c>
      <c r="K6" s="112">
        <f t="shared" ref="K6:K8" si="6">SUM(I6:J6)</f>
        <v>99.379769347328292</v>
      </c>
      <c r="L6" s="289" t="str">
        <f t="shared" ref="L6:L8" si="7">IFERROR(C6*E6,"0")</f>
        <v>0</v>
      </c>
      <c r="M6" s="85"/>
      <c r="N6" s="85"/>
      <c r="O6" s="16"/>
      <c r="P6" s="16"/>
    </row>
    <row r="7" spans="1:16" s="281" customFormat="1" ht="12.75" customHeight="1" x14ac:dyDescent="0.2">
      <c r="A7" s="380"/>
      <c r="B7" s="126" t="str">
        <f>Selenium!B9</f>
        <v>SAC</v>
      </c>
      <c r="C7" s="84">
        <f>Selenium!K9</f>
        <v>21284896.199999999</v>
      </c>
      <c r="D7" s="79">
        <f>'Selenium optimist'!F7</f>
        <v>8.2830000000000001E-2</v>
      </c>
      <c r="E7" s="87" t="str">
        <f>'Selenium optimist'!K7</f>
        <v>not applicable</v>
      </c>
      <c r="F7" s="81">
        <f>'Selenium optimist'!D7</f>
        <v>5.1999999999999998E-2</v>
      </c>
      <c r="G7" s="82">
        <f>'Selenium optimist'!J7</f>
        <v>0.33333333333333331</v>
      </c>
      <c r="H7" s="83">
        <f>'Selenium optimist'!M7</f>
        <v>0.03</v>
      </c>
      <c r="I7" s="112" t="str">
        <f t="shared" si="4"/>
        <v>0</v>
      </c>
      <c r="J7" s="84">
        <f t="shared" si="5"/>
        <v>30406.863464833117</v>
      </c>
      <c r="K7" s="112">
        <f t="shared" si="6"/>
        <v>30406.863464833117</v>
      </c>
      <c r="L7" s="289" t="str">
        <f t="shared" si="7"/>
        <v>0</v>
      </c>
      <c r="M7" s="85"/>
      <c r="N7" s="85"/>
      <c r="O7" s="16"/>
      <c r="P7" s="16"/>
    </row>
    <row r="8" spans="1:16" s="281" customFormat="1" x14ac:dyDescent="0.2">
      <c r="A8" s="381"/>
      <c r="B8" s="126" t="str">
        <f>Selenium!B10</f>
        <v>WRA</v>
      </c>
      <c r="C8" s="84">
        <f>Selenium!K10</f>
        <v>29797571.5</v>
      </c>
      <c r="D8" s="79">
        <f>'Selenium optimist'!F8</f>
        <v>4.0680000000000001E-2</v>
      </c>
      <c r="E8" s="87" t="str">
        <f>'Selenium optimist'!K8</f>
        <v>not applicable</v>
      </c>
      <c r="F8" s="81">
        <f>'Selenium optimist'!D8</f>
        <v>5.1999999999999998E-2</v>
      </c>
      <c r="G8" s="82">
        <f>'Selenium optimist'!J8</f>
        <v>0.33333333333333331</v>
      </c>
      <c r="H8" s="83">
        <f>'Selenium optimist'!M8</f>
        <v>0.03</v>
      </c>
      <c r="I8" s="112" t="str">
        <f t="shared" si="4"/>
        <v>0</v>
      </c>
      <c r="J8" s="84">
        <f t="shared" si="5"/>
        <v>20906.158605355096</v>
      </c>
      <c r="K8" s="112">
        <f t="shared" si="6"/>
        <v>20906.158605355096</v>
      </c>
      <c r="L8" s="289" t="str">
        <f t="shared" si="7"/>
        <v>0</v>
      </c>
      <c r="M8" s="85"/>
      <c r="N8" s="85"/>
      <c r="O8" s="16"/>
      <c r="P8" s="16"/>
    </row>
    <row r="9" spans="1:16" s="4" customFormat="1" x14ac:dyDescent="0.2">
      <c r="A9" s="11"/>
      <c r="B9" s="35"/>
      <c r="C9" s="32"/>
      <c r="D9" s="30"/>
      <c r="E9" s="31"/>
      <c r="F9" s="41"/>
      <c r="G9" s="13"/>
      <c r="H9" s="383" t="s">
        <v>175</v>
      </c>
      <c r="I9" s="6">
        <f>SUM(I2:I8)</f>
        <v>0</v>
      </c>
      <c r="J9" s="6">
        <f>SUM(J2:J8)</f>
        <v>54123.130276678348</v>
      </c>
      <c r="K9" s="6">
        <f>SUM(K2:K8)</f>
        <v>54123.130276678348</v>
      </c>
      <c r="L9" s="6">
        <f>SUM(L2:L8)</f>
        <v>0</v>
      </c>
      <c r="M9" s="43">
        <f>K9*1000</f>
        <v>54123130.276678346</v>
      </c>
      <c r="N9" s="43">
        <f>K9*500</f>
        <v>27061565.138339173</v>
      </c>
    </row>
    <row r="10" spans="1:16" s="35" customFormat="1" x14ac:dyDescent="0.2">
      <c r="A10" s="7"/>
      <c r="B10" s="16"/>
      <c r="C10" s="15"/>
      <c r="D10" s="29"/>
      <c r="E10" s="36"/>
      <c r="F10" s="37"/>
      <c r="G10" s="38"/>
      <c r="H10" s="34" t="s">
        <v>174</v>
      </c>
      <c r="I10" s="48">
        <f>I9/1000000</f>
        <v>0</v>
      </c>
      <c r="J10" s="48">
        <f>J9/1000000</f>
        <v>5.4123130276678345E-2</v>
      </c>
      <c r="K10" s="48">
        <f>K9/1000000</f>
        <v>5.4123130276678345E-2</v>
      </c>
      <c r="L10" s="48">
        <f>L9/1000000</f>
        <v>0</v>
      </c>
      <c r="M10" s="49">
        <f>M9/1000000000</f>
        <v>5.4123130276678345E-2</v>
      </c>
      <c r="N10" s="49">
        <f>N9/1000000000</f>
        <v>2.7061565138339173E-2</v>
      </c>
    </row>
    <row r="11" spans="1:16" x14ac:dyDescent="0.2">
      <c r="H11" s="33" t="s">
        <v>38</v>
      </c>
      <c r="I11" s="23">
        <f>'DALYs status quo'!K12</f>
        <v>0</v>
      </c>
      <c r="J11" s="23">
        <f>'DALYs status quo'!M12</f>
        <v>164483.29642115801</v>
      </c>
      <c r="K11" s="23">
        <f>'DALYs status quo'!N12</f>
        <v>164483.50097203729</v>
      </c>
      <c r="L11" s="23">
        <f>'DALYs status quo'!O12</f>
        <v>0</v>
      </c>
      <c r="M11" s="40">
        <f>K11*1000</f>
        <v>164483500.97203729</v>
      </c>
      <c r="N11" s="40">
        <f>K11*500</f>
        <v>82241750.486018643</v>
      </c>
    </row>
    <row r="12" spans="1:16" x14ac:dyDescent="0.2">
      <c r="H12" s="45" t="s">
        <v>42</v>
      </c>
      <c r="I12" s="44">
        <f>I11-I9</f>
        <v>0</v>
      </c>
      <c r="J12" s="44">
        <f>J11-J9</f>
        <v>110360.16614447966</v>
      </c>
      <c r="K12" s="44">
        <f>K11-K9</f>
        <v>110360.37069535894</v>
      </c>
      <c r="L12" s="44">
        <f>L11-L9</f>
        <v>0</v>
      </c>
      <c r="M12" s="46">
        <f>K12*1000</f>
        <v>110360370.69535895</v>
      </c>
      <c r="N12" s="46">
        <f>K12*500</f>
        <v>55180185.347679473</v>
      </c>
    </row>
    <row r="13" spans="1:16" x14ac:dyDescent="0.2">
      <c r="H13" s="28" t="s">
        <v>42</v>
      </c>
      <c r="I13" s="143">
        <f t="shared" ref="I13:N13" si="8">I12/1000000</f>
        <v>0</v>
      </c>
      <c r="J13" s="143">
        <f t="shared" si="8"/>
        <v>0.11036016614447966</v>
      </c>
      <c r="K13" s="143">
        <f t="shared" si="8"/>
        <v>0.11036037069535894</v>
      </c>
      <c r="L13" s="143">
        <f t="shared" si="8"/>
        <v>0</v>
      </c>
      <c r="M13" s="143">
        <f t="shared" si="8"/>
        <v>110.36037069535895</v>
      </c>
      <c r="N13" s="143">
        <f t="shared" si="8"/>
        <v>55.180185347679476</v>
      </c>
    </row>
    <row r="14" spans="1:16" x14ac:dyDescent="0.2">
      <c r="G14" s="223" t="s">
        <v>112</v>
      </c>
      <c r="K14" s="313">
        <f>1-(K9/K11)</f>
        <v>0.67095100750634284</v>
      </c>
      <c r="M14" s="23"/>
      <c r="N14" s="23"/>
    </row>
    <row r="15" spans="1:16" x14ac:dyDescent="0.2">
      <c r="A15" s="39"/>
      <c r="M15" s="24"/>
      <c r="N15" s="24"/>
    </row>
    <row r="16" spans="1:16" x14ac:dyDescent="0.2">
      <c r="A16" s="39"/>
      <c r="M16" s="23"/>
      <c r="N16" s="23"/>
    </row>
    <row r="17" spans="11:14" x14ac:dyDescent="0.2">
      <c r="M17" s="23"/>
      <c r="N17" s="23"/>
    </row>
    <row r="18" spans="11:14" x14ac:dyDescent="0.2">
      <c r="M18" s="23"/>
      <c r="N18" s="23"/>
    </row>
    <row r="19" spans="11:14" x14ac:dyDescent="0.2">
      <c r="M19" s="23"/>
      <c r="N19" s="23"/>
    </row>
    <row r="20" spans="11:14" x14ac:dyDescent="0.2">
      <c r="M20" s="23"/>
      <c r="N20" s="23"/>
    </row>
    <row r="21" spans="11:14" x14ac:dyDescent="0.2">
      <c r="K21" s="62"/>
      <c r="M21" s="23"/>
      <c r="N21" s="23"/>
    </row>
    <row r="22" spans="11:14" x14ac:dyDescent="0.2">
      <c r="M22" s="23"/>
      <c r="N22" s="23"/>
    </row>
    <row r="23" spans="11:14" x14ac:dyDescent="0.2">
      <c r="M23" s="23"/>
      <c r="N23" s="23"/>
    </row>
    <row r="24" spans="11:14" x14ac:dyDescent="0.2">
      <c r="M24" s="23"/>
      <c r="N24" s="23"/>
    </row>
    <row r="25" spans="11:14" x14ac:dyDescent="0.2">
      <c r="M25" s="23"/>
      <c r="N25" s="23"/>
    </row>
    <row r="26" spans="11:14" x14ac:dyDescent="0.2">
      <c r="M26" s="23"/>
      <c r="N26" s="23"/>
    </row>
    <row r="27" spans="11:14" x14ac:dyDescent="0.2">
      <c r="M27" s="23"/>
      <c r="N27" s="23"/>
    </row>
    <row r="28" spans="11:14" x14ac:dyDescent="0.2">
      <c r="M28" s="23"/>
      <c r="N28" s="23"/>
    </row>
    <row r="29" spans="11:14" x14ac:dyDescent="0.2">
      <c r="M29" s="23"/>
      <c r="N29" s="23"/>
    </row>
    <row r="30" spans="11:14" x14ac:dyDescent="0.2">
      <c r="M30" s="23"/>
      <c r="N30" s="23"/>
    </row>
    <row r="31" spans="11:14" x14ac:dyDescent="0.2">
      <c r="M31" s="23"/>
      <c r="N31" s="23"/>
    </row>
    <row r="32" spans="11:14" x14ac:dyDescent="0.2">
      <c r="M32" s="23"/>
      <c r="N32" s="23"/>
    </row>
    <row r="33" spans="13:14" x14ac:dyDescent="0.2">
      <c r="M33" s="23"/>
      <c r="N33" s="23"/>
    </row>
    <row r="34" spans="13:14" x14ac:dyDescent="0.2">
      <c r="M34" s="23"/>
      <c r="N34" s="23"/>
    </row>
  </sheetData>
  <mergeCells count="2">
    <mergeCell ref="A2:A4"/>
    <mergeCell ref="A6:A8"/>
  </mergeCells>
  <phoneticPr fontId="8" type="noConversion"/>
  <pageMargins left="0.55118110236220474" right="0.55118110236220474" top="0.98425196850393704" bottom="0.39370078740157483" header="0.51181102362204722" footer="0.51181102362204722"/>
  <pageSetup paperSize="9" scale="5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Intro</vt:lpstr>
      <vt:lpstr>Selenium</vt:lpstr>
      <vt:lpstr>DALY formula</vt:lpstr>
      <vt:lpstr>Efficacy</vt:lpstr>
      <vt:lpstr>DALYs status quo</vt:lpstr>
      <vt:lpstr>Selenium pessimist</vt:lpstr>
      <vt:lpstr>DALYs pessimist</vt:lpstr>
      <vt:lpstr>Selenium optimist</vt:lpstr>
      <vt:lpstr>DALYs optimist</vt:lpstr>
      <vt:lpstr>group size</vt:lpstr>
      <vt:lpstr>Life table new</vt:lpstr>
      <vt:lpstr>discount</vt:lpstr>
    </vt:vector>
  </TitlesOfParts>
  <Company>University of bonn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Stein</dc:creator>
  <cp:lastModifiedBy>Abu</cp:lastModifiedBy>
  <cp:lastPrinted>2004-03-24T04:06:13Z</cp:lastPrinted>
  <dcterms:created xsi:type="dcterms:W3CDTF">2004-03-11T10:24:17Z</dcterms:created>
  <dcterms:modified xsi:type="dcterms:W3CDTF">2023-09-18T09:18:30Z</dcterms:modified>
</cp:coreProperties>
</file>