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0.xml" ContentType="application/vnd.openxmlformats-officedocument.spreadsheetml.chartsheet+xml"/>
  <Override PartName="/xl/chartsheets/sheet41.xml" ContentType="application/vnd.openxmlformats-officedocument.spreadsheetml.chartsheet+xml"/>
  <Override PartName="/xl/chartsheets/sheet42.xml" ContentType="application/vnd.openxmlformats-officedocument.spreadsheetml.chartsheet+xml"/>
  <Override PartName="/xl/chartsheets/sheet43.xml" ContentType="application/vnd.openxmlformats-officedocument.spreadsheetml.chartsheet+xml"/>
  <Override PartName="/xl/chartsheets/sheet44.xml" ContentType="application/vnd.openxmlformats-officedocument.spreadsheetml.chartsheet+xml"/>
  <Override PartName="/xl/chartsheets/sheet4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6.xml" ContentType="application/vnd.openxmlformats-officedocument.spreadsheetml.chartsheet+xml"/>
  <Override PartName="/xl/chartsheets/sheet47.xml" ContentType="application/vnd.openxmlformats-officedocument.spreadsheetml.chartsheet+xml"/>
  <Override PartName="/xl/chartsheets/sheet48.xml" ContentType="application/vnd.openxmlformats-officedocument.spreadsheetml.chartsheet+xml"/>
  <Override PartName="/xl/chartsheets/sheet49.xml" ContentType="application/vnd.openxmlformats-officedocument.spreadsheetml.chartsheet+xml"/>
  <Override PartName="/xl/chartsheets/sheet50.xml" ContentType="application/vnd.openxmlformats-officedocument.spreadsheetml.chartsheet+xml"/>
  <Override PartName="/xl/chartsheets/sheet5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2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3.xml" ContentType="application/vnd.openxmlformats-officedocument.spreadsheetml.chartsheet+xml"/>
  <Override PartName="/xl/chartsheets/sheet54.xml" ContentType="application/vnd.openxmlformats-officedocument.spreadsheetml.chartsheet+xml"/>
  <Override PartName="/xl/chartsheets/sheet55.xml" ContentType="application/vnd.openxmlformats-officedocument.spreadsheetml.chartsheet+xml"/>
  <Override PartName="/xl/chartsheets/sheet56.xml" ContentType="application/vnd.openxmlformats-officedocument.spreadsheetml.chartsheet+xml"/>
  <Override PartName="/xl/chartsheets/sheet57.xml" ContentType="application/vnd.openxmlformats-officedocument.spreadsheetml.chartsheet+xml"/>
  <Override PartName="/xl/chartsheets/sheet5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9.xml" ContentType="application/vnd.openxmlformats-officedocument.spreadsheetml.chartsheet+xml"/>
  <Override PartName="/xl/chartsheets/sheet60.xml" ContentType="application/vnd.openxmlformats-officedocument.spreadsheetml.chartsheet+xml"/>
  <Override PartName="/xl/chartsheets/sheet61.xml" ContentType="application/vnd.openxmlformats-officedocument.spreadsheetml.chartsheet+xml"/>
  <Override PartName="/xl/chartsheets/sheet62.xml" ContentType="application/vnd.openxmlformats-officedocument.spreadsheetml.chartsheet+xml"/>
  <Override PartName="/xl/chartsheets/sheet63.xml" ContentType="application/vnd.openxmlformats-officedocument.spreadsheetml.chartsheet+xml"/>
  <Override PartName="/xl/chartsheets/sheet64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65.xml" ContentType="application/vnd.openxmlformats-officedocument.spreadsheetml.chartsheet+xml"/>
  <Override PartName="/xl/chartsheets/sheet66.xml" ContentType="application/vnd.openxmlformats-officedocument.spreadsheetml.chartsheet+xml"/>
  <Override PartName="/xl/chartsheets/sheet67.xml" ContentType="application/vnd.openxmlformats-officedocument.spreadsheetml.chartsheet+xml"/>
  <Override PartName="/xl/chartsheets/sheet68.xml" ContentType="application/vnd.openxmlformats-officedocument.spreadsheetml.chartsheet+xml"/>
  <Override PartName="/xl/chartsheets/sheet69.xml" ContentType="application/vnd.openxmlformats-officedocument.spreadsheetml.chartsheet+xml"/>
  <Override PartName="/xl/chartsheets/sheet7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71.xml" ContentType="application/vnd.openxmlformats-officedocument.spreadsheetml.chartsheet+xml"/>
  <Override PartName="/xl/chartsheets/sheet72.xml" ContentType="application/vnd.openxmlformats-officedocument.spreadsheetml.chartsheet+xml"/>
  <Override PartName="/xl/chartsheets/sheet73.xml" ContentType="application/vnd.openxmlformats-officedocument.spreadsheetml.chartsheet+xml"/>
  <Override PartName="/xl/chartsheets/sheet74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75.xml" ContentType="application/vnd.openxmlformats-officedocument.spreadsheetml.chartsheet+xml"/>
  <Override PartName="/xl/chartsheets/sheet76.xml" ContentType="application/vnd.openxmlformats-officedocument.spreadsheetml.chartsheet+xml"/>
  <Override PartName="/xl/chartsheets/sheet77.xml" ContentType="application/vnd.openxmlformats-officedocument.spreadsheetml.chartsheet+xml"/>
  <Override PartName="/xl/chartsheets/sheet78.xml" ContentType="application/vnd.openxmlformats-officedocument.spreadsheetml.chartsheet+xml"/>
  <Override PartName="/xl/chartsheets/sheet79.xml" ContentType="application/vnd.openxmlformats-officedocument.spreadsheetml.chartsheet+xml"/>
  <Override PartName="/xl/chartsheets/sheet80.xml" ContentType="application/vnd.openxmlformats-officedocument.spreadsheetml.chartsheet+xml"/>
  <Override PartName="/xl/chartsheets/sheet8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82.xml" ContentType="application/vnd.openxmlformats-officedocument.spreadsheetml.chartsheet+xml"/>
  <Override PartName="/xl/chartsheets/sheet83.xml" ContentType="application/vnd.openxmlformats-officedocument.spreadsheetml.chartsheet+xml"/>
  <Override PartName="/xl/chartsheets/sheet84.xml" ContentType="application/vnd.openxmlformats-officedocument.spreadsheetml.chartsheet+xml"/>
  <Override PartName="/xl/chartsheets/sheet85.xml" ContentType="application/vnd.openxmlformats-officedocument.spreadsheetml.chart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omments3.xml" ContentType="application/vnd.openxmlformats-officedocument.spreadsheetml.comment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2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3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4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drawings/drawing42.xml" ContentType="application/vnd.openxmlformats-officedocument.drawing+xml"/>
  <Override PartName="/xl/charts/chart32.xml" ContentType="application/vnd.openxmlformats-officedocument.drawingml.chart+xml"/>
  <Override PartName="/xl/drawings/drawing43.xml" ContentType="application/vnd.openxmlformats-officedocument.drawing+xml"/>
  <Override PartName="/xl/charts/chart33.xml" ContentType="application/vnd.openxmlformats-officedocument.drawingml.chart+xml"/>
  <Override PartName="/xl/drawings/drawing4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drawings/drawing48.xml" ContentType="application/vnd.openxmlformats-officedocument.drawing+xml"/>
  <Override PartName="/xl/charts/chart41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2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3.xml" ContentType="application/vnd.openxmlformats-officedocument.drawingml.chart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51.xml" ContentType="application/vnd.openxmlformats-officedocument.drawingml.chart+xml"/>
  <Override PartName="/xl/drawings/drawing61.xml" ContentType="application/vnd.openxmlformats-officedocument.drawing+xml"/>
  <Override PartName="/xl/charts/chart52.xml" ContentType="application/vnd.openxmlformats-officedocument.drawingml.chart+xml"/>
  <Override PartName="/xl/drawings/drawing62.xml" ContentType="application/vnd.openxmlformats-officedocument.drawing+xml"/>
  <Override PartName="/xl/charts/chart53.xml" ContentType="application/vnd.openxmlformats-officedocument.drawingml.chart+xml"/>
  <Override PartName="/xl/drawings/drawing63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4.xml" ContentType="application/vnd.openxmlformats-officedocument.drawing+xml"/>
  <Override PartName="/xl/charts/chart58.xml" ContentType="application/vnd.openxmlformats-officedocument.drawingml.chart+xml"/>
  <Override PartName="/xl/drawings/drawing65.xml" ContentType="application/vnd.openxmlformats-officedocument.drawing+xml"/>
  <Override PartName="/xl/charts/chart59.xml" ContentType="application/vnd.openxmlformats-officedocument.drawingml.chart+xml"/>
  <Override PartName="/xl/drawings/drawing66.xml" ContentType="application/vnd.openxmlformats-officedocument.drawing+xml"/>
  <Override PartName="/xl/charts/chart60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61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62.xml" ContentType="application/vnd.openxmlformats-officedocument.drawingml.chart+xml"/>
  <Override PartName="/xl/drawings/drawing71.xml" ContentType="application/vnd.openxmlformats-officedocument.drawing+xml"/>
  <Override PartName="/xl/charts/chart63.xml" ContentType="application/vnd.openxmlformats-officedocument.drawingml.chart+xml"/>
  <Override PartName="/xl/drawings/drawing7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3.xml" ContentType="application/vnd.openxmlformats-officedocument.drawing+xml"/>
  <Override PartName="/xl/charts/chart67.xml" ContentType="application/vnd.openxmlformats-officedocument.drawingml.chart+xml"/>
  <Override PartName="/xl/drawings/drawing7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75.xml" ContentType="application/vnd.openxmlformats-officedocument.drawing+xml"/>
  <Override PartName="/xl/charts/chart71.xml" ContentType="application/vnd.openxmlformats-officedocument.drawingml.chart+xml"/>
  <Override PartName="/xl/drawings/drawing76.xml" ContentType="application/vnd.openxmlformats-officedocument.drawing+xml"/>
  <Override PartName="/xl/charts/chart72.xml" ContentType="application/vnd.openxmlformats-officedocument.drawingml.chart+xml"/>
  <Override PartName="/xl/drawings/drawing77.xml" ContentType="application/vnd.openxmlformats-officedocument.drawing+xml"/>
  <Override PartName="/xl/charts/chart73.xml" ContentType="application/vnd.openxmlformats-officedocument.drawingml.chart+xml"/>
  <Override PartName="/xl/drawings/drawing78.xml" ContentType="application/vnd.openxmlformats-officedocument.drawing+xml"/>
  <Override PartName="/xl/charts/chart74.xml" ContentType="application/vnd.openxmlformats-officedocument.drawingml.chart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75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76.xml" ContentType="application/vnd.openxmlformats-officedocument.drawingml.chart+xml"/>
  <Override PartName="/xl/drawings/drawing83.xml" ContentType="application/vnd.openxmlformats-officedocument.drawing+xml"/>
  <Override PartName="/xl/comments4.xml" ContentType="application/vnd.openxmlformats-officedocument.spreadsheetml.comments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84.xml" ContentType="application/vnd.openxmlformats-officedocument.drawing+xml"/>
  <Override PartName="/xl/charts/chart81.xml" ContentType="application/vnd.openxmlformats-officedocument.drawingml.chart+xml"/>
  <Override PartName="/xl/drawings/drawing85.xml" ContentType="application/vnd.openxmlformats-officedocument.drawing+xml"/>
  <Override PartName="/xl/charts/chart82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83.xml" ContentType="application/vnd.openxmlformats-officedocument.drawingml.chart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84.xml" ContentType="application/vnd.openxmlformats-officedocument.drawingml.chart+xml"/>
  <Override PartName="/xl/drawings/drawing90.xml" ContentType="application/vnd.openxmlformats-officedocument.drawing+xml"/>
  <Override PartName="/xl/charts/chart85.xml" ContentType="application/vnd.openxmlformats-officedocument.drawingml.chart+xml"/>
  <Override PartName="/xl/drawings/drawing91.xml" ContentType="application/vnd.openxmlformats-officedocument.drawing+xml"/>
  <Override PartName="/xl/charts/chart86.xml" ContentType="application/vnd.openxmlformats-officedocument.drawingml.chart+xml"/>
  <Override PartName="/xl/theme/themeOverride5.xml" ContentType="application/vnd.openxmlformats-officedocument.themeOverride+xml"/>
  <Override PartName="/xl/drawings/drawing92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93.xml" ContentType="application/vnd.openxmlformats-officedocument.drawing+xml"/>
  <Override PartName="/xl/charts/chart90.xml" ContentType="application/vnd.openxmlformats-officedocument.drawingml.chart+xml"/>
  <Override PartName="/xl/drawings/drawing94.xml" ContentType="application/vnd.openxmlformats-officedocument.drawing+xml"/>
  <Override PartName="/xl/charts/chart91.xml" ContentType="application/vnd.openxmlformats-officedocument.drawingml.chart+xml"/>
  <Override PartName="/xl/drawings/drawing95.xml" ContentType="application/vnd.openxmlformats-officedocument.drawing+xml"/>
  <Override PartName="/xl/charts/chart92.xml" ContentType="application/vnd.openxmlformats-officedocument.drawingml.chart+xml"/>
  <Override PartName="/xl/drawings/drawing96.xml" ContentType="application/vnd.openxmlformats-officedocument.drawing+xml"/>
  <Override PartName="/xl/charts/chart93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94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95.xml" ContentType="application/vnd.openxmlformats-officedocument.drawingml.chart+xml"/>
  <Override PartName="/xl/drawings/drawing10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102.xml" ContentType="application/vnd.openxmlformats-officedocument.drawing+xml"/>
  <Override PartName="/xl/charts/chart98.xml" ContentType="application/vnd.openxmlformats-officedocument.drawingml.chart+xml"/>
  <Override PartName="/xl/drawings/drawing103.xml" ContentType="application/vnd.openxmlformats-officedocument.drawing+xml"/>
  <Override PartName="/xl/charts/chart99.xml" ContentType="application/vnd.openxmlformats-officedocument.drawingml.chart+xml"/>
  <Override PartName="/xl/drawings/drawing104.xml" ContentType="application/vnd.openxmlformats-officedocument.drawing+xml"/>
  <Override PartName="/xl/charts/chart100.xml" ContentType="application/vnd.openxmlformats-officedocument.drawingml.chart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101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09.xml" ContentType="application/vnd.openxmlformats-officedocument.drawing+xml"/>
  <Override PartName="/xl/charts/chart105.xml" ContentType="application/vnd.openxmlformats-officedocument.drawingml.chart+xml"/>
  <Override PartName="/xl/drawings/drawing110.xml" ContentType="application/vnd.openxmlformats-officedocument.drawing+xml"/>
  <Override PartName="/xl/charts/chart106.xml" ContentType="application/vnd.openxmlformats-officedocument.drawingml.chart+xml"/>
  <Override PartName="/xl/drawings/drawing111.xml" ContentType="application/vnd.openxmlformats-officedocument.drawing+xml"/>
  <Override PartName="/xl/charts/chart107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108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109.xml" ContentType="application/vnd.openxmlformats-officedocument.drawingml.chart+xml"/>
  <Override PartName="/xl/drawings/drawing116.xml" ContentType="application/vnd.openxmlformats-officedocument.drawing+xml"/>
  <Override PartName="/xl/charts/chart110.xml" ContentType="application/vnd.openxmlformats-officedocument.drawingml.chart+xml"/>
  <Override PartName="/xl/drawings/drawing117.xml" ContentType="application/vnd.openxmlformats-officedocument.drawing+xml"/>
  <Override PartName="/xl/charts/chart111.xml" ContentType="application/vnd.openxmlformats-officedocument.drawingml.chart+xml"/>
  <Override PartName="/xl/drawings/drawing118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drawings/drawing119.xml" ContentType="application/vnd.openxmlformats-officedocument.drawing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120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121.xml" ContentType="application/vnd.openxmlformats-officedocument.drawing+xml"/>
  <Override PartName="/xl/charts/chart120.xml" ContentType="application/vnd.openxmlformats-officedocument.drawingml.chart+xml"/>
  <Override PartName="/xl/drawings/drawing122.xml" ContentType="application/vnd.openxmlformats-officedocument.drawing+xml"/>
  <Override PartName="/xl/charts/chart121.xml" ContentType="application/vnd.openxmlformats-officedocument.drawingml.chart+xml"/>
  <Override PartName="/xl/drawings/drawing123.xml" ContentType="application/vnd.openxmlformats-officedocument.drawing+xml"/>
  <Override PartName="/xl/charts/chart122.xml" ContentType="application/vnd.openxmlformats-officedocument.drawingml.chart+xml"/>
  <Override PartName="/xl/drawings/drawing124.xml" ContentType="application/vnd.openxmlformats-officedocument.drawing+xml"/>
  <Override PartName="/xl/charts/chart1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chroe/Desktop/Userfiles/Everything CZO/Big Dig/Big Dig Paper/"/>
    </mc:Choice>
  </mc:AlternateContent>
  <xr:revisionPtr revIDLastSave="0" documentId="8_{18040636-33FD-7E48-BE94-D1FB41B41BAA}" xr6:coauthVersionLast="47" xr6:coauthVersionMax="47" xr10:uidLastSave="{00000000-0000-0000-0000-000000000000}"/>
  <bookViews>
    <workbookView xWindow="0" yWindow="500" windowWidth="36000" windowHeight="21000" tabRatio="832" firstSheet="27" activeTab="4" xr2:uid="{00000000-000D-0000-FFFF-FFFF00000000}"/>
  </bookViews>
  <sheets>
    <sheet name="Y Ho all profiles" sheetId="108" r:id="rId1"/>
    <sheet name="Ce vs Eu" sheetId="104" r:id="rId2"/>
    <sheet name="Ce-anom vs. Y Ho" sheetId="109" r:id="rId3"/>
    <sheet name="Y-Ho vs Elevation" sheetId="107" r:id="rId4"/>
    <sheet name="Eu-Ce anomaly vs Elevation" sheetId="105" r:id="rId5"/>
    <sheet name="O.G.Chem Results" sheetId="106" r:id="rId6"/>
    <sheet name="Chem Results" sheetId="1" r:id="rId7"/>
    <sheet name="R1C2 Mineral" sheetId="47" r:id="rId8"/>
    <sheet name="R1C3 Mineral" sheetId="49" r:id="rId9"/>
    <sheet name="R2H1 Mineral" sheetId="50" r:id="rId10"/>
    <sheet name="R2P1 Mineral" sheetId="51" r:id="rId11"/>
    <sheet name="R7H1 Mineral" sheetId="52" r:id="rId12"/>
    <sheet name="R7H2 Mineral" sheetId="53" r:id="rId13"/>
    <sheet name="R7P1 Mineral" sheetId="67" r:id="rId14"/>
    <sheet name="R7P2 Mineral" sheetId="54" r:id="rId15"/>
    <sheet name="R8H1 Mineral" sheetId="55" r:id="rId16"/>
    <sheet name="R8P1 Mineral" sheetId="56" r:id="rId17"/>
    <sheet name="Mineralogy Results" sheetId="25" r:id="rId18"/>
    <sheet name="SIO2 Chem vs QXRD" sheetId="38" r:id="rId19"/>
    <sheet name="Al2O3 Chem vs QXRD" sheetId="39" r:id="rId20"/>
    <sheet name="Fe2O3 Chem vs QXRD" sheetId="40" r:id="rId21"/>
    <sheet name="K2O Chem vs QXRD" sheetId="41" r:id="rId22"/>
    <sheet name="LOI Chem vs H2O QXRD" sheetId="43" r:id="rId23"/>
    <sheet name="Na2O Chem vs QXRD" sheetId="42" r:id="rId24"/>
    <sheet name="SiO2" sheetId="23" r:id="rId25"/>
    <sheet name="Al2O3" sheetId="24" r:id="rId26"/>
    <sheet name="Fe2O3" sheetId="44" r:id="rId27"/>
    <sheet name="K2O" sheetId="20" r:id="rId28"/>
    <sheet name="LOI" sheetId="45" r:id="rId29"/>
    <sheet name="CIA" sheetId="46" r:id="rId30"/>
    <sheet name="R8P1 Tau" sheetId="66" r:id="rId31"/>
    <sheet name="R8P1 Y Ho" sheetId="111" r:id="rId32"/>
    <sheet name="R8P1 Ce" sheetId="102" r:id="rId33"/>
    <sheet name="R8P1 AlFeLOI" sheetId="103" r:id="rId34"/>
    <sheet name="R8P1 REE depth" sheetId="101" r:id="rId35"/>
    <sheet name="R8P1 REE" sheetId="100" r:id="rId36"/>
    <sheet name="R8P1E" sheetId="11" r:id="rId37"/>
    <sheet name="R8H1 Tau" sheetId="65" r:id="rId38"/>
    <sheet name="R8H1 AlFeLOI" sheetId="99" r:id="rId39"/>
    <sheet name="R8H1 REE depth" sheetId="97" r:id="rId40"/>
    <sheet name="R8H1 Y Ho" sheetId="112" r:id="rId41"/>
    <sheet name="R8H1 Ce" sheetId="98" r:id="rId42"/>
    <sheet name="R8H1 REE" sheetId="96" r:id="rId43"/>
    <sheet name="R8H1E" sheetId="10" r:id="rId44"/>
    <sheet name="R7H2 Tau" sheetId="64" r:id="rId45"/>
    <sheet name="R7H2 Y Ho" sheetId="113" r:id="rId46"/>
    <sheet name="R7H2 Ce" sheetId="88" r:id="rId47"/>
    <sheet name="R7H2 AlFeLOI" sheetId="89" r:id="rId48"/>
    <sheet name="R7H2 REE depth" sheetId="87" r:id="rId49"/>
    <sheet name="R7H2 REE" sheetId="90" r:id="rId50"/>
    <sheet name="R7H2E" sheetId="9" r:id="rId51"/>
    <sheet name="R7H1 Tau" sheetId="63" r:id="rId52"/>
    <sheet name="R7H1 REE" sheetId="83" r:id="rId53"/>
    <sheet name="R7H1 Y Ho" sheetId="114" r:id="rId54"/>
    <sheet name="R7H1 Ce" sheetId="85" r:id="rId55"/>
    <sheet name="R7H1 AlFeLOI" sheetId="86" r:id="rId56"/>
    <sheet name="R7H1 REE depth" sheetId="84" r:id="rId57"/>
    <sheet name="R7H1E" sheetId="7" r:id="rId58"/>
    <sheet name="R7P1 Tau" sheetId="62" r:id="rId59"/>
    <sheet name="R7P1EA" sheetId="12" r:id="rId60"/>
    <sheet name="R7P2 REE depth" sheetId="93" r:id="rId61"/>
    <sheet name="R7P2 Tau" sheetId="61" r:id="rId62"/>
    <sheet name="R7P2 AlFeLOI" sheetId="95" r:id="rId63"/>
    <sheet name="R7P2 Y Ho" sheetId="115" r:id="rId64"/>
    <sheet name="R7P2 Ce" sheetId="94" r:id="rId65"/>
    <sheet name="R7P2 REE" sheetId="92" r:id="rId66"/>
    <sheet name="R7P2EA" sheetId="6" r:id="rId67"/>
    <sheet name="R2P1 AlFeLOI" sheetId="82" r:id="rId68"/>
    <sheet name="R2P1 Y Ho" sheetId="116" r:id="rId69"/>
    <sheet name="R2P1 Ce" sheetId="81" r:id="rId70"/>
    <sheet name="R2P1 REE depth" sheetId="80" r:id="rId71"/>
    <sheet name="R2P1 Tau" sheetId="60" r:id="rId72"/>
    <sheet name="R2P1 REE" sheetId="79" r:id="rId73"/>
    <sheet name="R2P1EA" sheetId="5" r:id="rId74"/>
    <sheet name="R2H1 Tau" sheetId="59" r:id="rId75"/>
    <sheet name="R2H1 REE" sheetId="75" r:id="rId76"/>
    <sheet name="R2H1 AlFeLOI" sheetId="77" r:id="rId77"/>
    <sheet name="R2H1 Y Ho" sheetId="117" r:id="rId78"/>
    <sheet name="R2H1 Ce" sheetId="76" r:id="rId79"/>
    <sheet name="R2H1 REE depth" sheetId="78" r:id="rId80"/>
    <sheet name="R2H1EA" sheetId="4" r:id="rId81"/>
    <sheet name="R1C2 Tau" sheetId="57" r:id="rId82"/>
    <sheet name="R1C2 REE" sheetId="68" r:id="rId83"/>
    <sheet name="R1C2 Y Ho" sheetId="118" r:id="rId84"/>
    <sheet name="R1C2 Ce" sheetId="70" r:id="rId85"/>
    <sheet name="R1C2EA" sheetId="3" r:id="rId86"/>
    <sheet name="R1C2 AlFeLOI" sheetId="71" r:id="rId87"/>
    <sheet name="R1C3 Tau" sheetId="58" r:id="rId88"/>
    <sheet name="R1C3 Y Ho" sheetId="119" r:id="rId89"/>
    <sheet name="R1C3 Ce" sheetId="73" r:id="rId90"/>
    <sheet name="R1C3 REE depth" sheetId="69" r:id="rId91"/>
    <sheet name="R1C3 AlFeLOI" sheetId="72" r:id="rId92"/>
    <sheet name="R1C3 REE" sheetId="74" r:id="rId93"/>
    <sheet name="R1C3EA" sheetId="8" r:id="rId94"/>
    <sheet name="RoseHill Pine" sheetId="13" r:id="rId95"/>
    <sheet name="RoseHill Hardwood" sheetId="14" r:id="rId96"/>
    <sheet name="REE Plot" sheetId="15" r:id="rId97"/>
    <sheet name="CeCe+La Plot)" sheetId="16" r:id="rId98"/>
    <sheet name="Fe vs Y Ho" sheetId="17" r:id="rId99"/>
    <sheet name="Interfluve vs REE" sheetId="19" r:id="rId100"/>
    <sheet name="QC" sheetId="2" r:id="rId101"/>
  </sheets>
  <definedNames>
    <definedName name="_xlnm.Print_Area" localSheetId="50">'R7H2E'!$BN$3:$BS$36</definedName>
    <definedName name="_xlnm.Print_Titles" localSheetId="6">'Chem Results'!$A:$A,'Chem Results'!$1:$6</definedName>
    <definedName name="_xlnm.Print_Titles" localSheetId="17">'Mineralogy Results'!$A:$A,'Mineralogy Results'!$2:$7</definedName>
    <definedName name="_xlnm.Print_Titles" localSheetId="5">'O.G.Chem Results'!$A:$A,'O.G.Chem Results'!$1:$6</definedName>
    <definedName name="_xlnm.Print_Titles" localSheetId="100">QC!$A:$A,QC!$1:$6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R128" i="106" l="1"/>
  <c r="ER127" i="106"/>
  <c r="ER126" i="106"/>
  <c r="ER125" i="106"/>
  <c r="ER124" i="106"/>
  <c r="EZ72" i="1"/>
  <c r="EZ104" i="1"/>
  <c r="EZ33" i="1"/>
  <c r="EZ12" i="1"/>
  <c r="EZ112" i="1"/>
  <c r="EZ99" i="1"/>
  <c r="EZ85" i="1"/>
  <c r="EZ78" i="1"/>
  <c r="EZ66" i="1"/>
  <c r="EZ54" i="1"/>
  <c r="EZ41" i="1"/>
  <c r="EZ27" i="1"/>
  <c r="EZ16" i="1"/>
  <c r="EZ7" i="1"/>
  <c r="BJ36" i="8"/>
  <c r="BJ35" i="8"/>
  <c r="AV36" i="8"/>
  <c r="AU36" i="8"/>
  <c r="AT36" i="8"/>
  <c r="AV35" i="8"/>
  <c r="AU35" i="8"/>
  <c r="AT35" i="8"/>
  <c r="BJ34" i="8"/>
  <c r="BJ33" i="8"/>
  <c r="BJ32" i="8"/>
  <c r="BJ31" i="8"/>
  <c r="BJ30" i="8"/>
  <c r="BJ29" i="8"/>
  <c r="BJ28" i="8"/>
  <c r="BJ27" i="8"/>
  <c r="BJ26" i="8"/>
  <c r="BJ25" i="8"/>
  <c r="BJ24" i="8"/>
  <c r="AG34" i="8"/>
  <c r="AE34" i="8"/>
  <c r="AG33" i="8"/>
  <c r="AE33" i="8"/>
  <c r="AG32" i="8"/>
  <c r="AE32" i="8"/>
  <c r="AG31" i="8"/>
  <c r="AE31" i="8"/>
  <c r="AG30" i="8"/>
  <c r="AE30" i="8"/>
  <c r="AG29" i="8"/>
  <c r="AE29" i="8"/>
  <c r="AM29" i="8" s="1"/>
  <c r="AG28" i="8"/>
  <c r="AG27" i="8"/>
  <c r="AE27" i="8"/>
  <c r="AM27" i="8" s="1"/>
  <c r="AG26" i="8"/>
  <c r="AE26" i="8"/>
  <c r="AG25" i="8"/>
  <c r="AE25" i="8"/>
  <c r="AM34" i="8"/>
  <c r="AM33" i="8"/>
  <c r="AM32" i="8"/>
  <c r="AM31" i="8"/>
  <c r="AM30" i="8"/>
  <c r="AM26" i="8"/>
  <c r="AG30" i="3"/>
  <c r="AE30" i="3"/>
  <c r="AM30" i="3" s="1"/>
  <c r="AG29" i="3"/>
  <c r="AM29" i="3" s="1"/>
  <c r="AE29" i="3"/>
  <c r="AG28" i="3"/>
  <c r="AE28" i="3"/>
  <c r="AM28" i="3" s="1"/>
  <c r="AG27" i="3"/>
  <c r="AM27" i="3" s="1"/>
  <c r="AE27" i="3"/>
  <c r="AG26" i="3"/>
  <c r="AE26" i="3"/>
  <c r="AM26" i="3" s="1"/>
  <c r="AG25" i="3"/>
  <c r="AE25" i="3"/>
  <c r="AM25" i="3" s="1"/>
  <c r="AG24" i="3"/>
  <c r="AE24" i="3"/>
  <c r="AG23" i="3"/>
  <c r="AE23" i="3"/>
  <c r="AM23" i="3" s="1"/>
  <c r="AM24" i="3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G40" i="4"/>
  <c r="AE40" i="4"/>
  <c r="AG39" i="4"/>
  <c r="AE39" i="4"/>
  <c r="AG38" i="4"/>
  <c r="AE38" i="4"/>
  <c r="AG37" i="4"/>
  <c r="AE37" i="4"/>
  <c r="AG36" i="4"/>
  <c r="AE36" i="4"/>
  <c r="AG35" i="4"/>
  <c r="AE35" i="4"/>
  <c r="AG34" i="4"/>
  <c r="AE34" i="4"/>
  <c r="AG33" i="4"/>
  <c r="AE33" i="4"/>
  <c r="AG32" i="4"/>
  <c r="AE32" i="4"/>
  <c r="AG31" i="4"/>
  <c r="AE31" i="4"/>
  <c r="AG30" i="4"/>
  <c r="AE30" i="4"/>
  <c r="AG29" i="4"/>
  <c r="AE29" i="4"/>
  <c r="AG28" i="4"/>
  <c r="AE28" i="4"/>
  <c r="AM36" i="5"/>
  <c r="AM35" i="5"/>
  <c r="AM34" i="5"/>
  <c r="AM33" i="5"/>
  <c r="AM32" i="5"/>
  <c r="AM31" i="5"/>
  <c r="AM30" i="5"/>
  <c r="AM29" i="5"/>
  <c r="AM28" i="5"/>
  <c r="AM27" i="5"/>
  <c r="AM26" i="5"/>
  <c r="AM25" i="5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G40" i="6"/>
  <c r="AE40" i="6"/>
  <c r="AG39" i="6"/>
  <c r="AE39" i="6"/>
  <c r="AG38" i="6"/>
  <c r="AE38" i="6"/>
  <c r="AG37" i="6"/>
  <c r="AE37" i="6"/>
  <c r="AG36" i="6"/>
  <c r="AE36" i="6"/>
  <c r="AG35" i="6"/>
  <c r="AE35" i="6"/>
  <c r="AG34" i="6"/>
  <c r="AE34" i="6"/>
  <c r="AG33" i="6"/>
  <c r="AE33" i="6"/>
  <c r="AG32" i="6"/>
  <c r="AE32" i="6"/>
  <c r="AG31" i="6"/>
  <c r="AE31" i="6"/>
  <c r="AG30" i="6"/>
  <c r="AE30" i="6"/>
  <c r="AG29" i="6"/>
  <c r="AE29" i="6"/>
  <c r="AG28" i="6"/>
  <c r="AE28" i="6"/>
  <c r="AM36" i="11"/>
  <c r="AM35" i="11"/>
  <c r="AM34" i="11"/>
  <c r="AM33" i="11"/>
  <c r="AM32" i="11"/>
  <c r="AM31" i="11"/>
  <c r="AM30" i="11"/>
  <c r="AM29" i="11"/>
  <c r="AM28" i="11"/>
  <c r="AM27" i="11"/>
  <c r="AM26" i="11"/>
  <c r="AM26" i="10"/>
  <c r="AM38" i="10"/>
  <c r="AM37" i="10"/>
  <c r="AM36" i="10"/>
  <c r="AM35" i="10"/>
  <c r="AM34" i="10"/>
  <c r="AM33" i="10"/>
  <c r="AM32" i="10"/>
  <c r="AM31" i="10"/>
  <c r="AM30" i="10"/>
  <c r="AM29" i="10"/>
  <c r="AM28" i="10"/>
  <c r="AM36" i="9"/>
  <c r="AM35" i="9"/>
  <c r="AM34" i="9"/>
  <c r="AM26" i="9"/>
  <c r="AM27" i="9"/>
  <c r="AM28" i="9"/>
  <c r="AM29" i="9"/>
  <c r="AM30" i="9"/>
  <c r="AM31" i="9"/>
  <c r="AM32" i="9"/>
  <c r="AM33" i="9"/>
  <c r="AG38" i="7"/>
  <c r="AE38" i="7"/>
  <c r="AM38" i="7" s="1"/>
  <c r="AG37" i="7"/>
  <c r="AE37" i="7"/>
  <c r="AM36" i="7"/>
  <c r="AM35" i="7"/>
  <c r="AM34" i="7"/>
  <c r="AM33" i="7"/>
  <c r="AM32" i="7"/>
  <c r="AM31" i="7"/>
  <c r="AM30" i="7"/>
  <c r="AM29" i="7"/>
  <c r="AM27" i="7"/>
  <c r="AM26" i="7"/>
  <c r="AG25" i="7"/>
  <c r="AG34" i="7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E36" i="11"/>
  <c r="AE35" i="11"/>
  <c r="AE34" i="11"/>
  <c r="AE33" i="11"/>
  <c r="AE32" i="11"/>
  <c r="AE31" i="11"/>
  <c r="AE30" i="11"/>
  <c r="AE29" i="11"/>
  <c r="AE28" i="11"/>
  <c r="AE27" i="11"/>
  <c r="AE26" i="11"/>
  <c r="AE25" i="11"/>
  <c r="AM25" i="11" s="1"/>
  <c r="AM27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36" i="9"/>
  <c r="AE35" i="9"/>
  <c r="AE34" i="9"/>
  <c r="AE33" i="9"/>
  <c r="AE32" i="9"/>
  <c r="AE31" i="9"/>
  <c r="AE30" i="9"/>
  <c r="AE29" i="9"/>
  <c r="AE28" i="9"/>
  <c r="AE27" i="9"/>
  <c r="AE26" i="9"/>
  <c r="AE25" i="9"/>
  <c r="AM25" i="9" s="1"/>
  <c r="AG36" i="9"/>
  <c r="AG35" i="9"/>
  <c r="AG34" i="9"/>
  <c r="AG33" i="9"/>
  <c r="AG32" i="9"/>
  <c r="AG31" i="9"/>
  <c r="AG30" i="9"/>
  <c r="AG29" i="9"/>
  <c r="AG28" i="9"/>
  <c r="AG27" i="9"/>
  <c r="AG26" i="9"/>
  <c r="AG25" i="9"/>
  <c r="AE36" i="7"/>
  <c r="AE35" i="7"/>
  <c r="AE34" i="7"/>
  <c r="AE33" i="7"/>
  <c r="AE32" i="7"/>
  <c r="AE31" i="7"/>
  <c r="AE30" i="7"/>
  <c r="AE29" i="7"/>
  <c r="AE28" i="7"/>
  <c r="AE27" i="7"/>
  <c r="AE26" i="7"/>
  <c r="AE25" i="7"/>
  <c r="AG36" i="7"/>
  <c r="AG35" i="7"/>
  <c r="AG33" i="7"/>
  <c r="AG32" i="7"/>
  <c r="AG31" i="7"/>
  <c r="AG30" i="7"/>
  <c r="AG29" i="7"/>
  <c r="AG28" i="7"/>
  <c r="AG27" i="7"/>
  <c r="AG26" i="7"/>
  <c r="AG26" i="12"/>
  <c r="AG25" i="12"/>
  <c r="AG24" i="12"/>
  <c r="AG23" i="12"/>
  <c r="AG22" i="12"/>
  <c r="AG21" i="12"/>
  <c r="AG20" i="12"/>
  <c r="AE26" i="12"/>
  <c r="AE25" i="12"/>
  <c r="AE24" i="12"/>
  <c r="AE23" i="12"/>
  <c r="AE22" i="12"/>
  <c r="AE21" i="12"/>
  <c r="AE20" i="12"/>
  <c r="AG27" i="6"/>
  <c r="AE27" i="6"/>
  <c r="AM27" i="6" s="1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7" i="4"/>
  <c r="AM27" i="4" s="1"/>
  <c r="AG27" i="4"/>
  <c r="AG22" i="3"/>
  <c r="AM25" i="8"/>
  <c r="AM24" i="8"/>
  <c r="AG24" i="8"/>
  <c r="AE22" i="3"/>
  <c r="AE24" i="8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F28" i="14"/>
  <c r="BF27" i="14"/>
  <c r="BF26" i="14"/>
  <c r="BF25" i="14"/>
  <c r="BF24" i="14"/>
  <c r="BF23" i="14"/>
  <c r="BF22" i="14"/>
  <c r="BF21" i="14"/>
  <c r="BF28" i="13"/>
  <c r="BF27" i="13"/>
  <c r="BF26" i="13"/>
  <c r="BF25" i="13"/>
  <c r="BF24" i="13"/>
  <c r="BF23" i="13"/>
  <c r="BF22" i="13"/>
  <c r="BF21" i="13"/>
  <c r="BF20" i="13"/>
  <c r="BH34" i="8"/>
  <c r="BH33" i="8"/>
  <c r="BH32" i="8"/>
  <c r="BH31" i="8"/>
  <c r="BH30" i="8"/>
  <c r="BH29" i="8"/>
  <c r="BH28" i="8"/>
  <c r="BH27" i="8"/>
  <c r="BH26" i="8"/>
  <c r="BH25" i="8"/>
  <c r="BH24" i="8"/>
  <c r="BH30" i="3"/>
  <c r="BH29" i="3"/>
  <c r="BH28" i="3"/>
  <c r="BH27" i="3"/>
  <c r="BH26" i="3"/>
  <c r="BH25" i="3"/>
  <c r="BH24" i="3"/>
  <c r="BH23" i="3"/>
  <c r="BH22" i="3"/>
  <c r="BH40" i="4"/>
  <c r="BH39" i="4"/>
  <c r="BH38" i="4"/>
  <c r="BH37" i="4"/>
  <c r="BH36" i="4"/>
  <c r="BH35" i="4"/>
  <c r="BH34" i="4"/>
  <c r="BH33" i="4"/>
  <c r="BH32" i="4"/>
  <c r="BH31" i="4"/>
  <c r="BH30" i="4"/>
  <c r="BH29" i="4"/>
  <c r="BH28" i="4"/>
  <c r="BH27" i="4"/>
  <c r="BH36" i="5"/>
  <c r="BH35" i="5"/>
  <c r="BH34" i="5"/>
  <c r="BH33" i="5"/>
  <c r="BH32" i="5"/>
  <c r="BH31" i="5"/>
  <c r="BH30" i="5"/>
  <c r="BH29" i="5"/>
  <c r="BH28" i="5"/>
  <c r="BH27" i="5"/>
  <c r="BH26" i="5"/>
  <c r="BH25" i="5"/>
  <c r="BH24" i="5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36" i="7"/>
  <c r="BH35" i="7"/>
  <c r="BH34" i="7"/>
  <c r="BH33" i="7"/>
  <c r="BH32" i="7"/>
  <c r="BH31" i="7"/>
  <c r="BH30" i="7"/>
  <c r="BH29" i="7"/>
  <c r="BH28" i="7"/>
  <c r="BH27" i="7"/>
  <c r="BH26" i="7"/>
  <c r="BH25" i="7"/>
  <c r="BH38" i="10"/>
  <c r="BH37" i="10"/>
  <c r="BH36" i="10"/>
  <c r="BH35" i="10"/>
  <c r="BH34" i="10"/>
  <c r="BH33" i="10"/>
  <c r="BH32" i="10"/>
  <c r="BH31" i="10"/>
  <c r="BH30" i="10"/>
  <c r="BH29" i="10"/>
  <c r="BH28" i="10"/>
  <c r="BH27" i="10"/>
  <c r="BH26" i="10"/>
  <c r="EX128" i="1"/>
  <c r="EX127" i="1"/>
  <c r="EX126" i="1"/>
  <c r="EX125" i="1"/>
  <c r="EX124" i="1"/>
  <c r="EU128" i="1"/>
  <c r="EU127" i="1"/>
  <c r="EU126" i="1"/>
  <c r="EU125" i="1"/>
  <c r="EU124" i="1"/>
  <c r="ES128" i="1"/>
  <c r="ES127" i="1"/>
  <c r="ES126" i="1"/>
  <c r="ES125" i="1"/>
  <c r="ES124" i="1"/>
  <c r="ER128" i="1"/>
  <c r="ER127" i="1"/>
  <c r="ER126" i="1"/>
  <c r="ER125" i="1"/>
  <c r="ER124" i="1"/>
  <c r="BL18" i="9"/>
  <c r="BL17" i="9"/>
  <c r="BL16" i="9"/>
  <c r="BL15" i="9"/>
  <c r="BL14" i="9"/>
  <c r="BL13" i="9"/>
  <c r="BL12" i="9"/>
  <c r="BL11" i="9"/>
  <c r="BL10" i="9"/>
  <c r="BL9" i="9"/>
  <c r="BL8" i="9"/>
  <c r="BL7" i="9"/>
  <c r="EX123" i="106"/>
  <c r="EX122" i="106"/>
  <c r="EX121" i="106"/>
  <c r="EX120" i="106"/>
  <c r="EX119" i="106"/>
  <c r="EX118" i="106"/>
  <c r="EX117" i="106"/>
  <c r="EX116" i="106"/>
  <c r="EX115" i="106"/>
  <c r="EX114" i="106"/>
  <c r="EX113" i="106"/>
  <c r="EX112" i="106"/>
  <c r="EX111" i="106"/>
  <c r="EX110" i="106"/>
  <c r="EX109" i="106"/>
  <c r="EX108" i="106"/>
  <c r="EX107" i="106"/>
  <c r="EX106" i="106"/>
  <c r="EX105" i="106"/>
  <c r="EX104" i="106"/>
  <c r="EX103" i="106"/>
  <c r="EX102" i="106"/>
  <c r="EX101" i="106"/>
  <c r="EX100" i="106"/>
  <c r="EX99" i="106"/>
  <c r="EX98" i="106"/>
  <c r="EX97" i="106"/>
  <c r="EX96" i="106"/>
  <c r="EX95" i="106"/>
  <c r="EX94" i="106"/>
  <c r="EX93" i="106"/>
  <c r="EX92" i="106"/>
  <c r="EX91" i="106"/>
  <c r="EX90" i="106"/>
  <c r="EX89" i="106"/>
  <c r="EX88" i="106"/>
  <c r="EX87" i="106"/>
  <c r="EX86" i="106"/>
  <c r="EX85" i="106"/>
  <c r="EX84" i="106"/>
  <c r="EX83" i="106"/>
  <c r="EX82" i="106"/>
  <c r="EX81" i="106"/>
  <c r="EX80" i="106"/>
  <c r="EX79" i="106"/>
  <c r="EX78" i="106"/>
  <c r="EX77" i="106"/>
  <c r="EX76" i="106"/>
  <c r="EX75" i="106"/>
  <c r="EX74" i="106"/>
  <c r="EX73" i="106"/>
  <c r="EX72" i="106"/>
  <c r="EX71" i="106"/>
  <c r="EX70" i="106"/>
  <c r="EX69" i="106"/>
  <c r="EX68" i="106"/>
  <c r="EX67" i="106"/>
  <c r="EX66" i="106"/>
  <c r="EX65" i="106"/>
  <c r="EX64" i="106"/>
  <c r="EX63" i="106"/>
  <c r="EX62" i="106"/>
  <c r="EX61" i="106"/>
  <c r="EX60" i="106"/>
  <c r="EX59" i="106"/>
  <c r="EX58" i="106"/>
  <c r="EX56" i="106"/>
  <c r="EX55" i="106"/>
  <c r="EX54" i="106"/>
  <c r="EX53" i="106"/>
  <c r="EX52" i="106"/>
  <c r="EX51" i="106"/>
  <c r="EX50" i="106"/>
  <c r="EX49" i="106"/>
  <c r="EX48" i="106"/>
  <c r="EX47" i="106"/>
  <c r="EX46" i="106"/>
  <c r="EX45" i="106"/>
  <c r="EX44" i="106"/>
  <c r="EX43" i="106"/>
  <c r="EX42" i="106"/>
  <c r="EX41" i="106"/>
  <c r="EX40" i="106"/>
  <c r="EX39" i="106"/>
  <c r="EX38" i="106"/>
  <c r="EX37" i="106"/>
  <c r="EX36" i="106"/>
  <c r="EX35" i="106"/>
  <c r="EX34" i="106"/>
  <c r="EX33" i="106"/>
  <c r="EX32" i="106"/>
  <c r="EX31" i="106"/>
  <c r="EX30" i="106"/>
  <c r="EX29" i="106"/>
  <c r="EX28" i="106"/>
  <c r="EX27" i="106"/>
  <c r="EX26" i="106"/>
  <c r="EX25" i="106"/>
  <c r="EX24" i="106"/>
  <c r="EX23" i="106"/>
  <c r="EX22" i="106"/>
  <c r="EX21" i="106"/>
  <c r="EX19" i="106"/>
  <c r="EX18" i="106"/>
  <c r="EX17" i="106"/>
  <c r="EX16" i="106"/>
  <c r="EX15" i="106"/>
  <c r="EX14" i="106"/>
  <c r="EX13" i="106"/>
  <c r="EX12" i="106"/>
  <c r="EX11" i="106"/>
  <c r="EX10" i="106"/>
  <c r="EX9" i="106"/>
  <c r="EX8" i="106"/>
  <c r="EX7" i="106"/>
  <c r="EX138" i="1"/>
  <c r="EX137" i="1"/>
  <c r="EX136" i="1"/>
  <c r="EX135" i="1"/>
  <c r="EX134" i="1"/>
  <c r="EX133" i="1"/>
  <c r="EX132" i="1"/>
  <c r="EX131" i="1"/>
  <c r="EX123" i="1"/>
  <c r="EX122" i="1"/>
  <c r="EX121" i="1"/>
  <c r="EX120" i="1"/>
  <c r="EX119" i="1"/>
  <c r="EX118" i="1"/>
  <c r="EX117" i="1"/>
  <c r="EX116" i="1"/>
  <c r="EX115" i="1"/>
  <c r="EX114" i="1"/>
  <c r="EX113" i="1"/>
  <c r="EX112" i="1"/>
  <c r="EX111" i="1"/>
  <c r="EX110" i="1"/>
  <c r="EX109" i="1"/>
  <c r="EX108" i="1"/>
  <c r="EX107" i="1"/>
  <c r="EX106" i="1"/>
  <c r="EX105" i="1"/>
  <c r="EX104" i="1"/>
  <c r="EX103" i="1"/>
  <c r="EX102" i="1"/>
  <c r="EX101" i="1"/>
  <c r="EX100" i="1"/>
  <c r="EX99" i="1"/>
  <c r="EX98" i="1"/>
  <c r="EX97" i="1"/>
  <c r="EX96" i="1"/>
  <c r="EX95" i="1"/>
  <c r="EX94" i="1"/>
  <c r="EX93" i="1"/>
  <c r="EX92" i="1"/>
  <c r="EX91" i="1"/>
  <c r="EX90" i="1"/>
  <c r="EX89" i="1"/>
  <c r="EX88" i="1"/>
  <c r="EX87" i="1"/>
  <c r="EX86" i="1"/>
  <c r="EX85" i="1"/>
  <c r="EX84" i="1"/>
  <c r="EX83" i="1"/>
  <c r="EX82" i="1"/>
  <c r="EX81" i="1"/>
  <c r="EX80" i="1"/>
  <c r="EX79" i="1"/>
  <c r="EX78" i="1"/>
  <c r="EX77" i="1"/>
  <c r="EX76" i="1"/>
  <c r="EX75" i="1"/>
  <c r="EX74" i="1"/>
  <c r="EX73" i="1"/>
  <c r="EX72" i="1"/>
  <c r="EX71" i="1"/>
  <c r="EX70" i="1"/>
  <c r="EX69" i="1"/>
  <c r="EX68" i="1"/>
  <c r="EX67" i="1"/>
  <c r="EX66" i="1"/>
  <c r="EX65" i="1"/>
  <c r="EX64" i="1"/>
  <c r="EX63" i="1"/>
  <c r="EX62" i="1"/>
  <c r="EX61" i="1"/>
  <c r="EX60" i="1"/>
  <c r="EX59" i="1"/>
  <c r="EX58" i="1"/>
  <c r="EX56" i="1"/>
  <c r="EX55" i="1"/>
  <c r="EX54" i="1"/>
  <c r="EX53" i="1"/>
  <c r="EX52" i="1"/>
  <c r="EX51" i="1"/>
  <c r="EX50" i="1"/>
  <c r="EX49" i="1"/>
  <c r="EX48" i="1"/>
  <c r="EX47" i="1"/>
  <c r="EX46" i="1"/>
  <c r="EX45" i="1"/>
  <c r="EX44" i="1"/>
  <c r="EX43" i="1"/>
  <c r="EX42" i="1"/>
  <c r="EX41" i="1"/>
  <c r="EX40" i="1"/>
  <c r="EX39" i="1"/>
  <c r="EX38" i="1"/>
  <c r="EX37" i="1"/>
  <c r="EX36" i="1"/>
  <c r="EX35" i="1"/>
  <c r="EX34" i="1"/>
  <c r="EX33" i="1"/>
  <c r="EX32" i="1"/>
  <c r="EX31" i="1"/>
  <c r="EX30" i="1"/>
  <c r="EX29" i="1"/>
  <c r="EX28" i="1"/>
  <c r="EX27" i="1"/>
  <c r="EX26" i="1"/>
  <c r="EX25" i="1"/>
  <c r="EX24" i="1"/>
  <c r="EX23" i="1"/>
  <c r="EX22" i="1"/>
  <c r="EX21" i="1"/>
  <c r="EX19" i="1"/>
  <c r="EX18" i="1"/>
  <c r="EX17" i="1"/>
  <c r="EX16" i="1"/>
  <c r="EX15" i="1"/>
  <c r="EX14" i="1"/>
  <c r="EX13" i="1"/>
  <c r="EX12" i="1"/>
  <c r="EX11" i="1"/>
  <c r="EX10" i="1"/>
  <c r="EX9" i="1"/>
  <c r="EX8" i="1"/>
  <c r="EX7" i="1"/>
  <c r="ER123" i="1"/>
  <c r="ER122" i="1"/>
  <c r="ER121" i="1"/>
  <c r="ER120" i="1"/>
  <c r="ER119" i="1"/>
  <c r="ER118" i="1"/>
  <c r="ER117" i="1"/>
  <c r="ER116" i="1"/>
  <c r="ER115" i="1"/>
  <c r="ER114" i="1"/>
  <c r="ER113" i="1"/>
  <c r="ER112" i="1"/>
  <c r="ER111" i="1"/>
  <c r="ER110" i="1"/>
  <c r="ER109" i="1"/>
  <c r="ER108" i="1"/>
  <c r="ER107" i="1"/>
  <c r="ER106" i="1"/>
  <c r="ER105" i="1"/>
  <c r="ER104" i="1"/>
  <c r="ER103" i="1"/>
  <c r="ER102" i="1"/>
  <c r="ER101" i="1"/>
  <c r="ER100" i="1"/>
  <c r="ER99" i="1"/>
  <c r="ER98" i="1"/>
  <c r="ER97" i="1"/>
  <c r="ER96" i="1"/>
  <c r="ER95" i="1"/>
  <c r="ER94" i="1"/>
  <c r="ER93" i="1"/>
  <c r="ER92" i="1"/>
  <c r="ER91" i="1"/>
  <c r="ER90" i="1"/>
  <c r="ER89" i="1"/>
  <c r="ER88" i="1"/>
  <c r="ER87" i="1"/>
  <c r="ER86" i="1"/>
  <c r="ER85" i="1"/>
  <c r="ER84" i="1"/>
  <c r="ER83" i="1"/>
  <c r="ER82" i="1"/>
  <c r="ER81" i="1"/>
  <c r="ER80" i="1"/>
  <c r="ER79" i="1"/>
  <c r="ER78" i="1"/>
  <c r="ER77" i="1"/>
  <c r="ER76" i="1"/>
  <c r="ER75" i="1"/>
  <c r="ER74" i="1"/>
  <c r="ER73" i="1"/>
  <c r="ER72" i="1"/>
  <c r="ER71" i="1"/>
  <c r="ER70" i="1"/>
  <c r="ER69" i="1"/>
  <c r="ER68" i="1"/>
  <c r="ER67" i="1"/>
  <c r="ER66" i="1"/>
  <c r="ER65" i="1"/>
  <c r="ER64" i="1"/>
  <c r="ER63" i="1"/>
  <c r="ER62" i="1"/>
  <c r="ER61" i="1"/>
  <c r="ER60" i="1"/>
  <c r="ER59" i="1"/>
  <c r="ER58" i="1"/>
  <c r="ER57" i="1"/>
  <c r="ER56" i="1"/>
  <c r="ER55" i="1"/>
  <c r="ER54" i="1"/>
  <c r="ER53" i="1"/>
  <c r="ER52" i="1"/>
  <c r="ER51" i="1"/>
  <c r="ER50" i="1"/>
  <c r="ER49" i="1"/>
  <c r="ER48" i="1"/>
  <c r="ER47" i="1"/>
  <c r="ER46" i="1"/>
  <c r="ER45" i="1"/>
  <c r="ER44" i="1"/>
  <c r="ER43" i="1"/>
  <c r="ER42" i="1"/>
  <c r="ER41" i="1"/>
  <c r="ER40" i="1"/>
  <c r="ER39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R11" i="1"/>
  <c r="ER10" i="1"/>
  <c r="ER9" i="1"/>
  <c r="ER8" i="1"/>
  <c r="ER7" i="1"/>
  <c r="ES123" i="1"/>
  <c r="ES122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S109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S96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S83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S70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S57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S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S31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S18" i="1"/>
  <c r="ES17" i="1"/>
  <c r="ES16" i="1"/>
  <c r="ES15" i="1"/>
  <c r="ES14" i="1"/>
  <c r="ES13" i="1"/>
  <c r="ES12" i="1"/>
  <c r="ES11" i="1"/>
  <c r="ES10" i="1"/>
  <c r="ES9" i="1"/>
  <c r="ES8" i="1"/>
  <c r="ES7" i="1"/>
  <c r="BM36" i="9"/>
  <c r="BM35" i="9"/>
  <c r="BM34" i="9"/>
  <c r="BM33" i="9"/>
  <c r="BM32" i="9"/>
  <c r="BM31" i="9"/>
  <c r="BM30" i="9"/>
  <c r="BM29" i="9"/>
  <c r="BM28" i="9"/>
  <c r="BM27" i="9"/>
  <c r="BM26" i="9"/>
  <c r="BM25" i="9"/>
  <c r="BM24" i="9"/>
  <c r="BL36" i="9"/>
  <c r="BL35" i="9"/>
  <c r="BL34" i="9"/>
  <c r="BL33" i="9"/>
  <c r="BL32" i="9"/>
  <c r="BL31" i="9"/>
  <c r="BL30" i="9"/>
  <c r="BL29" i="9"/>
  <c r="BL28" i="9"/>
  <c r="BL27" i="9"/>
  <c r="BL26" i="9"/>
  <c r="BL25" i="9"/>
  <c r="BL24" i="9"/>
  <c r="BK24" i="9"/>
  <c r="BO24" i="9"/>
  <c r="BS24" i="9"/>
  <c r="BR24" i="9"/>
  <c r="BQ24" i="9"/>
  <c r="BP24" i="9"/>
  <c r="BS20" i="9"/>
  <c r="BS19" i="9"/>
  <c r="BS18" i="9"/>
  <c r="BS17" i="9"/>
  <c r="BS16" i="9"/>
  <c r="BS15" i="9"/>
  <c r="BS14" i="9"/>
  <c r="BS13" i="9"/>
  <c r="BS12" i="9"/>
  <c r="BS11" i="9"/>
  <c r="BS10" i="9"/>
  <c r="BS9" i="9"/>
  <c r="BS8" i="9"/>
  <c r="BS7" i="9"/>
  <c r="BR20" i="9"/>
  <c r="BQ20" i="9"/>
  <c r="BR19" i="9"/>
  <c r="BQ19" i="9"/>
  <c r="BR18" i="9"/>
  <c r="BQ18" i="9"/>
  <c r="BR17" i="9"/>
  <c r="BQ17" i="9"/>
  <c r="BR16" i="9"/>
  <c r="BQ16" i="9"/>
  <c r="BR15" i="9"/>
  <c r="BQ15" i="9"/>
  <c r="BR14" i="9"/>
  <c r="BQ14" i="9"/>
  <c r="BR13" i="9"/>
  <c r="BQ13" i="9"/>
  <c r="BR12" i="9"/>
  <c r="BQ12" i="9"/>
  <c r="BR11" i="9"/>
  <c r="BQ11" i="9"/>
  <c r="BR10" i="9"/>
  <c r="BQ10" i="9"/>
  <c r="BR9" i="9"/>
  <c r="BQ9" i="9"/>
  <c r="BR8" i="9"/>
  <c r="BQ8" i="9"/>
  <c r="BR7" i="9"/>
  <c r="BQ7" i="9"/>
  <c r="BP20" i="9"/>
  <c r="BP19" i="9"/>
  <c r="BP18" i="9"/>
  <c r="BP17" i="9"/>
  <c r="BP16" i="9"/>
  <c r="BP15" i="9"/>
  <c r="BP14" i="9"/>
  <c r="BP13" i="9"/>
  <c r="BP12" i="9"/>
  <c r="BP11" i="9"/>
  <c r="BP10" i="9"/>
  <c r="BP9" i="9"/>
  <c r="BP8" i="9"/>
  <c r="BP7" i="9"/>
  <c r="BO20" i="9"/>
  <c r="BO19" i="9"/>
  <c r="BO18" i="9"/>
  <c r="BO17" i="9"/>
  <c r="BO16" i="9"/>
  <c r="BO15" i="9"/>
  <c r="BO14" i="9"/>
  <c r="BO13" i="9"/>
  <c r="BO12" i="9"/>
  <c r="BO11" i="9"/>
  <c r="BO10" i="9"/>
  <c r="BO9" i="9"/>
  <c r="BO8" i="9"/>
  <c r="BO7" i="9"/>
  <c r="BE24" i="9"/>
  <c r="ER138" i="1"/>
  <c r="ER137" i="1"/>
  <c r="ER136" i="1"/>
  <c r="ER135" i="1"/>
  <c r="ER134" i="1"/>
  <c r="ER133" i="1"/>
  <c r="ER132" i="1"/>
  <c r="ER131" i="1"/>
  <c r="ES138" i="1"/>
  <c r="ES137" i="1"/>
  <c r="ES136" i="1"/>
  <c r="ES135" i="1"/>
  <c r="ES134" i="1"/>
  <c r="ES133" i="1"/>
  <c r="ES132" i="1"/>
  <c r="ES131" i="1"/>
  <c r="BX138" i="1"/>
  <c r="BX137" i="1"/>
  <c r="BX136" i="1"/>
  <c r="BX135" i="1"/>
  <c r="BX134" i="1"/>
  <c r="BX133" i="1"/>
  <c r="BX132" i="1"/>
  <c r="BX131" i="1"/>
  <c r="BX130" i="1"/>
  <c r="BX129" i="1"/>
  <c r="BX128" i="1"/>
  <c r="BX127" i="1"/>
  <c r="BX126" i="1"/>
  <c r="BX125" i="1"/>
  <c r="BX124" i="1"/>
  <c r="BX123" i="1"/>
  <c r="BX122" i="1"/>
  <c r="BX121" i="1"/>
  <c r="BX120" i="1"/>
  <c r="BX119" i="1"/>
  <c r="BX118" i="1"/>
  <c r="BX117" i="1"/>
  <c r="BX116" i="1"/>
  <c r="BX115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7" i="1"/>
  <c r="BX96" i="1"/>
  <c r="BX95" i="1"/>
  <c r="BX94" i="1"/>
  <c r="BX93" i="1"/>
  <c r="BX92" i="1"/>
  <c r="BX91" i="1"/>
  <c r="BX90" i="1"/>
  <c r="BX89" i="1"/>
  <c r="BX88" i="1"/>
  <c r="BX87" i="1"/>
  <c r="BX86" i="1"/>
  <c r="BX85" i="1"/>
  <c r="BX84" i="1"/>
  <c r="BX83" i="1"/>
  <c r="BX82" i="1"/>
  <c r="BX81" i="1"/>
  <c r="BX80" i="1"/>
  <c r="BX79" i="1"/>
  <c r="BX78" i="1"/>
  <c r="BX77" i="1"/>
  <c r="BX76" i="1"/>
  <c r="BX75" i="1"/>
  <c r="BX74" i="1"/>
  <c r="BX73" i="1"/>
  <c r="BX72" i="1"/>
  <c r="BX71" i="1"/>
  <c r="BX70" i="1"/>
  <c r="BX69" i="1"/>
  <c r="BX68" i="1"/>
  <c r="BX67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7" i="1"/>
  <c r="BX46" i="1"/>
  <c r="BX45" i="1"/>
  <c r="BX44" i="1"/>
  <c r="BX43" i="1"/>
  <c r="BX42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N10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19" i="1"/>
  <c r="AN18" i="1"/>
  <c r="AN17" i="1"/>
  <c r="AN16" i="1"/>
  <c r="AN15" i="1"/>
  <c r="AN14" i="1"/>
  <c r="AN13" i="1"/>
  <c r="AN12" i="1"/>
  <c r="AN11" i="1"/>
  <c r="AN9" i="1"/>
  <c r="AN8" i="1"/>
  <c r="AN7" i="1"/>
  <c r="ES138" i="106"/>
  <c r="ER138" i="106"/>
  <c r="EU138" i="106" s="1"/>
  <c r="BX138" i="106"/>
  <c r="BW138" i="106"/>
  <c r="BV138" i="106"/>
  <c r="ET138" i="106" s="1"/>
  <c r="BU138" i="106"/>
  <c r="BT138" i="106"/>
  <c r="C138" i="106"/>
  <c r="EV138" i="106" s="1"/>
  <c r="EV137" i="106"/>
  <c r="ET137" i="106"/>
  <c r="ES137" i="106"/>
  <c r="ER137" i="106"/>
  <c r="EU137" i="106" s="1"/>
  <c r="BX137" i="106"/>
  <c r="BW137" i="106"/>
  <c r="BV137" i="106"/>
  <c r="BU137" i="106"/>
  <c r="BT137" i="106"/>
  <c r="C137" i="106"/>
  <c r="EV136" i="106"/>
  <c r="ER136" i="106"/>
  <c r="BX136" i="106"/>
  <c r="ES136" i="106" s="1"/>
  <c r="BW136" i="106"/>
  <c r="BV136" i="106"/>
  <c r="ET136" i="106" s="1"/>
  <c r="BU136" i="106"/>
  <c r="BT136" i="106"/>
  <c r="C136" i="106"/>
  <c r="ER135" i="106"/>
  <c r="BX135" i="106"/>
  <c r="ES135" i="106" s="1"/>
  <c r="BW135" i="106"/>
  <c r="BV135" i="106"/>
  <c r="ET135" i="106" s="1"/>
  <c r="BU135" i="106"/>
  <c r="BT135" i="106"/>
  <c r="C135" i="106"/>
  <c r="EV135" i="106" s="1"/>
  <c r="EV134" i="106"/>
  <c r="ET134" i="106"/>
  <c r="ES134" i="106"/>
  <c r="EU134" i="106" s="1"/>
  <c r="ER134" i="106"/>
  <c r="BX134" i="106"/>
  <c r="BW134" i="106"/>
  <c r="BV134" i="106"/>
  <c r="BU134" i="106"/>
  <c r="BT134" i="106"/>
  <c r="C134" i="106"/>
  <c r="EV133" i="106"/>
  <c r="ER133" i="106"/>
  <c r="BX133" i="106"/>
  <c r="ES133" i="106" s="1"/>
  <c r="BW133" i="106"/>
  <c r="BV133" i="106"/>
  <c r="ET133" i="106" s="1"/>
  <c r="BU133" i="106"/>
  <c r="BT133" i="106"/>
  <c r="C133" i="106"/>
  <c r="ER132" i="106"/>
  <c r="EU132" i="106" s="1"/>
  <c r="BX132" i="106"/>
  <c r="ES132" i="106" s="1"/>
  <c r="BW132" i="106"/>
  <c r="BV132" i="106"/>
  <c r="ET132" i="106" s="1"/>
  <c r="BU132" i="106"/>
  <c r="BT132" i="106"/>
  <c r="C132" i="106"/>
  <c r="EV132" i="106" s="1"/>
  <c r="EV131" i="106"/>
  <c r="ET131" i="106"/>
  <c r="ER131" i="106"/>
  <c r="BX131" i="106"/>
  <c r="ES131" i="106" s="1"/>
  <c r="EU131" i="106" s="1"/>
  <c r="BW131" i="106"/>
  <c r="BV131" i="106"/>
  <c r="BU131" i="106"/>
  <c r="BT131" i="106"/>
  <c r="C131" i="106"/>
  <c r="BS130" i="106"/>
  <c r="BR130" i="106"/>
  <c r="BQ130" i="106"/>
  <c r="BP130" i="106"/>
  <c r="BO130" i="106"/>
  <c r="BN130" i="106"/>
  <c r="BM130" i="106"/>
  <c r="BL130" i="106"/>
  <c r="BK130" i="106"/>
  <c r="BJ130" i="106"/>
  <c r="BI130" i="106"/>
  <c r="BH130" i="106"/>
  <c r="BG130" i="106"/>
  <c r="BF130" i="106"/>
  <c r="BE130" i="106"/>
  <c r="BD130" i="106"/>
  <c r="BC130" i="106"/>
  <c r="BB130" i="106"/>
  <c r="BA130" i="106"/>
  <c r="AZ130" i="106"/>
  <c r="AY130" i="106"/>
  <c r="AX130" i="106"/>
  <c r="AW130" i="106"/>
  <c r="AV130" i="106"/>
  <c r="AU130" i="106"/>
  <c r="AT130" i="106"/>
  <c r="AS130" i="106"/>
  <c r="AR130" i="106"/>
  <c r="AQ130" i="106"/>
  <c r="AP130" i="106"/>
  <c r="AO130" i="106"/>
  <c r="AN130" i="106"/>
  <c r="AM130" i="106"/>
  <c r="AL130" i="106"/>
  <c r="AK130" i="106"/>
  <c r="AJ130" i="106"/>
  <c r="AI130" i="106"/>
  <c r="AH130" i="106"/>
  <c r="AG130" i="106"/>
  <c r="AF130" i="106"/>
  <c r="AE130" i="106"/>
  <c r="AD130" i="106"/>
  <c r="AC130" i="106"/>
  <c r="AB130" i="106"/>
  <c r="AA130" i="106"/>
  <c r="Y130" i="106"/>
  <c r="X130" i="106"/>
  <c r="W130" i="106"/>
  <c r="V130" i="106"/>
  <c r="U130" i="106"/>
  <c r="T130" i="106"/>
  <c r="S130" i="106"/>
  <c r="R130" i="106"/>
  <c r="Q130" i="106"/>
  <c r="P130" i="106"/>
  <c r="BS129" i="106"/>
  <c r="BR129" i="106"/>
  <c r="BQ129" i="106"/>
  <c r="BP129" i="106"/>
  <c r="BO129" i="106"/>
  <c r="BN129" i="106"/>
  <c r="BM129" i="106"/>
  <c r="BL129" i="106"/>
  <c r="BK129" i="106"/>
  <c r="BJ129" i="106"/>
  <c r="BI129" i="106"/>
  <c r="BH129" i="106"/>
  <c r="BG129" i="106"/>
  <c r="BF129" i="106"/>
  <c r="BE129" i="106"/>
  <c r="BD129" i="106"/>
  <c r="BC129" i="106"/>
  <c r="BB129" i="106"/>
  <c r="BA129" i="106"/>
  <c r="AZ129" i="106"/>
  <c r="AY129" i="106"/>
  <c r="AX129" i="106"/>
  <c r="AW129" i="106"/>
  <c r="AV129" i="106"/>
  <c r="AU129" i="106"/>
  <c r="AT129" i="106"/>
  <c r="AS129" i="106"/>
  <c r="AR129" i="106"/>
  <c r="AQ129" i="106"/>
  <c r="AP129" i="106"/>
  <c r="AO129" i="106"/>
  <c r="AN129" i="106"/>
  <c r="AM129" i="106"/>
  <c r="AL129" i="106"/>
  <c r="AK129" i="106"/>
  <c r="AJ129" i="106"/>
  <c r="AI129" i="106"/>
  <c r="AH129" i="106"/>
  <c r="AG129" i="106"/>
  <c r="AF129" i="106"/>
  <c r="AE129" i="106"/>
  <c r="AD129" i="106"/>
  <c r="AC129" i="106"/>
  <c r="AB129" i="106"/>
  <c r="AA129" i="106"/>
  <c r="Y129" i="106"/>
  <c r="X129" i="106"/>
  <c r="W129" i="106"/>
  <c r="V129" i="106"/>
  <c r="U129" i="106"/>
  <c r="T129" i="106"/>
  <c r="S129" i="106"/>
  <c r="R129" i="106"/>
  <c r="Q129" i="106"/>
  <c r="P129" i="106"/>
  <c r="O129" i="106"/>
  <c r="BX128" i="106"/>
  <c r="BW128" i="106"/>
  <c r="BV128" i="106"/>
  <c r="BU128" i="106"/>
  <c r="BT128" i="106"/>
  <c r="Z128" i="106"/>
  <c r="BX127" i="106"/>
  <c r="BW127" i="106"/>
  <c r="BV127" i="106"/>
  <c r="BU127" i="106"/>
  <c r="BT127" i="106"/>
  <c r="Z127" i="106"/>
  <c r="BX126" i="106"/>
  <c r="BW126" i="106"/>
  <c r="BV126" i="106"/>
  <c r="BU126" i="106"/>
  <c r="BT126" i="106"/>
  <c r="Z126" i="106"/>
  <c r="BX125" i="106"/>
  <c r="BW125" i="106"/>
  <c r="BV125" i="106"/>
  <c r="BU125" i="106"/>
  <c r="BT125" i="106"/>
  <c r="Z125" i="106"/>
  <c r="BX124" i="106"/>
  <c r="BW124" i="106"/>
  <c r="BW129" i="106" s="1"/>
  <c r="BV124" i="106"/>
  <c r="BV129" i="106" s="1"/>
  <c r="BU124" i="106"/>
  <c r="BU129" i="106" s="1"/>
  <c r="BT124" i="106"/>
  <c r="BT129" i="106" s="1"/>
  <c r="Z124" i="106"/>
  <c r="Z129" i="106" s="1"/>
  <c r="ER123" i="106"/>
  <c r="EQ123" i="106"/>
  <c r="EP123" i="106"/>
  <c r="BX123" i="106"/>
  <c r="ES123" i="106" s="1"/>
  <c r="BW123" i="106"/>
  <c r="BU123" i="106"/>
  <c r="BT123" i="106"/>
  <c r="K123" i="106"/>
  <c r="F123" i="106"/>
  <c r="BV123" i="106" s="1"/>
  <c r="ET123" i="106" s="1"/>
  <c r="EU122" i="106"/>
  <c r="ES122" i="106"/>
  <c r="ER122" i="106"/>
  <c r="EQ122" i="106"/>
  <c r="EP122" i="106"/>
  <c r="BX122" i="106"/>
  <c r="BW122" i="106"/>
  <c r="BU122" i="106"/>
  <c r="BT122" i="106"/>
  <c r="K122" i="106"/>
  <c r="F122" i="106"/>
  <c r="BV122" i="106" s="1"/>
  <c r="ET122" i="106" s="1"/>
  <c r="C122" i="106"/>
  <c r="EV122" i="106" s="1"/>
  <c r="EV121" i="106"/>
  <c r="ER121" i="106"/>
  <c r="EQ121" i="106"/>
  <c r="EP121" i="106"/>
  <c r="BX121" i="106"/>
  <c r="ES121" i="106" s="1"/>
  <c r="EU121" i="106" s="1"/>
  <c r="BW121" i="106"/>
  <c r="BU121" i="106"/>
  <c r="BT121" i="106"/>
  <c r="K121" i="106"/>
  <c r="F121" i="106"/>
  <c r="BV121" i="106" s="1"/>
  <c r="ET121" i="106" s="1"/>
  <c r="C121" i="106"/>
  <c r="ES120" i="106"/>
  <c r="EU120" i="106" s="1"/>
  <c r="ER120" i="106"/>
  <c r="EQ120" i="106"/>
  <c r="EP120" i="106"/>
  <c r="BX120" i="106"/>
  <c r="BW120" i="106"/>
  <c r="BU120" i="106"/>
  <c r="BT120" i="106"/>
  <c r="K120" i="106"/>
  <c r="F120" i="106"/>
  <c r="BV120" i="106" s="1"/>
  <c r="ET120" i="106" s="1"/>
  <c r="ES119" i="106"/>
  <c r="ER119" i="106"/>
  <c r="EU119" i="106" s="1"/>
  <c r="EQ119" i="106"/>
  <c r="EP119" i="106"/>
  <c r="BX119" i="106"/>
  <c r="BW119" i="106"/>
  <c r="BU119" i="106"/>
  <c r="BT119" i="106"/>
  <c r="K119" i="106"/>
  <c r="F119" i="106"/>
  <c r="BV119" i="106" s="1"/>
  <c r="ET119" i="106" s="1"/>
  <c r="C119" i="106"/>
  <c r="EV119" i="106" s="1"/>
  <c r="ES118" i="106"/>
  <c r="ER118" i="106"/>
  <c r="EU118" i="106" s="1"/>
  <c r="EQ118" i="106"/>
  <c r="EP118" i="106"/>
  <c r="BX118" i="106"/>
  <c r="BW118" i="106"/>
  <c r="BU118" i="106"/>
  <c r="BT118" i="106"/>
  <c r="K118" i="106"/>
  <c r="F118" i="106"/>
  <c r="BV118" i="106" s="1"/>
  <c r="ET118" i="106" s="1"/>
  <c r="ES117" i="106"/>
  <c r="ER117" i="106"/>
  <c r="EU117" i="106" s="1"/>
  <c r="EQ117" i="106"/>
  <c r="EP117" i="106"/>
  <c r="BX117" i="106"/>
  <c r="BW117" i="106"/>
  <c r="BU117" i="106"/>
  <c r="BT117" i="106"/>
  <c r="K117" i="106"/>
  <c r="F117" i="106"/>
  <c r="BV117" i="106" s="1"/>
  <c r="ET117" i="106" s="1"/>
  <c r="C117" i="106"/>
  <c r="EV117" i="106" s="1"/>
  <c r="ET116" i="106"/>
  <c r="ER116" i="106"/>
  <c r="EQ116" i="106"/>
  <c r="EP116" i="106"/>
  <c r="BX116" i="106"/>
  <c r="ES116" i="106" s="1"/>
  <c r="BW116" i="106"/>
  <c r="BV116" i="106"/>
  <c r="BU116" i="106"/>
  <c r="BT116" i="106"/>
  <c r="K116" i="106"/>
  <c r="F116" i="106"/>
  <c r="C116" i="106"/>
  <c r="EV116" i="106" s="1"/>
  <c r="ER115" i="106"/>
  <c r="EQ115" i="106"/>
  <c r="EP115" i="106"/>
  <c r="BX115" i="106"/>
  <c r="ES115" i="106" s="1"/>
  <c r="BW115" i="106"/>
  <c r="BU115" i="106"/>
  <c r="BT115" i="106"/>
  <c r="K115" i="106"/>
  <c r="F115" i="106"/>
  <c r="BV115" i="106" s="1"/>
  <c r="ET115" i="106" s="1"/>
  <c r="EV114" i="106"/>
  <c r="ER114" i="106"/>
  <c r="EQ114" i="106"/>
  <c r="EP114" i="106"/>
  <c r="BX114" i="106"/>
  <c r="ES114" i="106" s="1"/>
  <c r="EU114" i="106" s="1"/>
  <c r="BW114" i="106"/>
  <c r="BV114" i="106"/>
  <c r="ET114" i="106" s="1"/>
  <c r="BU114" i="106"/>
  <c r="BT114" i="106"/>
  <c r="K114" i="106"/>
  <c r="F114" i="106"/>
  <c r="C114" i="106"/>
  <c r="ER113" i="106"/>
  <c r="EQ113" i="106"/>
  <c r="EP113" i="106"/>
  <c r="BX113" i="106"/>
  <c r="ES113" i="106" s="1"/>
  <c r="BW113" i="106"/>
  <c r="BV113" i="106"/>
  <c r="ET113" i="106" s="1"/>
  <c r="BU113" i="106"/>
  <c r="BT113" i="106"/>
  <c r="K113" i="106"/>
  <c r="F113" i="106"/>
  <c r="C113" i="106"/>
  <c r="EV113" i="106" s="1"/>
  <c r="ER112" i="106"/>
  <c r="EQ112" i="106"/>
  <c r="EP112" i="106"/>
  <c r="BX112" i="106"/>
  <c r="ES112" i="106" s="1"/>
  <c r="BW112" i="106"/>
  <c r="BV112" i="106"/>
  <c r="ET112" i="106" s="1"/>
  <c r="BU112" i="106"/>
  <c r="BT112" i="106"/>
  <c r="K112" i="106"/>
  <c r="F112" i="106"/>
  <c r="C112" i="106" s="1"/>
  <c r="EV112" i="106" s="1"/>
  <c r="ER111" i="106"/>
  <c r="EQ111" i="106"/>
  <c r="EP111" i="106"/>
  <c r="BX111" i="106"/>
  <c r="ES111" i="106" s="1"/>
  <c r="BW111" i="106"/>
  <c r="BV111" i="106"/>
  <c r="ET111" i="106" s="1"/>
  <c r="BU111" i="106"/>
  <c r="BT111" i="106"/>
  <c r="K111" i="106"/>
  <c r="F111" i="106"/>
  <c r="C111" i="106"/>
  <c r="EV111" i="106" s="1"/>
  <c r="ER110" i="106"/>
  <c r="EQ110" i="106"/>
  <c r="EP110" i="106"/>
  <c r="BX110" i="106"/>
  <c r="ES110" i="106" s="1"/>
  <c r="BW110" i="106"/>
  <c r="BU110" i="106"/>
  <c r="BT110" i="106"/>
  <c r="K110" i="106"/>
  <c r="F110" i="106"/>
  <c r="C110" i="106" s="1"/>
  <c r="EV110" i="106" s="1"/>
  <c r="ER109" i="106"/>
  <c r="EQ109" i="106"/>
  <c r="EP109" i="106"/>
  <c r="BX109" i="106"/>
  <c r="ES109" i="106" s="1"/>
  <c r="BW109" i="106"/>
  <c r="BU109" i="106"/>
  <c r="BT109" i="106"/>
  <c r="K109" i="106"/>
  <c r="F109" i="106"/>
  <c r="BV109" i="106" s="1"/>
  <c r="ET109" i="106" s="1"/>
  <c r="C109" i="106"/>
  <c r="EV109" i="106" s="1"/>
  <c r="ER108" i="106"/>
  <c r="EQ108" i="106"/>
  <c r="EP108" i="106"/>
  <c r="BX108" i="106"/>
  <c r="ES108" i="106" s="1"/>
  <c r="EU108" i="106" s="1"/>
  <c r="BW108" i="106"/>
  <c r="BU108" i="106"/>
  <c r="BT108" i="106"/>
  <c r="K108" i="106"/>
  <c r="F108" i="106"/>
  <c r="BV108" i="106" s="1"/>
  <c r="ET108" i="106" s="1"/>
  <c r="ER107" i="106"/>
  <c r="EQ107" i="106"/>
  <c r="EP107" i="106"/>
  <c r="BX107" i="106"/>
  <c r="ES107" i="106" s="1"/>
  <c r="BW107" i="106"/>
  <c r="BU107" i="106"/>
  <c r="BT107" i="106"/>
  <c r="K107" i="106"/>
  <c r="F107" i="106"/>
  <c r="BV107" i="106" s="1"/>
  <c r="ET107" i="106" s="1"/>
  <c r="EU106" i="106"/>
  <c r="ES106" i="106"/>
  <c r="ER106" i="106"/>
  <c r="EQ106" i="106"/>
  <c r="EP106" i="106"/>
  <c r="BX106" i="106"/>
  <c r="BW106" i="106"/>
  <c r="BU106" i="106"/>
  <c r="BT106" i="106"/>
  <c r="K106" i="106"/>
  <c r="F106" i="106"/>
  <c r="BV106" i="106" s="1"/>
  <c r="ET106" i="106" s="1"/>
  <c r="C106" i="106"/>
  <c r="EV106" i="106" s="1"/>
  <c r="EV105" i="106"/>
  <c r="ER105" i="106"/>
  <c r="EQ105" i="106"/>
  <c r="EP105" i="106"/>
  <c r="BX105" i="106"/>
  <c r="ES105" i="106" s="1"/>
  <c r="EU105" i="106" s="1"/>
  <c r="BW105" i="106"/>
  <c r="BU105" i="106"/>
  <c r="BT105" i="106"/>
  <c r="K105" i="106"/>
  <c r="F105" i="106"/>
  <c r="BV105" i="106" s="1"/>
  <c r="ET105" i="106" s="1"/>
  <c r="C105" i="106"/>
  <c r="EU104" i="106"/>
  <c r="ES104" i="106"/>
  <c r="ER104" i="106"/>
  <c r="EQ104" i="106"/>
  <c r="EP104" i="106"/>
  <c r="BX104" i="106"/>
  <c r="BW104" i="106"/>
  <c r="BU104" i="106"/>
  <c r="BT104" i="106"/>
  <c r="K104" i="106"/>
  <c r="F104" i="106"/>
  <c r="BV104" i="106" s="1"/>
  <c r="ET104" i="106" s="1"/>
  <c r="EV103" i="106"/>
  <c r="EU103" i="106"/>
  <c r="ES103" i="106"/>
  <c r="ER103" i="106"/>
  <c r="EQ103" i="106"/>
  <c r="EP103" i="106"/>
  <c r="BX103" i="106"/>
  <c r="BW103" i="106"/>
  <c r="BU103" i="106"/>
  <c r="BT103" i="106"/>
  <c r="K103" i="106"/>
  <c r="F103" i="106"/>
  <c r="BV103" i="106" s="1"/>
  <c r="ET103" i="106" s="1"/>
  <c r="C103" i="106"/>
  <c r="ES102" i="106"/>
  <c r="EU102" i="106" s="1"/>
  <c r="ER102" i="106"/>
  <c r="EQ102" i="106"/>
  <c r="EP102" i="106"/>
  <c r="BX102" i="106"/>
  <c r="BW102" i="106"/>
  <c r="BU102" i="106"/>
  <c r="BT102" i="106"/>
  <c r="K102" i="106"/>
  <c r="F102" i="106"/>
  <c r="BV102" i="106" s="1"/>
  <c r="ET102" i="106" s="1"/>
  <c r="EV101" i="106"/>
  <c r="ES101" i="106"/>
  <c r="ER101" i="106"/>
  <c r="EU101" i="106" s="1"/>
  <c r="EQ101" i="106"/>
  <c r="EP101" i="106"/>
  <c r="BX101" i="106"/>
  <c r="BW101" i="106"/>
  <c r="BU101" i="106"/>
  <c r="BT101" i="106"/>
  <c r="K101" i="106"/>
  <c r="F101" i="106"/>
  <c r="BV101" i="106" s="1"/>
  <c r="ET101" i="106" s="1"/>
  <c r="C101" i="106"/>
  <c r="ET100" i="106"/>
  <c r="ER100" i="106"/>
  <c r="EQ100" i="106"/>
  <c r="EP100" i="106"/>
  <c r="BX100" i="106"/>
  <c r="ES100" i="106" s="1"/>
  <c r="BW100" i="106"/>
  <c r="BV100" i="106"/>
  <c r="BU100" i="106"/>
  <c r="BT100" i="106"/>
  <c r="K100" i="106"/>
  <c r="F100" i="106"/>
  <c r="C100" i="106"/>
  <c r="EV100" i="106" s="1"/>
  <c r="ER99" i="106"/>
  <c r="EQ99" i="106"/>
  <c r="EP99" i="106"/>
  <c r="BX99" i="106"/>
  <c r="ES99" i="106" s="1"/>
  <c r="BW99" i="106"/>
  <c r="BU99" i="106"/>
  <c r="BT99" i="106"/>
  <c r="K99" i="106"/>
  <c r="F99" i="106"/>
  <c r="BV99" i="106" s="1"/>
  <c r="ET99" i="106" s="1"/>
  <c r="EV98" i="106"/>
  <c r="ER98" i="106"/>
  <c r="EQ98" i="106"/>
  <c r="EP98" i="106"/>
  <c r="BX98" i="106"/>
  <c r="ES98" i="106" s="1"/>
  <c r="EU98" i="106" s="1"/>
  <c r="BW98" i="106"/>
  <c r="BV98" i="106"/>
  <c r="ET98" i="106" s="1"/>
  <c r="BU98" i="106"/>
  <c r="BT98" i="106"/>
  <c r="K98" i="106"/>
  <c r="F98" i="106"/>
  <c r="C98" i="106"/>
  <c r="ER97" i="106"/>
  <c r="EQ97" i="106"/>
  <c r="EP97" i="106"/>
  <c r="BX97" i="106"/>
  <c r="ES97" i="106" s="1"/>
  <c r="BW97" i="106"/>
  <c r="BV97" i="106"/>
  <c r="ET97" i="106" s="1"/>
  <c r="BU97" i="106"/>
  <c r="BT97" i="106"/>
  <c r="K97" i="106"/>
  <c r="F97" i="106"/>
  <c r="C97" i="106" s="1"/>
  <c r="EV97" i="106" s="1"/>
  <c r="ER96" i="106"/>
  <c r="EQ96" i="106"/>
  <c r="EP96" i="106"/>
  <c r="BX96" i="106"/>
  <c r="ES96" i="106" s="1"/>
  <c r="BW96" i="106"/>
  <c r="BV96" i="106"/>
  <c r="ET96" i="106" s="1"/>
  <c r="BU96" i="106"/>
  <c r="BT96" i="106"/>
  <c r="K96" i="106"/>
  <c r="F96" i="106"/>
  <c r="C96" i="106" s="1"/>
  <c r="EV96" i="106" s="1"/>
  <c r="ER95" i="106"/>
  <c r="EQ95" i="106"/>
  <c r="EP95" i="106"/>
  <c r="BX95" i="106"/>
  <c r="ES95" i="106" s="1"/>
  <c r="BW95" i="106"/>
  <c r="BV95" i="106"/>
  <c r="ET95" i="106" s="1"/>
  <c r="BU95" i="106"/>
  <c r="BT95" i="106"/>
  <c r="K95" i="106"/>
  <c r="F95" i="106"/>
  <c r="C95" i="106"/>
  <c r="EV95" i="106" s="1"/>
  <c r="ER94" i="106"/>
  <c r="EQ94" i="106"/>
  <c r="EP94" i="106"/>
  <c r="BX94" i="106"/>
  <c r="ES94" i="106" s="1"/>
  <c r="BW94" i="106"/>
  <c r="BU94" i="106"/>
  <c r="BT94" i="106"/>
  <c r="K94" i="106"/>
  <c r="F94" i="106"/>
  <c r="C94" i="106" s="1"/>
  <c r="EV94" i="106" s="1"/>
  <c r="ER93" i="106"/>
  <c r="EQ93" i="106"/>
  <c r="EP93" i="106"/>
  <c r="BX93" i="106"/>
  <c r="ES93" i="106" s="1"/>
  <c r="EU93" i="106" s="1"/>
  <c r="BW93" i="106"/>
  <c r="BU93" i="106"/>
  <c r="BT93" i="106"/>
  <c r="K93" i="106"/>
  <c r="F93" i="106"/>
  <c r="BV93" i="106" s="1"/>
  <c r="ET93" i="106" s="1"/>
  <c r="C93" i="106"/>
  <c r="EV93" i="106" s="1"/>
  <c r="ER92" i="106"/>
  <c r="EQ92" i="106"/>
  <c r="EP92" i="106"/>
  <c r="BX92" i="106"/>
  <c r="ES92" i="106" s="1"/>
  <c r="EU92" i="106" s="1"/>
  <c r="BW92" i="106"/>
  <c r="BU92" i="106"/>
  <c r="BT92" i="106"/>
  <c r="K92" i="106"/>
  <c r="F92" i="106"/>
  <c r="BV92" i="106" s="1"/>
  <c r="ET92" i="106" s="1"/>
  <c r="ER91" i="106"/>
  <c r="EQ91" i="106"/>
  <c r="EP91" i="106"/>
  <c r="BX91" i="106"/>
  <c r="ES91" i="106" s="1"/>
  <c r="BW91" i="106"/>
  <c r="BU91" i="106"/>
  <c r="BT91" i="106"/>
  <c r="K91" i="106"/>
  <c r="F91" i="106"/>
  <c r="BV91" i="106" s="1"/>
  <c r="ET91" i="106" s="1"/>
  <c r="EU90" i="106"/>
  <c r="ES90" i="106"/>
  <c r="ER90" i="106"/>
  <c r="EQ90" i="106"/>
  <c r="EP90" i="106"/>
  <c r="BX90" i="106"/>
  <c r="BW90" i="106"/>
  <c r="BU90" i="106"/>
  <c r="BT90" i="106"/>
  <c r="K90" i="106"/>
  <c r="F90" i="106"/>
  <c r="BV90" i="106" s="1"/>
  <c r="ET90" i="106" s="1"/>
  <c r="C90" i="106"/>
  <c r="EV90" i="106" s="1"/>
  <c r="ER89" i="106"/>
  <c r="EQ89" i="106"/>
  <c r="EP89" i="106"/>
  <c r="BX89" i="106"/>
  <c r="ES89" i="106" s="1"/>
  <c r="EU89" i="106" s="1"/>
  <c r="BW89" i="106"/>
  <c r="BU89" i="106"/>
  <c r="BT89" i="106"/>
  <c r="K89" i="106"/>
  <c r="F89" i="106"/>
  <c r="BV89" i="106" s="1"/>
  <c r="ET89" i="106" s="1"/>
  <c r="C89" i="106"/>
  <c r="EV89" i="106" s="1"/>
  <c r="ES88" i="106"/>
  <c r="EU88" i="106" s="1"/>
  <c r="ER88" i="106"/>
  <c r="EQ88" i="106"/>
  <c r="EP88" i="106"/>
  <c r="BX88" i="106"/>
  <c r="BW88" i="106"/>
  <c r="BU88" i="106"/>
  <c r="BT88" i="106"/>
  <c r="K88" i="106"/>
  <c r="F88" i="106"/>
  <c r="BV88" i="106" s="1"/>
  <c r="ET88" i="106" s="1"/>
  <c r="EV87" i="106"/>
  <c r="EU87" i="106"/>
  <c r="ES87" i="106"/>
  <c r="ER87" i="106"/>
  <c r="EQ87" i="106"/>
  <c r="EP87" i="106"/>
  <c r="BX87" i="106"/>
  <c r="BW87" i="106"/>
  <c r="BU87" i="106"/>
  <c r="BT87" i="106"/>
  <c r="K87" i="106"/>
  <c r="F87" i="106"/>
  <c r="BV87" i="106" s="1"/>
  <c r="ET87" i="106" s="1"/>
  <c r="C87" i="106"/>
  <c r="EU86" i="106"/>
  <c r="ES86" i="106"/>
  <c r="ER86" i="106"/>
  <c r="EQ86" i="106"/>
  <c r="EP86" i="106"/>
  <c r="BX86" i="106"/>
  <c r="BW86" i="106"/>
  <c r="BU86" i="106"/>
  <c r="BT86" i="106"/>
  <c r="K86" i="106"/>
  <c r="F86" i="106"/>
  <c r="BV86" i="106" s="1"/>
  <c r="ET86" i="106" s="1"/>
  <c r="EV85" i="106"/>
  <c r="ES85" i="106"/>
  <c r="ER85" i="106"/>
  <c r="EU85" i="106" s="1"/>
  <c r="EQ85" i="106"/>
  <c r="EP85" i="106"/>
  <c r="BX85" i="106"/>
  <c r="BW85" i="106"/>
  <c r="BU85" i="106"/>
  <c r="BT85" i="106"/>
  <c r="K85" i="106"/>
  <c r="F85" i="106"/>
  <c r="BV85" i="106" s="1"/>
  <c r="ET85" i="106" s="1"/>
  <c r="C85" i="106"/>
  <c r="ET84" i="106"/>
  <c r="ER84" i="106"/>
  <c r="EU84" i="106" s="1"/>
  <c r="EQ84" i="106"/>
  <c r="EP84" i="106"/>
  <c r="BX84" i="106"/>
  <c r="ES84" i="106" s="1"/>
  <c r="BW84" i="106"/>
  <c r="BV84" i="106"/>
  <c r="BU84" i="106"/>
  <c r="BT84" i="106"/>
  <c r="K84" i="106"/>
  <c r="F84" i="106"/>
  <c r="C84" i="106"/>
  <c r="EV84" i="106" s="1"/>
  <c r="ER83" i="106"/>
  <c r="EQ83" i="106"/>
  <c r="EP83" i="106"/>
  <c r="BX83" i="106"/>
  <c r="ES83" i="106" s="1"/>
  <c r="BW83" i="106"/>
  <c r="BU83" i="106"/>
  <c r="BT83" i="106"/>
  <c r="K83" i="106"/>
  <c r="F83" i="106"/>
  <c r="BV83" i="106" s="1"/>
  <c r="ET83" i="106" s="1"/>
  <c r="EV82" i="106"/>
  <c r="ER82" i="106"/>
  <c r="EQ82" i="106"/>
  <c r="EP82" i="106"/>
  <c r="BX82" i="106"/>
  <c r="ES82" i="106" s="1"/>
  <c r="EU82" i="106" s="1"/>
  <c r="BW82" i="106"/>
  <c r="BV82" i="106"/>
  <c r="ET82" i="106" s="1"/>
  <c r="BU82" i="106"/>
  <c r="BT82" i="106"/>
  <c r="K82" i="106"/>
  <c r="F82" i="106"/>
  <c r="C82" i="106"/>
  <c r="ER81" i="106"/>
  <c r="EU81" i="106" s="1"/>
  <c r="EQ81" i="106"/>
  <c r="EP81" i="106"/>
  <c r="BX81" i="106"/>
  <c r="ES81" i="106" s="1"/>
  <c r="BW81" i="106"/>
  <c r="BV81" i="106"/>
  <c r="ET81" i="106" s="1"/>
  <c r="BU81" i="106"/>
  <c r="BT81" i="106"/>
  <c r="K81" i="106"/>
  <c r="F81" i="106"/>
  <c r="C81" i="106" s="1"/>
  <c r="EV81" i="106" s="1"/>
  <c r="ER80" i="106"/>
  <c r="EQ80" i="106"/>
  <c r="EP80" i="106"/>
  <c r="BX80" i="106"/>
  <c r="ES80" i="106" s="1"/>
  <c r="BW80" i="106"/>
  <c r="BV80" i="106"/>
  <c r="ET80" i="106" s="1"/>
  <c r="BU80" i="106"/>
  <c r="BT80" i="106"/>
  <c r="K80" i="106"/>
  <c r="F80" i="106"/>
  <c r="C80" i="106" s="1"/>
  <c r="EV80" i="106" s="1"/>
  <c r="ER79" i="106"/>
  <c r="EU79" i="106" s="1"/>
  <c r="EQ79" i="106"/>
  <c r="EP79" i="106"/>
  <c r="BX79" i="106"/>
  <c r="ES79" i="106" s="1"/>
  <c r="BW79" i="106"/>
  <c r="BV79" i="106"/>
  <c r="ET79" i="106" s="1"/>
  <c r="BU79" i="106"/>
  <c r="BT79" i="106"/>
  <c r="K79" i="106"/>
  <c r="F79" i="106"/>
  <c r="C79" i="106"/>
  <c r="EV79" i="106" s="1"/>
  <c r="ER78" i="106"/>
  <c r="EU78" i="106" s="1"/>
  <c r="EQ78" i="106"/>
  <c r="EP78" i="106"/>
  <c r="BX78" i="106"/>
  <c r="ES78" i="106" s="1"/>
  <c r="BW78" i="106"/>
  <c r="BV78" i="106"/>
  <c r="ET78" i="106" s="1"/>
  <c r="BU78" i="106"/>
  <c r="BT78" i="106"/>
  <c r="K78" i="106"/>
  <c r="F78" i="106"/>
  <c r="C78" i="106" s="1"/>
  <c r="EV78" i="106" s="1"/>
  <c r="ER77" i="106"/>
  <c r="EQ77" i="106"/>
  <c r="EP77" i="106"/>
  <c r="BX77" i="106"/>
  <c r="ES77" i="106" s="1"/>
  <c r="EU77" i="106" s="1"/>
  <c r="BW77" i="106"/>
  <c r="BU77" i="106"/>
  <c r="BT77" i="106"/>
  <c r="K77" i="106"/>
  <c r="F77" i="106"/>
  <c r="BV77" i="106" s="1"/>
  <c r="ET77" i="106" s="1"/>
  <c r="C77" i="106"/>
  <c r="EV77" i="106" s="1"/>
  <c r="ER76" i="106"/>
  <c r="EQ76" i="106"/>
  <c r="EP76" i="106"/>
  <c r="BX76" i="106"/>
  <c r="ES76" i="106" s="1"/>
  <c r="EU76" i="106" s="1"/>
  <c r="BW76" i="106"/>
  <c r="BU76" i="106"/>
  <c r="BT76" i="106"/>
  <c r="K76" i="106"/>
  <c r="F76" i="106"/>
  <c r="BV76" i="106" s="1"/>
  <c r="ET76" i="106" s="1"/>
  <c r="ER75" i="106"/>
  <c r="EQ75" i="106"/>
  <c r="EP75" i="106"/>
  <c r="BX75" i="106"/>
  <c r="ES75" i="106" s="1"/>
  <c r="BW75" i="106"/>
  <c r="BU75" i="106"/>
  <c r="BT75" i="106"/>
  <c r="K75" i="106"/>
  <c r="F75" i="106"/>
  <c r="BV75" i="106" s="1"/>
  <c r="ET75" i="106" s="1"/>
  <c r="EU74" i="106"/>
  <c r="ES74" i="106"/>
  <c r="ER74" i="106"/>
  <c r="EQ74" i="106"/>
  <c r="EP74" i="106"/>
  <c r="BX74" i="106"/>
  <c r="BW74" i="106"/>
  <c r="BU74" i="106"/>
  <c r="BT74" i="106"/>
  <c r="K74" i="106"/>
  <c r="F74" i="106"/>
  <c r="BV74" i="106" s="1"/>
  <c r="ET74" i="106" s="1"/>
  <c r="C74" i="106"/>
  <c r="EV74" i="106" s="1"/>
  <c r="ER73" i="106"/>
  <c r="EQ73" i="106"/>
  <c r="EP73" i="106"/>
  <c r="BX73" i="106"/>
  <c r="ES73" i="106" s="1"/>
  <c r="EU73" i="106" s="1"/>
  <c r="BW73" i="106"/>
  <c r="BU73" i="106"/>
  <c r="BT73" i="106"/>
  <c r="K73" i="106"/>
  <c r="F73" i="106"/>
  <c r="BV73" i="106" s="1"/>
  <c r="ET73" i="106" s="1"/>
  <c r="C73" i="106"/>
  <c r="EV73" i="106" s="1"/>
  <c r="ES72" i="106"/>
  <c r="EU72" i="106" s="1"/>
  <c r="ER72" i="106"/>
  <c r="EQ72" i="106"/>
  <c r="EP72" i="106"/>
  <c r="BX72" i="106"/>
  <c r="BW72" i="106"/>
  <c r="BU72" i="106"/>
  <c r="BT72" i="106"/>
  <c r="K72" i="106"/>
  <c r="F72" i="106"/>
  <c r="BV72" i="106" s="1"/>
  <c r="ET72" i="106" s="1"/>
  <c r="EV71" i="106"/>
  <c r="EU71" i="106"/>
  <c r="ES71" i="106"/>
  <c r="ER71" i="106"/>
  <c r="EQ71" i="106"/>
  <c r="EP71" i="106"/>
  <c r="BX71" i="106"/>
  <c r="BW71" i="106"/>
  <c r="BU71" i="106"/>
  <c r="BT71" i="106"/>
  <c r="K71" i="106"/>
  <c r="F71" i="106"/>
  <c r="BV71" i="106" s="1"/>
  <c r="ET71" i="106" s="1"/>
  <c r="C71" i="106"/>
  <c r="EU70" i="106"/>
  <c r="ES70" i="106"/>
  <c r="ER70" i="106"/>
  <c r="EQ70" i="106"/>
  <c r="EP70" i="106"/>
  <c r="BX70" i="106"/>
  <c r="BW70" i="106"/>
  <c r="BU70" i="106"/>
  <c r="BT70" i="106"/>
  <c r="K70" i="106"/>
  <c r="F70" i="106"/>
  <c r="BV70" i="106" s="1"/>
  <c r="ET70" i="106" s="1"/>
  <c r="EV69" i="106"/>
  <c r="ES69" i="106"/>
  <c r="ER69" i="106"/>
  <c r="EU69" i="106" s="1"/>
  <c r="EQ69" i="106"/>
  <c r="EP69" i="106"/>
  <c r="BX69" i="106"/>
  <c r="BW69" i="106"/>
  <c r="BU69" i="106"/>
  <c r="BT69" i="106"/>
  <c r="K69" i="106"/>
  <c r="F69" i="106"/>
  <c r="BV69" i="106" s="1"/>
  <c r="ET69" i="106" s="1"/>
  <c r="C69" i="106"/>
  <c r="ET68" i="106"/>
  <c r="ER68" i="106"/>
  <c r="EQ68" i="106"/>
  <c r="EP68" i="106"/>
  <c r="BX68" i="106"/>
  <c r="ES68" i="106" s="1"/>
  <c r="BW68" i="106"/>
  <c r="BV68" i="106"/>
  <c r="BU68" i="106"/>
  <c r="BT68" i="106"/>
  <c r="K68" i="106"/>
  <c r="F68" i="106"/>
  <c r="C68" i="106"/>
  <c r="EV68" i="106" s="1"/>
  <c r="ER67" i="106"/>
  <c r="EQ67" i="106"/>
  <c r="EP67" i="106"/>
  <c r="BX67" i="106"/>
  <c r="ES67" i="106" s="1"/>
  <c r="BW67" i="106"/>
  <c r="BU67" i="106"/>
  <c r="BT67" i="106"/>
  <c r="K67" i="106"/>
  <c r="F67" i="106"/>
  <c r="BV67" i="106" s="1"/>
  <c r="ET67" i="106" s="1"/>
  <c r="EV66" i="106"/>
  <c r="ER66" i="106"/>
  <c r="EU66" i="106" s="1"/>
  <c r="EQ66" i="106"/>
  <c r="EP66" i="106"/>
  <c r="BX66" i="106"/>
  <c r="ES66" i="106" s="1"/>
  <c r="BW66" i="106"/>
  <c r="BV66" i="106"/>
  <c r="ET66" i="106" s="1"/>
  <c r="BU66" i="106"/>
  <c r="BT66" i="106"/>
  <c r="K66" i="106"/>
  <c r="F66" i="106"/>
  <c r="C66" i="106"/>
  <c r="ER65" i="106"/>
  <c r="EQ65" i="106"/>
  <c r="EP65" i="106"/>
  <c r="BX65" i="106"/>
  <c r="ES65" i="106" s="1"/>
  <c r="BW65" i="106"/>
  <c r="BV65" i="106"/>
  <c r="ET65" i="106" s="1"/>
  <c r="BU65" i="106"/>
  <c r="BT65" i="106"/>
  <c r="K65" i="106"/>
  <c r="F65" i="106"/>
  <c r="C65" i="106" s="1"/>
  <c r="EV65" i="106" s="1"/>
  <c r="ER64" i="106"/>
  <c r="EU64" i="106" s="1"/>
  <c r="EQ64" i="106"/>
  <c r="EP64" i="106"/>
  <c r="BX64" i="106"/>
  <c r="ES64" i="106" s="1"/>
  <c r="BW64" i="106"/>
  <c r="BV64" i="106"/>
  <c r="ET64" i="106" s="1"/>
  <c r="BU64" i="106"/>
  <c r="BT64" i="106"/>
  <c r="K64" i="106"/>
  <c r="F64" i="106"/>
  <c r="C64" i="106" s="1"/>
  <c r="EV64" i="106" s="1"/>
  <c r="ER63" i="106"/>
  <c r="EU63" i="106" s="1"/>
  <c r="EQ63" i="106"/>
  <c r="EP63" i="106"/>
  <c r="BX63" i="106"/>
  <c r="ES63" i="106" s="1"/>
  <c r="BW63" i="106"/>
  <c r="BV63" i="106"/>
  <c r="ET63" i="106" s="1"/>
  <c r="BU63" i="106"/>
  <c r="BT63" i="106"/>
  <c r="K63" i="106"/>
  <c r="F63" i="106"/>
  <c r="C63" i="106"/>
  <c r="EV63" i="106" s="1"/>
  <c r="ER62" i="106"/>
  <c r="EQ62" i="106"/>
  <c r="EP62" i="106"/>
  <c r="BX62" i="106"/>
  <c r="ES62" i="106" s="1"/>
  <c r="BW62" i="106"/>
  <c r="BV62" i="106"/>
  <c r="ET62" i="106" s="1"/>
  <c r="BU62" i="106"/>
  <c r="BT62" i="106"/>
  <c r="K62" i="106"/>
  <c r="F62" i="106"/>
  <c r="C62" i="106" s="1"/>
  <c r="EV62" i="106" s="1"/>
  <c r="ER61" i="106"/>
  <c r="EQ61" i="106"/>
  <c r="EP61" i="106"/>
  <c r="BX61" i="106"/>
  <c r="ES61" i="106" s="1"/>
  <c r="EU61" i="106" s="1"/>
  <c r="BW61" i="106"/>
  <c r="BU61" i="106"/>
  <c r="BT61" i="106"/>
  <c r="K61" i="106"/>
  <c r="F61" i="106"/>
  <c r="BV61" i="106" s="1"/>
  <c r="ET61" i="106" s="1"/>
  <c r="ER60" i="106"/>
  <c r="EQ60" i="106"/>
  <c r="EP60" i="106"/>
  <c r="BX60" i="106"/>
  <c r="ES60" i="106" s="1"/>
  <c r="EU60" i="106" s="1"/>
  <c r="BW60" i="106"/>
  <c r="BU60" i="106"/>
  <c r="BT60" i="106"/>
  <c r="K60" i="106"/>
  <c r="F60" i="106"/>
  <c r="BV60" i="106" s="1"/>
  <c r="ET60" i="106" s="1"/>
  <c r="C60" i="106"/>
  <c r="EV60" i="106" s="1"/>
  <c r="ER59" i="106"/>
  <c r="EQ59" i="106"/>
  <c r="EP59" i="106"/>
  <c r="BX59" i="106"/>
  <c r="ES59" i="106" s="1"/>
  <c r="BW59" i="106"/>
  <c r="BU59" i="106"/>
  <c r="BT59" i="106"/>
  <c r="K59" i="106"/>
  <c r="F59" i="106"/>
  <c r="BV59" i="106" s="1"/>
  <c r="ET59" i="106" s="1"/>
  <c r="EU58" i="106"/>
  <c r="ES58" i="106"/>
  <c r="ER58" i="106"/>
  <c r="EQ58" i="106"/>
  <c r="EP58" i="106"/>
  <c r="BX58" i="106"/>
  <c r="BW58" i="106"/>
  <c r="BU58" i="106"/>
  <c r="BT58" i="106"/>
  <c r="K58" i="106"/>
  <c r="F58" i="106"/>
  <c r="BV58" i="106" s="1"/>
  <c r="ET58" i="106" s="1"/>
  <c r="C58" i="106"/>
  <c r="EV58" i="106" s="1"/>
  <c r="ER57" i="106"/>
  <c r="EQ57" i="106"/>
  <c r="EP57" i="106"/>
  <c r="BX57" i="106"/>
  <c r="ES57" i="106" s="1"/>
  <c r="EU57" i="106" s="1"/>
  <c r="BW57" i="106"/>
  <c r="BU57" i="106"/>
  <c r="BT57" i="106"/>
  <c r="K57" i="106"/>
  <c r="F57" i="106"/>
  <c r="BV57" i="106" s="1"/>
  <c r="ET57" i="106" s="1"/>
  <c r="C57" i="106"/>
  <c r="EV57" i="106" s="1"/>
  <c r="ES56" i="106"/>
  <c r="EU56" i="106" s="1"/>
  <c r="ER56" i="106"/>
  <c r="EQ56" i="106"/>
  <c r="EP56" i="106"/>
  <c r="BX56" i="106"/>
  <c r="BW56" i="106"/>
  <c r="BU56" i="106"/>
  <c r="BT56" i="106"/>
  <c r="K56" i="106"/>
  <c r="F56" i="106"/>
  <c r="BV56" i="106" s="1"/>
  <c r="ET56" i="106" s="1"/>
  <c r="EV55" i="106"/>
  <c r="EU55" i="106"/>
  <c r="ES55" i="106"/>
  <c r="ER55" i="106"/>
  <c r="EQ55" i="106"/>
  <c r="EP55" i="106"/>
  <c r="BX55" i="106"/>
  <c r="BW55" i="106"/>
  <c r="BU55" i="106"/>
  <c r="BT55" i="106"/>
  <c r="K55" i="106"/>
  <c r="F55" i="106"/>
  <c r="BV55" i="106" s="1"/>
  <c r="ET55" i="106" s="1"/>
  <c r="C55" i="106"/>
  <c r="ES54" i="106"/>
  <c r="ER54" i="106"/>
  <c r="EU54" i="106" s="1"/>
  <c r="EQ54" i="106"/>
  <c r="EP54" i="106"/>
  <c r="BX54" i="106"/>
  <c r="BW54" i="106"/>
  <c r="BU54" i="106"/>
  <c r="BT54" i="106"/>
  <c r="K54" i="106"/>
  <c r="F54" i="106"/>
  <c r="BV54" i="106" s="1"/>
  <c r="ET54" i="106" s="1"/>
  <c r="EV53" i="106"/>
  <c r="ES53" i="106"/>
  <c r="ER53" i="106"/>
  <c r="EU53" i="106" s="1"/>
  <c r="EQ53" i="106"/>
  <c r="EP53" i="106"/>
  <c r="BX53" i="106"/>
  <c r="BW53" i="106"/>
  <c r="BU53" i="106"/>
  <c r="BT53" i="106"/>
  <c r="K53" i="106"/>
  <c r="F53" i="106"/>
  <c r="BV53" i="106" s="1"/>
  <c r="ET53" i="106" s="1"/>
  <c r="C53" i="106"/>
  <c r="EV52" i="106"/>
  <c r="ET52" i="106"/>
  <c r="ER52" i="106"/>
  <c r="EU52" i="106" s="1"/>
  <c r="EQ52" i="106"/>
  <c r="EP52" i="106"/>
  <c r="BX52" i="106"/>
  <c r="ES52" i="106" s="1"/>
  <c r="BW52" i="106"/>
  <c r="BV52" i="106"/>
  <c r="BU52" i="106"/>
  <c r="BT52" i="106"/>
  <c r="K52" i="106"/>
  <c r="F52" i="106"/>
  <c r="C52" i="106"/>
  <c r="ER51" i="106"/>
  <c r="EU51" i="106" s="1"/>
  <c r="EQ51" i="106"/>
  <c r="EP51" i="106"/>
  <c r="BX51" i="106"/>
  <c r="ES51" i="106" s="1"/>
  <c r="BW51" i="106"/>
  <c r="BU51" i="106"/>
  <c r="BT51" i="106"/>
  <c r="K51" i="106"/>
  <c r="F51" i="106"/>
  <c r="BV51" i="106" s="1"/>
  <c r="ET51" i="106" s="1"/>
  <c r="EV50" i="106"/>
  <c r="ER50" i="106"/>
  <c r="EQ50" i="106"/>
  <c r="EP50" i="106"/>
  <c r="BX50" i="106"/>
  <c r="ES50" i="106" s="1"/>
  <c r="EU50" i="106" s="1"/>
  <c r="BW50" i="106"/>
  <c r="BV50" i="106"/>
  <c r="ET50" i="106" s="1"/>
  <c r="BU50" i="106"/>
  <c r="BT50" i="106"/>
  <c r="K50" i="106"/>
  <c r="F50" i="106"/>
  <c r="C50" i="106"/>
  <c r="ER49" i="106"/>
  <c r="EU49" i="106" s="1"/>
  <c r="EQ49" i="106"/>
  <c r="EP49" i="106"/>
  <c r="BX49" i="106"/>
  <c r="ES49" i="106" s="1"/>
  <c r="BW49" i="106"/>
  <c r="BV49" i="106"/>
  <c r="ET49" i="106" s="1"/>
  <c r="BU49" i="106"/>
  <c r="BT49" i="106"/>
  <c r="K49" i="106"/>
  <c r="F49" i="106"/>
  <c r="C49" i="106"/>
  <c r="EV49" i="106" s="1"/>
  <c r="ER48" i="106"/>
  <c r="EU48" i="106" s="1"/>
  <c r="EQ48" i="106"/>
  <c r="EP48" i="106"/>
  <c r="BX48" i="106"/>
  <c r="ES48" i="106" s="1"/>
  <c r="BW48" i="106"/>
  <c r="BV48" i="106"/>
  <c r="ET48" i="106" s="1"/>
  <c r="BU48" i="106"/>
  <c r="BT48" i="106"/>
  <c r="K48" i="106"/>
  <c r="F48" i="106"/>
  <c r="C48" i="106" s="1"/>
  <c r="EV48" i="106" s="1"/>
  <c r="ER47" i="106"/>
  <c r="EQ47" i="106"/>
  <c r="EP47" i="106"/>
  <c r="BX47" i="106"/>
  <c r="ES47" i="106" s="1"/>
  <c r="BW47" i="106"/>
  <c r="BV47" i="106"/>
  <c r="ET47" i="106" s="1"/>
  <c r="BU47" i="106"/>
  <c r="BT47" i="106"/>
  <c r="K47" i="106"/>
  <c r="F47" i="106"/>
  <c r="C47" i="106"/>
  <c r="EV47" i="106" s="1"/>
  <c r="ER46" i="106"/>
  <c r="EU46" i="106" s="1"/>
  <c r="EQ46" i="106"/>
  <c r="EP46" i="106"/>
  <c r="BX46" i="106"/>
  <c r="ES46" i="106" s="1"/>
  <c r="BW46" i="106"/>
  <c r="BV46" i="106"/>
  <c r="ET46" i="106" s="1"/>
  <c r="BU46" i="106"/>
  <c r="BT46" i="106"/>
  <c r="K46" i="106"/>
  <c r="F46" i="106"/>
  <c r="C46" i="106" s="1"/>
  <c r="EV46" i="106" s="1"/>
  <c r="ER45" i="106"/>
  <c r="EU45" i="106" s="1"/>
  <c r="EQ45" i="106"/>
  <c r="EP45" i="106"/>
  <c r="BX45" i="106"/>
  <c r="ES45" i="106" s="1"/>
  <c r="BW45" i="106"/>
  <c r="BU45" i="106"/>
  <c r="BT45" i="106"/>
  <c r="K45" i="106"/>
  <c r="F45" i="106"/>
  <c r="BV45" i="106" s="1"/>
  <c r="ET45" i="106" s="1"/>
  <c r="ER44" i="106"/>
  <c r="EQ44" i="106"/>
  <c r="EP44" i="106"/>
  <c r="BX44" i="106"/>
  <c r="ES44" i="106" s="1"/>
  <c r="EU44" i="106" s="1"/>
  <c r="BW44" i="106"/>
  <c r="BU44" i="106"/>
  <c r="BT44" i="106"/>
  <c r="K44" i="106"/>
  <c r="F44" i="106"/>
  <c r="BV44" i="106" s="1"/>
  <c r="ET44" i="106" s="1"/>
  <c r="C44" i="106"/>
  <c r="EV44" i="106" s="1"/>
  <c r="ER43" i="106"/>
  <c r="EQ43" i="106"/>
  <c r="EP43" i="106"/>
  <c r="BX43" i="106"/>
  <c r="ES43" i="106" s="1"/>
  <c r="BW43" i="106"/>
  <c r="BU43" i="106"/>
  <c r="BT43" i="106"/>
  <c r="K43" i="106"/>
  <c r="F43" i="106"/>
  <c r="BV43" i="106" s="1"/>
  <c r="ET43" i="106" s="1"/>
  <c r="EU42" i="106"/>
  <c r="ES42" i="106"/>
  <c r="ER42" i="106"/>
  <c r="EQ42" i="106"/>
  <c r="EP42" i="106"/>
  <c r="BX42" i="106"/>
  <c r="BW42" i="106"/>
  <c r="BU42" i="106"/>
  <c r="BT42" i="106"/>
  <c r="K42" i="106"/>
  <c r="F42" i="106"/>
  <c r="BV42" i="106" s="1"/>
  <c r="ET42" i="106" s="1"/>
  <c r="C42" i="106"/>
  <c r="EV42" i="106" s="1"/>
  <c r="ER41" i="106"/>
  <c r="EQ41" i="106"/>
  <c r="EP41" i="106"/>
  <c r="BX41" i="106"/>
  <c r="ES41" i="106" s="1"/>
  <c r="EU41" i="106" s="1"/>
  <c r="BW41" i="106"/>
  <c r="BU41" i="106"/>
  <c r="BT41" i="106"/>
  <c r="K41" i="106"/>
  <c r="F41" i="106"/>
  <c r="BV41" i="106" s="1"/>
  <c r="ET41" i="106" s="1"/>
  <c r="C41" i="106"/>
  <c r="EV41" i="106" s="1"/>
  <c r="EU40" i="106"/>
  <c r="ES40" i="106"/>
  <c r="ER40" i="106"/>
  <c r="EQ40" i="106"/>
  <c r="EP40" i="106"/>
  <c r="BX40" i="106"/>
  <c r="BW40" i="106"/>
  <c r="BU40" i="106"/>
  <c r="BT40" i="106"/>
  <c r="K40" i="106"/>
  <c r="F40" i="106"/>
  <c r="BV40" i="106" s="1"/>
  <c r="ET40" i="106" s="1"/>
  <c r="EV39" i="106"/>
  <c r="EU39" i="106"/>
  <c r="ES39" i="106"/>
  <c r="ER39" i="106"/>
  <c r="EQ39" i="106"/>
  <c r="EP39" i="106"/>
  <c r="BX39" i="106"/>
  <c r="BW39" i="106"/>
  <c r="BU39" i="106"/>
  <c r="BT39" i="106"/>
  <c r="K39" i="106"/>
  <c r="F39" i="106"/>
  <c r="BV39" i="106" s="1"/>
  <c r="ET39" i="106" s="1"/>
  <c r="C39" i="106"/>
  <c r="EU38" i="106"/>
  <c r="ES38" i="106"/>
  <c r="ER38" i="106"/>
  <c r="EQ38" i="106"/>
  <c r="EP38" i="106"/>
  <c r="BX38" i="106"/>
  <c r="BW38" i="106"/>
  <c r="BU38" i="106"/>
  <c r="BT38" i="106"/>
  <c r="K38" i="106"/>
  <c r="F38" i="106"/>
  <c r="BV38" i="106" s="1"/>
  <c r="ET38" i="106" s="1"/>
  <c r="ES37" i="106"/>
  <c r="ER37" i="106"/>
  <c r="EU37" i="106" s="1"/>
  <c r="EQ37" i="106"/>
  <c r="EP37" i="106"/>
  <c r="BX37" i="106"/>
  <c r="BW37" i="106"/>
  <c r="BU37" i="106"/>
  <c r="BT37" i="106"/>
  <c r="K37" i="106"/>
  <c r="F37" i="106"/>
  <c r="BV37" i="106" s="1"/>
  <c r="ET37" i="106" s="1"/>
  <c r="ET36" i="106"/>
  <c r="ES36" i="106"/>
  <c r="ER36" i="106"/>
  <c r="EU36" i="106" s="1"/>
  <c r="EQ36" i="106"/>
  <c r="EP36" i="106"/>
  <c r="BX36" i="106"/>
  <c r="BW36" i="106"/>
  <c r="BV36" i="106"/>
  <c r="BU36" i="106"/>
  <c r="BT36" i="106"/>
  <c r="K36" i="106"/>
  <c r="F36" i="106"/>
  <c r="C36" i="106"/>
  <c r="EV36" i="106" s="1"/>
  <c r="ER35" i="106"/>
  <c r="EQ35" i="106"/>
  <c r="EP35" i="106"/>
  <c r="BX35" i="106"/>
  <c r="ES35" i="106" s="1"/>
  <c r="BW35" i="106"/>
  <c r="BU35" i="106"/>
  <c r="BT35" i="106"/>
  <c r="K35" i="106"/>
  <c r="F35" i="106"/>
  <c r="BV35" i="106" s="1"/>
  <c r="ET35" i="106" s="1"/>
  <c r="EV34" i="106"/>
  <c r="ER34" i="106"/>
  <c r="EU34" i="106" s="1"/>
  <c r="EQ34" i="106"/>
  <c r="EP34" i="106"/>
  <c r="BX34" i="106"/>
  <c r="ES34" i="106" s="1"/>
  <c r="BW34" i="106"/>
  <c r="BV34" i="106"/>
  <c r="ET34" i="106" s="1"/>
  <c r="BU34" i="106"/>
  <c r="BT34" i="106"/>
  <c r="K34" i="106"/>
  <c r="F34" i="106"/>
  <c r="C34" i="106"/>
  <c r="ER33" i="106"/>
  <c r="EU33" i="106" s="1"/>
  <c r="EQ33" i="106"/>
  <c r="EP33" i="106"/>
  <c r="BX33" i="106"/>
  <c r="ES33" i="106" s="1"/>
  <c r="BW33" i="106"/>
  <c r="BV33" i="106"/>
  <c r="ET33" i="106" s="1"/>
  <c r="BU33" i="106"/>
  <c r="BT33" i="106"/>
  <c r="K33" i="106"/>
  <c r="F33" i="106"/>
  <c r="C33" i="106"/>
  <c r="EV33" i="106" s="1"/>
  <c r="ER32" i="106"/>
  <c r="EQ32" i="106"/>
  <c r="EP32" i="106"/>
  <c r="BX32" i="106"/>
  <c r="ES32" i="106" s="1"/>
  <c r="BW32" i="106"/>
  <c r="BV32" i="106"/>
  <c r="ET32" i="106" s="1"/>
  <c r="BU32" i="106"/>
  <c r="BT32" i="106"/>
  <c r="K32" i="106"/>
  <c r="F32" i="106"/>
  <c r="C32" i="106" s="1"/>
  <c r="EV32" i="106" s="1"/>
  <c r="ER31" i="106"/>
  <c r="EU31" i="106" s="1"/>
  <c r="EQ31" i="106"/>
  <c r="EP31" i="106"/>
  <c r="BX31" i="106"/>
  <c r="ES31" i="106" s="1"/>
  <c r="BW31" i="106"/>
  <c r="BV31" i="106"/>
  <c r="ET31" i="106" s="1"/>
  <c r="BU31" i="106"/>
  <c r="BT31" i="106"/>
  <c r="K31" i="106"/>
  <c r="F31" i="106"/>
  <c r="C31" i="106"/>
  <c r="EV31" i="106" s="1"/>
  <c r="ER30" i="106"/>
  <c r="EU30" i="106" s="1"/>
  <c r="EQ30" i="106"/>
  <c r="EP30" i="106"/>
  <c r="BX30" i="106"/>
  <c r="ES30" i="106" s="1"/>
  <c r="BW30" i="106"/>
  <c r="BV30" i="106"/>
  <c r="ET30" i="106" s="1"/>
  <c r="BU30" i="106"/>
  <c r="BT30" i="106"/>
  <c r="K30" i="106"/>
  <c r="F30" i="106"/>
  <c r="C30" i="106" s="1"/>
  <c r="EV30" i="106" s="1"/>
  <c r="ER29" i="106"/>
  <c r="EQ29" i="106"/>
  <c r="EP29" i="106"/>
  <c r="BX29" i="106"/>
  <c r="ES29" i="106" s="1"/>
  <c r="BW29" i="106"/>
  <c r="BU29" i="106"/>
  <c r="BT29" i="106"/>
  <c r="K29" i="106"/>
  <c r="F29" i="106"/>
  <c r="BV29" i="106" s="1"/>
  <c r="ET29" i="106" s="1"/>
  <c r="ER28" i="106"/>
  <c r="EQ28" i="106"/>
  <c r="EP28" i="106"/>
  <c r="BX28" i="106"/>
  <c r="ES28" i="106" s="1"/>
  <c r="BW28" i="106"/>
  <c r="BU28" i="106"/>
  <c r="BT28" i="106"/>
  <c r="K28" i="106"/>
  <c r="F28" i="106"/>
  <c r="BV28" i="106" s="1"/>
  <c r="ET28" i="106" s="1"/>
  <c r="C28" i="106"/>
  <c r="EV28" i="106" s="1"/>
  <c r="ER27" i="106"/>
  <c r="EQ27" i="106"/>
  <c r="EP27" i="106"/>
  <c r="BX27" i="106"/>
  <c r="ES27" i="106" s="1"/>
  <c r="BW27" i="106"/>
  <c r="BU27" i="106"/>
  <c r="BT27" i="106"/>
  <c r="K27" i="106"/>
  <c r="F27" i="106"/>
  <c r="BV27" i="106" s="1"/>
  <c r="ET27" i="106" s="1"/>
  <c r="EU26" i="106"/>
  <c r="ES26" i="106"/>
  <c r="ER26" i="106"/>
  <c r="EQ26" i="106"/>
  <c r="EP26" i="106"/>
  <c r="BX26" i="106"/>
  <c r="BW26" i="106"/>
  <c r="BU26" i="106"/>
  <c r="BT26" i="106"/>
  <c r="F26" i="106"/>
  <c r="BV26" i="106" s="1"/>
  <c r="ET26" i="106" s="1"/>
  <c r="C26" i="106"/>
  <c r="EV26" i="106" s="1"/>
  <c r="ES25" i="106"/>
  <c r="EU25" i="106" s="1"/>
  <c r="ER25" i="106"/>
  <c r="EQ25" i="106"/>
  <c r="EP25" i="106"/>
  <c r="BX25" i="106"/>
  <c r="BW25" i="106"/>
  <c r="BU25" i="106"/>
  <c r="BT25" i="106"/>
  <c r="K25" i="106"/>
  <c r="F25" i="106"/>
  <c r="BV25" i="106" s="1"/>
  <c r="ET25" i="106" s="1"/>
  <c r="EV24" i="106"/>
  <c r="EU24" i="106"/>
  <c r="ES24" i="106"/>
  <c r="ER24" i="106"/>
  <c r="EQ24" i="106"/>
  <c r="EP24" i="106"/>
  <c r="BX24" i="106"/>
  <c r="BW24" i="106"/>
  <c r="BU24" i="106"/>
  <c r="BT24" i="106"/>
  <c r="K24" i="106"/>
  <c r="F24" i="106"/>
  <c r="BV24" i="106" s="1"/>
  <c r="ET24" i="106" s="1"/>
  <c r="C24" i="106"/>
  <c r="EU23" i="106"/>
  <c r="ES23" i="106"/>
  <c r="ER23" i="106"/>
  <c r="EQ23" i="106"/>
  <c r="EP23" i="106"/>
  <c r="BX23" i="106"/>
  <c r="BW23" i="106"/>
  <c r="BU23" i="106"/>
  <c r="BT23" i="106"/>
  <c r="K23" i="106"/>
  <c r="F23" i="106"/>
  <c r="BV23" i="106" s="1"/>
  <c r="ET23" i="106" s="1"/>
  <c r="ES22" i="106"/>
  <c r="ER22" i="106"/>
  <c r="EU22" i="106" s="1"/>
  <c r="EQ22" i="106"/>
  <c r="EP22" i="106"/>
  <c r="BX22" i="106"/>
  <c r="BW22" i="106"/>
  <c r="BU22" i="106"/>
  <c r="BT22" i="106"/>
  <c r="K22" i="106"/>
  <c r="F22" i="106"/>
  <c r="BV22" i="106" s="1"/>
  <c r="ET22" i="106" s="1"/>
  <c r="ET21" i="106"/>
  <c r="ES21" i="106"/>
  <c r="ER21" i="106"/>
  <c r="EU21" i="106" s="1"/>
  <c r="EQ21" i="106"/>
  <c r="EP21" i="106"/>
  <c r="BX21" i="106"/>
  <c r="BW21" i="106"/>
  <c r="BV21" i="106"/>
  <c r="BU21" i="106"/>
  <c r="BT21" i="106"/>
  <c r="K21" i="106"/>
  <c r="F21" i="106"/>
  <c r="C21" i="106"/>
  <c r="EV21" i="106" s="1"/>
  <c r="ER20" i="106"/>
  <c r="EQ20" i="106"/>
  <c r="EP20" i="106"/>
  <c r="BX20" i="106"/>
  <c r="ES20" i="106" s="1"/>
  <c r="BW20" i="106"/>
  <c r="BU20" i="106"/>
  <c r="BT20" i="106"/>
  <c r="K20" i="106"/>
  <c r="F20" i="106"/>
  <c r="BV20" i="106" s="1"/>
  <c r="ET20" i="106" s="1"/>
  <c r="EV19" i="106"/>
  <c r="ER19" i="106"/>
  <c r="EQ19" i="106"/>
  <c r="EP19" i="106"/>
  <c r="BX19" i="106"/>
  <c r="ES19" i="106" s="1"/>
  <c r="EU19" i="106" s="1"/>
  <c r="BW19" i="106"/>
  <c r="BV19" i="106"/>
  <c r="ET19" i="106" s="1"/>
  <c r="BU19" i="106"/>
  <c r="BT19" i="106"/>
  <c r="K19" i="106"/>
  <c r="F19" i="106"/>
  <c r="C19" i="106"/>
  <c r="ER18" i="106"/>
  <c r="EU18" i="106" s="1"/>
  <c r="EQ18" i="106"/>
  <c r="EP18" i="106"/>
  <c r="BX18" i="106"/>
  <c r="ES18" i="106" s="1"/>
  <c r="BW18" i="106"/>
  <c r="BV18" i="106"/>
  <c r="ET18" i="106" s="1"/>
  <c r="BU18" i="106"/>
  <c r="BT18" i="106"/>
  <c r="K18" i="106"/>
  <c r="F18" i="106"/>
  <c r="C18" i="106"/>
  <c r="EV18" i="106" s="1"/>
  <c r="ER17" i="106"/>
  <c r="EQ17" i="106"/>
  <c r="EP17" i="106"/>
  <c r="BX17" i="106"/>
  <c r="ES17" i="106" s="1"/>
  <c r="BW17" i="106"/>
  <c r="BV17" i="106"/>
  <c r="ET17" i="106" s="1"/>
  <c r="BU17" i="106"/>
  <c r="BT17" i="106"/>
  <c r="K17" i="106"/>
  <c r="F17" i="106"/>
  <c r="C17" i="106" s="1"/>
  <c r="EV17" i="106" s="1"/>
  <c r="ER16" i="106"/>
  <c r="EU16" i="106" s="1"/>
  <c r="EQ16" i="106"/>
  <c r="EP16" i="106"/>
  <c r="BX16" i="106"/>
  <c r="ES16" i="106" s="1"/>
  <c r="BW16" i="106"/>
  <c r="BV16" i="106"/>
  <c r="ET16" i="106" s="1"/>
  <c r="BU16" i="106"/>
  <c r="BT16" i="106"/>
  <c r="K16" i="106"/>
  <c r="F16" i="106"/>
  <c r="C16" i="106"/>
  <c r="EV16" i="106" s="1"/>
  <c r="ER15" i="106"/>
  <c r="EU15" i="106" s="1"/>
  <c r="EQ15" i="106"/>
  <c r="EP15" i="106"/>
  <c r="BX15" i="106"/>
  <c r="ES15" i="106" s="1"/>
  <c r="BW15" i="106"/>
  <c r="BV15" i="106"/>
  <c r="ET15" i="106" s="1"/>
  <c r="BU15" i="106"/>
  <c r="BT15" i="106"/>
  <c r="K15" i="106"/>
  <c r="F15" i="106"/>
  <c r="C15" i="106" s="1"/>
  <c r="EV15" i="106" s="1"/>
  <c r="ER14" i="106"/>
  <c r="EQ14" i="106"/>
  <c r="EP14" i="106"/>
  <c r="BX14" i="106"/>
  <c r="ES14" i="106" s="1"/>
  <c r="BW14" i="106"/>
  <c r="BU14" i="106"/>
  <c r="BT14" i="106"/>
  <c r="K14" i="106"/>
  <c r="F14" i="106"/>
  <c r="BV14" i="106" s="1"/>
  <c r="ET14" i="106" s="1"/>
  <c r="ER13" i="106"/>
  <c r="EQ13" i="106"/>
  <c r="EP13" i="106"/>
  <c r="BX13" i="106"/>
  <c r="ES13" i="106" s="1"/>
  <c r="BW13" i="106"/>
  <c r="BU13" i="106"/>
  <c r="BT13" i="106"/>
  <c r="K13" i="106"/>
  <c r="F13" i="106"/>
  <c r="BV13" i="106" s="1"/>
  <c r="ET13" i="106" s="1"/>
  <c r="C13" i="106"/>
  <c r="EV13" i="106" s="1"/>
  <c r="ER12" i="106"/>
  <c r="EQ12" i="106"/>
  <c r="EP12" i="106"/>
  <c r="BX12" i="106"/>
  <c r="ES12" i="106" s="1"/>
  <c r="BW12" i="106"/>
  <c r="BU12" i="106"/>
  <c r="BT12" i="106"/>
  <c r="K12" i="106"/>
  <c r="F12" i="106"/>
  <c r="BV12" i="106" s="1"/>
  <c r="ET12" i="106" s="1"/>
  <c r="EU11" i="106"/>
  <c r="ES11" i="106"/>
  <c r="ER11" i="106"/>
  <c r="EQ11" i="106"/>
  <c r="EP11" i="106"/>
  <c r="BX11" i="106"/>
  <c r="BW11" i="106"/>
  <c r="BU11" i="106"/>
  <c r="BT11" i="106"/>
  <c r="K11" i="106"/>
  <c r="F11" i="106"/>
  <c r="BV11" i="106" s="1"/>
  <c r="ET11" i="106" s="1"/>
  <c r="ER10" i="106"/>
  <c r="EQ10" i="106"/>
  <c r="EP10" i="106"/>
  <c r="BX10" i="106"/>
  <c r="ES10" i="106" s="1"/>
  <c r="EU10" i="106" s="1"/>
  <c r="BW10" i="106"/>
  <c r="BU10" i="106"/>
  <c r="BT10" i="106"/>
  <c r="K10" i="106"/>
  <c r="F10" i="106"/>
  <c r="BV10" i="106" s="1"/>
  <c r="ET10" i="106" s="1"/>
  <c r="C10" i="106"/>
  <c r="EV10" i="106" s="1"/>
  <c r="ES9" i="106"/>
  <c r="EU9" i="106" s="1"/>
  <c r="ER9" i="106"/>
  <c r="EQ9" i="106"/>
  <c r="EP9" i="106"/>
  <c r="BX9" i="106"/>
  <c r="BW9" i="106"/>
  <c r="BU9" i="106"/>
  <c r="BT9" i="106"/>
  <c r="K9" i="106"/>
  <c r="F9" i="106"/>
  <c r="BV9" i="106" s="1"/>
  <c r="ET9" i="106" s="1"/>
  <c r="EV8" i="106"/>
  <c r="ES8" i="106"/>
  <c r="EU8" i="106" s="1"/>
  <c r="ER8" i="106"/>
  <c r="EQ8" i="106"/>
  <c r="EP8" i="106"/>
  <c r="BX8" i="106"/>
  <c r="BW8" i="106"/>
  <c r="BU8" i="106"/>
  <c r="BT8" i="106"/>
  <c r="K8" i="106"/>
  <c r="F8" i="106"/>
  <c r="BV8" i="106" s="1"/>
  <c r="ET8" i="106" s="1"/>
  <c r="C8" i="106"/>
  <c r="EU7" i="106"/>
  <c r="ES7" i="106"/>
  <c r="ER7" i="106"/>
  <c r="EQ7" i="106"/>
  <c r="EP7" i="106"/>
  <c r="BX7" i="106"/>
  <c r="BW7" i="106"/>
  <c r="BU7" i="106"/>
  <c r="BT7" i="106"/>
  <c r="K7" i="106"/>
  <c r="F7" i="106"/>
  <c r="BV7" i="106" s="1"/>
  <c r="ET7" i="106" s="1"/>
  <c r="ES6" i="106"/>
  <c r="BV6" i="106"/>
  <c r="ET6" i="106" s="1"/>
  <c r="DW5" i="106"/>
  <c r="DV5" i="106"/>
  <c r="DU5" i="106"/>
  <c r="DT5" i="106"/>
  <c r="DJ5" i="106"/>
  <c r="DI5" i="106"/>
  <c r="DH5" i="106"/>
  <c r="DG5" i="106"/>
  <c r="DF5" i="106"/>
  <c r="DE5" i="106"/>
  <c r="DD5" i="106"/>
  <c r="CX5" i="106"/>
  <c r="CW5" i="106"/>
  <c r="CV5" i="106"/>
  <c r="CU5" i="106"/>
  <c r="CT5" i="106"/>
  <c r="CS5" i="106"/>
  <c r="CR5" i="106"/>
  <c r="CQ5" i="106"/>
  <c r="CP5" i="106"/>
  <c r="CO5" i="106"/>
  <c r="CN5" i="106"/>
  <c r="CM5" i="106"/>
  <c r="CL5" i="106"/>
  <c r="CK5" i="106"/>
  <c r="CJ5" i="106"/>
  <c r="CI5" i="106"/>
  <c r="CH5" i="106"/>
  <c r="CG5" i="106"/>
  <c r="CF5" i="106"/>
  <c r="CE5" i="106"/>
  <c r="CD5" i="106"/>
  <c r="CC5" i="106"/>
  <c r="CB5" i="106"/>
  <c r="CA5" i="106"/>
  <c r="EK4" i="106"/>
  <c r="CJ3" i="106" s="1"/>
  <c r="DI3" i="106" s="1"/>
  <c r="EJ4" i="106"/>
  <c r="CI3" i="106" s="1"/>
  <c r="DH3" i="106" s="1"/>
  <c r="EI4" i="106"/>
  <c r="EH4" i="106"/>
  <c r="CO3" i="106" s="1"/>
  <c r="DN3" i="106" s="1"/>
  <c r="EG4" i="106"/>
  <c r="EF4" i="106"/>
  <c r="EE4" i="106"/>
  <c r="ED4" i="106"/>
  <c r="EC4" i="106"/>
  <c r="EA4" i="106"/>
  <c r="DZ4" i="106"/>
  <c r="CP3" i="106" s="1"/>
  <c r="DO3" i="106" s="1"/>
  <c r="DY4" i="106"/>
  <c r="CM3" i="106" s="1"/>
  <c r="DL3" i="106" s="1"/>
  <c r="DR4" i="106"/>
  <c r="BV4" i="106"/>
  <c r="DP3" i="106"/>
  <c r="CZ3" i="106"/>
  <c r="CS3" i="106"/>
  <c r="DR3" i="106" s="1"/>
  <c r="CR3" i="106"/>
  <c r="DQ3" i="106" s="1"/>
  <c r="CQ3" i="106"/>
  <c r="CG3" i="106"/>
  <c r="DF3" i="106" s="1"/>
  <c r="CE3" i="106"/>
  <c r="DD3" i="106" s="1"/>
  <c r="CD3" i="106"/>
  <c r="DC3" i="106" s="1"/>
  <c r="CC3" i="106"/>
  <c r="DB3" i="106" s="1"/>
  <c r="CB3" i="106"/>
  <c r="DA3" i="106" s="1"/>
  <c r="CA3" i="106"/>
  <c r="BY3" i="106"/>
  <c r="BV3" i="106"/>
  <c r="DW2" i="106"/>
  <c r="DV2" i="106"/>
  <c r="DU2" i="106"/>
  <c r="DT2" i="106"/>
  <c r="DS2" i="106"/>
  <c r="DS5" i="106" s="1"/>
  <c r="DR2" i="106"/>
  <c r="DR5" i="106" s="1"/>
  <c r="DQ2" i="106"/>
  <c r="DQ5" i="106" s="1"/>
  <c r="DP2" i="106"/>
  <c r="DP5" i="106" s="1"/>
  <c r="DO2" i="106"/>
  <c r="DO5" i="106" s="1"/>
  <c r="DN2" i="106"/>
  <c r="DN5" i="106" s="1"/>
  <c r="DM2" i="106"/>
  <c r="DM5" i="106" s="1"/>
  <c r="DL2" i="106"/>
  <c r="DL5" i="106" s="1"/>
  <c r="DK2" i="106"/>
  <c r="DK5" i="106" s="1"/>
  <c r="DJ2" i="106"/>
  <c r="DI2" i="106"/>
  <c r="DH2" i="106"/>
  <c r="DG2" i="106"/>
  <c r="DF2" i="106"/>
  <c r="DE2" i="106"/>
  <c r="DD2" i="106"/>
  <c r="DC2" i="106"/>
  <c r="DC5" i="106" s="1"/>
  <c r="DB2" i="106"/>
  <c r="DB5" i="106" s="1"/>
  <c r="DA2" i="106"/>
  <c r="DA5" i="106" s="1"/>
  <c r="CZ2" i="106"/>
  <c r="CZ5" i="106" s="1"/>
  <c r="ET138" i="1"/>
  <c r="ET136" i="1"/>
  <c r="ET135" i="1"/>
  <c r="ET133" i="1"/>
  <c r="ET131" i="1"/>
  <c r="EU136" i="1"/>
  <c r="EU138" i="1"/>
  <c r="BW138" i="1"/>
  <c r="BW137" i="1"/>
  <c r="BW136" i="1"/>
  <c r="BW135" i="1"/>
  <c r="BW134" i="1"/>
  <c r="BW133" i="1"/>
  <c r="BW132" i="1"/>
  <c r="EU131" i="1"/>
  <c r="BW131" i="1"/>
  <c r="BV138" i="1"/>
  <c r="BV137" i="1"/>
  <c r="ET137" i="1" s="1"/>
  <c r="BV136" i="1"/>
  <c r="BV135" i="1"/>
  <c r="BV134" i="1"/>
  <c r="ET134" i="1" s="1"/>
  <c r="BV133" i="1"/>
  <c r="BV132" i="1"/>
  <c r="ET132" i="1" s="1"/>
  <c r="BV131" i="1"/>
  <c r="BU138" i="1"/>
  <c r="BU137" i="1"/>
  <c r="BU136" i="1"/>
  <c r="BU135" i="1"/>
  <c r="BU134" i="1"/>
  <c r="BU133" i="1"/>
  <c r="BU132" i="1"/>
  <c r="BU131" i="1"/>
  <c r="BT138" i="1"/>
  <c r="BT137" i="1"/>
  <c r="BT136" i="1"/>
  <c r="BT135" i="1"/>
  <c r="BT134" i="1"/>
  <c r="BT133" i="1"/>
  <c r="BT132" i="1"/>
  <c r="BT131" i="1"/>
  <c r="AB129" i="1"/>
  <c r="C138" i="1"/>
  <c r="EV138" i="1" s="1"/>
  <c r="C137" i="1"/>
  <c r="EV137" i="1" s="1"/>
  <c r="C136" i="1"/>
  <c r="EV136" i="1" s="1"/>
  <c r="C135" i="1"/>
  <c r="EV135" i="1" s="1"/>
  <c r="C134" i="1"/>
  <c r="EV134" i="1" s="1"/>
  <c r="C133" i="1"/>
  <c r="EV133" i="1" s="1"/>
  <c r="C132" i="1"/>
  <c r="EV132" i="1" s="1"/>
  <c r="C131" i="1"/>
  <c r="EV131" i="1" s="1"/>
  <c r="EQ123" i="1"/>
  <c r="EQ122" i="1"/>
  <c r="EQ121" i="1"/>
  <c r="EQ120" i="1"/>
  <c r="EQ119" i="1"/>
  <c r="EQ118" i="1"/>
  <c r="EQ117" i="1"/>
  <c r="EQ116" i="1"/>
  <c r="EQ115" i="1"/>
  <c r="EQ114" i="1"/>
  <c r="EQ113" i="1"/>
  <c r="EQ112" i="1"/>
  <c r="EQ111" i="1"/>
  <c r="EQ110" i="1"/>
  <c r="EQ109" i="1"/>
  <c r="EQ108" i="1"/>
  <c r="EQ107" i="1"/>
  <c r="EQ106" i="1"/>
  <c r="EQ105" i="1"/>
  <c r="EQ104" i="1"/>
  <c r="EQ103" i="1"/>
  <c r="EQ102" i="1"/>
  <c r="EQ101" i="1"/>
  <c r="EQ100" i="1"/>
  <c r="EQ99" i="1"/>
  <c r="EQ98" i="1"/>
  <c r="EQ97" i="1"/>
  <c r="EQ96" i="1"/>
  <c r="EQ95" i="1"/>
  <c r="EQ94" i="1"/>
  <c r="EQ93" i="1"/>
  <c r="EQ92" i="1"/>
  <c r="EQ91" i="1"/>
  <c r="EQ90" i="1"/>
  <c r="EQ89" i="1"/>
  <c r="EQ88" i="1"/>
  <c r="EQ87" i="1"/>
  <c r="EQ86" i="1"/>
  <c r="EQ85" i="1"/>
  <c r="EQ84" i="1"/>
  <c r="EQ83" i="1"/>
  <c r="EQ82" i="1"/>
  <c r="EQ81" i="1"/>
  <c r="EQ80" i="1"/>
  <c r="EQ79" i="1"/>
  <c r="EQ78" i="1"/>
  <c r="EQ77" i="1"/>
  <c r="EQ76" i="1"/>
  <c r="EQ75" i="1"/>
  <c r="EQ74" i="1"/>
  <c r="EQ73" i="1"/>
  <c r="EQ72" i="1"/>
  <c r="EQ71" i="1"/>
  <c r="EQ70" i="1"/>
  <c r="EQ69" i="1"/>
  <c r="EQ68" i="1"/>
  <c r="EQ67" i="1"/>
  <c r="EQ66" i="1"/>
  <c r="EQ65" i="1"/>
  <c r="EQ64" i="1"/>
  <c r="EQ63" i="1"/>
  <c r="EQ62" i="1"/>
  <c r="EQ61" i="1"/>
  <c r="EQ60" i="1"/>
  <c r="EQ59" i="1"/>
  <c r="EQ58" i="1"/>
  <c r="EQ57" i="1"/>
  <c r="EQ56" i="1"/>
  <c r="EQ55" i="1"/>
  <c r="EQ54" i="1"/>
  <c r="EQ53" i="1"/>
  <c r="EQ52" i="1"/>
  <c r="EQ51" i="1"/>
  <c r="EQ50" i="1"/>
  <c r="EQ49" i="1"/>
  <c r="EQ48" i="1"/>
  <c r="EQ47" i="1"/>
  <c r="EQ46" i="1"/>
  <c r="EQ45" i="1"/>
  <c r="EQ44" i="1"/>
  <c r="EQ43" i="1"/>
  <c r="EQ42" i="1"/>
  <c r="EQ41" i="1"/>
  <c r="EQ40" i="1"/>
  <c r="EQ39" i="1"/>
  <c r="EQ38" i="1"/>
  <c r="EQ37" i="1"/>
  <c r="EQ36" i="1"/>
  <c r="EQ35" i="1"/>
  <c r="EQ34" i="1"/>
  <c r="EQ33" i="1"/>
  <c r="EQ32" i="1"/>
  <c r="EQ31" i="1"/>
  <c r="EQ30" i="1"/>
  <c r="EQ29" i="1"/>
  <c r="EQ28" i="1"/>
  <c r="EQ27" i="1"/>
  <c r="EQ26" i="1"/>
  <c r="EQ25" i="1"/>
  <c r="EQ24" i="1"/>
  <c r="EQ23" i="1"/>
  <c r="EQ22" i="1"/>
  <c r="EQ21" i="1"/>
  <c r="EQ20" i="1"/>
  <c r="EQ19" i="1"/>
  <c r="EQ18" i="1"/>
  <c r="EQ17" i="1"/>
  <c r="EQ16" i="1"/>
  <c r="EQ15" i="1"/>
  <c r="EQ14" i="1"/>
  <c r="EQ13" i="1"/>
  <c r="EQ12" i="1"/>
  <c r="EQ11" i="1"/>
  <c r="EQ10" i="1"/>
  <c r="EQ9" i="1"/>
  <c r="EQ8" i="1"/>
  <c r="EQ7" i="1"/>
  <c r="EU119" i="1"/>
  <c r="EU118" i="1"/>
  <c r="EU116" i="1"/>
  <c r="EU115" i="1"/>
  <c r="EU113" i="1"/>
  <c r="EU111" i="1"/>
  <c r="EU102" i="1"/>
  <c r="EU100" i="1"/>
  <c r="EU99" i="1"/>
  <c r="EU97" i="1"/>
  <c r="EU95" i="1"/>
  <c r="EU86" i="1"/>
  <c r="EU84" i="1"/>
  <c r="EU83" i="1"/>
  <c r="EU81" i="1"/>
  <c r="EU79" i="1"/>
  <c r="EU70" i="1"/>
  <c r="EU68" i="1"/>
  <c r="EU67" i="1"/>
  <c r="EU65" i="1"/>
  <c r="EU63" i="1"/>
  <c r="EU54" i="1"/>
  <c r="EU52" i="1"/>
  <c r="EU51" i="1"/>
  <c r="EU49" i="1"/>
  <c r="EU47" i="1"/>
  <c r="EU38" i="1"/>
  <c r="EU36" i="1"/>
  <c r="EU35" i="1"/>
  <c r="EU33" i="1"/>
  <c r="EU31" i="1"/>
  <c r="EU22" i="1"/>
  <c r="EU20" i="1"/>
  <c r="EU19" i="1"/>
  <c r="EU17" i="1"/>
  <c r="EU15" i="1"/>
  <c r="EU7" i="1"/>
  <c r="BF36" i="11"/>
  <c r="BE36" i="11"/>
  <c r="BF35" i="11"/>
  <c r="BE35" i="11"/>
  <c r="BF34" i="11"/>
  <c r="BE34" i="11"/>
  <c r="BF33" i="11"/>
  <c r="BE33" i="11"/>
  <c r="BF32" i="11"/>
  <c r="BE32" i="11"/>
  <c r="BF31" i="11"/>
  <c r="BE31" i="11"/>
  <c r="BF30" i="11"/>
  <c r="BE30" i="11"/>
  <c r="BF29" i="11"/>
  <c r="BE29" i="11"/>
  <c r="BF28" i="11"/>
  <c r="BE28" i="11"/>
  <c r="BF27" i="11"/>
  <c r="BE27" i="11"/>
  <c r="BF26" i="11"/>
  <c r="BE26" i="11"/>
  <c r="BF25" i="11"/>
  <c r="BE25" i="11"/>
  <c r="BD25" i="11"/>
  <c r="BF26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E38" i="10"/>
  <c r="BE37" i="10"/>
  <c r="BE36" i="10"/>
  <c r="BE35" i="10"/>
  <c r="BE34" i="10"/>
  <c r="BE33" i="10"/>
  <c r="BE32" i="10"/>
  <c r="BE31" i="10"/>
  <c r="BE30" i="10"/>
  <c r="BE29" i="10"/>
  <c r="BE28" i="10"/>
  <c r="BE27" i="10"/>
  <c r="BE26" i="10"/>
  <c r="BD26" i="10"/>
  <c r="BD40" i="6"/>
  <c r="BE40" i="6"/>
  <c r="BE28" i="6"/>
  <c r="BF40" i="6"/>
  <c r="BF39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D27" i="6"/>
  <c r="BF36" i="9"/>
  <c r="BF35" i="9"/>
  <c r="BF34" i="9"/>
  <c r="BF33" i="9"/>
  <c r="BF32" i="9"/>
  <c r="BF31" i="9"/>
  <c r="BF30" i="9"/>
  <c r="BF29" i="9"/>
  <c r="BF28" i="9"/>
  <c r="BF27" i="9"/>
  <c r="BF26" i="9"/>
  <c r="BF25" i="9"/>
  <c r="BF25" i="7"/>
  <c r="BE25" i="7"/>
  <c r="BD25" i="9"/>
  <c r="BC36" i="7"/>
  <c r="BC35" i="7"/>
  <c r="BC34" i="7"/>
  <c r="BC33" i="7"/>
  <c r="BC32" i="7"/>
  <c r="BC31" i="7"/>
  <c r="BC30" i="7"/>
  <c r="BC29" i="7"/>
  <c r="BC28" i="7"/>
  <c r="BC27" i="7"/>
  <c r="BC26" i="7"/>
  <c r="BC25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F36" i="7"/>
  <c r="BF35" i="7"/>
  <c r="BF34" i="7"/>
  <c r="BF33" i="7"/>
  <c r="BF32" i="7"/>
  <c r="BF31" i="7"/>
  <c r="BF30" i="7"/>
  <c r="BF29" i="7"/>
  <c r="BF28" i="7"/>
  <c r="BF27" i="7"/>
  <c r="BF26" i="7"/>
  <c r="BE36" i="7"/>
  <c r="BE35" i="7"/>
  <c r="BE34" i="7"/>
  <c r="BE33" i="7"/>
  <c r="BE32" i="7"/>
  <c r="BE31" i="7"/>
  <c r="BE30" i="7"/>
  <c r="BE29" i="7"/>
  <c r="BE28" i="7"/>
  <c r="BE27" i="7"/>
  <c r="BE26" i="7"/>
  <c r="BD24" i="5"/>
  <c r="BE36" i="5"/>
  <c r="BE35" i="5"/>
  <c r="BE34" i="5"/>
  <c r="BE33" i="5"/>
  <c r="BE32" i="5"/>
  <c r="BE31" i="5"/>
  <c r="BE30" i="5"/>
  <c r="BE29" i="5"/>
  <c r="BE28" i="5"/>
  <c r="BE27" i="5"/>
  <c r="BE26" i="5"/>
  <c r="BE25" i="5"/>
  <c r="BE24" i="5"/>
  <c r="BF27" i="4"/>
  <c r="BE27" i="4"/>
  <c r="BE24" i="8"/>
  <c r="BE34" i="8"/>
  <c r="BE33" i="8"/>
  <c r="BE32" i="8"/>
  <c r="BE31" i="8"/>
  <c r="BE30" i="8"/>
  <c r="BE29" i="8"/>
  <c r="BE28" i="8"/>
  <c r="BE27" i="8"/>
  <c r="BE26" i="8"/>
  <c r="BE25" i="8"/>
  <c r="BE30" i="3"/>
  <c r="BE29" i="3"/>
  <c r="BE28" i="3"/>
  <c r="BE27" i="3"/>
  <c r="BE26" i="3"/>
  <c r="BE25" i="3"/>
  <c r="BE24" i="3"/>
  <c r="BE23" i="3"/>
  <c r="BE22" i="3"/>
  <c r="BE39" i="6"/>
  <c r="BE38" i="6"/>
  <c r="BE37" i="6"/>
  <c r="BE36" i="6"/>
  <c r="BE35" i="6"/>
  <c r="BE34" i="6"/>
  <c r="BE33" i="6"/>
  <c r="BE32" i="6"/>
  <c r="BE31" i="6"/>
  <c r="BE30" i="6"/>
  <c r="BE29" i="6"/>
  <c r="BE27" i="6"/>
  <c r="BD39" i="6"/>
  <c r="BD38" i="6"/>
  <c r="BD37" i="6"/>
  <c r="BD36" i="6"/>
  <c r="BD35" i="6"/>
  <c r="BD34" i="6"/>
  <c r="BD33" i="6"/>
  <c r="BD32" i="6"/>
  <c r="BD31" i="6"/>
  <c r="BD30" i="6"/>
  <c r="BD29" i="6"/>
  <c r="BD28" i="6"/>
  <c r="BD26" i="6"/>
  <c r="BD36" i="5"/>
  <c r="BF36" i="5"/>
  <c r="BF35" i="5"/>
  <c r="BF34" i="5"/>
  <c r="BF33" i="5"/>
  <c r="BF32" i="5"/>
  <c r="BF31" i="5"/>
  <c r="BF30" i="5"/>
  <c r="BF29" i="5"/>
  <c r="BF28" i="5"/>
  <c r="BF27" i="5"/>
  <c r="BF26" i="5"/>
  <c r="BF25" i="5"/>
  <c r="BF24" i="5"/>
  <c r="BF40" i="4"/>
  <c r="BF39" i="4"/>
  <c r="BF38" i="4"/>
  <c r="BF37" i="4"/>
  <c r="BF36" i="4"/>
  <c r="BF35" i="4"/>
  <c r="BF34" i="4"/>
  <c r="BF33" i="4"/>
  <c r="BF32" i="4"/>
  <c r="BF31" i="4"/>
  <c r="BF30" i="4"/>
  <c r="BF29" i="4"/>
  <c r="BF28" i="4"/>
  <c r="BF34" i="8"/>
  <c r="BF33" i="8"/>
  <c r="BF32" i="8"/>
  <c r="BF31" i="8"/>
  <c r="BF30" i="8"/>
  <c r="BF29" i="8"/>
  <c r="BF28" i="8"/>
  <c r="BF27" i="8"/>
  <c r="BF26" i="8"/>
  <c r="BF25" i="8"/>
  <c r="BF24" i="8"/>
  <c r="BF30" i="3"/>
  <c r="BF29" i="3"/>
  <c r="BF28" i="3"/>
  <c r="BF27" i="3"/>
  <c r="BF26" i="3"/>
  <c r="BF25" i="3"/>
  <c r="BF24" i="3"/>
  <c r="BF23" i="3"/>
  <c r="BF22" i="3"/>
  <c r="AP22" i="3"/>
  <c r="O27" i="12"/>
  <c r="N27" i="12"/>
  <c r="M27" i="12"/>
  <c r="L27" i="12"/>
  <c r="K27" i="12"/>
  <c r="J27" i="12"/>
  <c r="I27" i="12"/>
  <c r="H27" i="12"/>
  <c r="G27" i="12"/>
  <c r="F27" i="12"/>
  <c r="O26" i="12"/>
  <c r="N26" i="12"/>
  <c r="M26" i="12"/>
  <c r="L26" i="12"/>
  <c r="K26" i="12"/>
  <c r="J26" i="12"/>
  <c r="I26" i="12"/>
  <c r="H26" i="12"/>
  <c r="G26" i="12"/>
  <c r="F26" i="12"/>
  <c r="O25" i="12"/>
  <c r="N25" i="12"/>
  <c r="M25" i="12"/>
  <c r="L25" i="12"/>
  <c r="K25" i="12"/>
  <c r="J25" i="12"/>
  <c r="I25" i="12"/>
  <c r="H25" i="12"/>
  <c r="G25" i="12"/>
  <c r="F25" i="12"/>
  <c r="O24" i="12"/>
  <c r="N24" i="12"/>
  <c r="M24" i="12"/>
  <c r="L24" i="12"/>
  <c r="K24" i="12"/>
  <c r="J24" i="12"/>
  <c r="I24" i="12"/>
  <c r="H24" i="12"/>
  <c r="G24" i="12"/>
  <c r="F24" i="12"/>
  <c r="O23" i="12"/>
  <c r="N23" i="12"/>
  <c r="M23" i="12"/>
  <c r="L23" i="12"/>
  <c r="K23" i="12"/>
  <c r="J23" i="12"/>
  <c r="I23" i="12"/>
  <c r="H23" i="12"/>
  <c r="G23" i="12"/>
  <c r="F23" i="12"/>
  <c r="O22" i="12"/>
  <c r="N22" i="12"/>
  <c r="M22" i="12"/>
  <c r="L22" i="12"/>
  <c r="K22" i="12"/>
  <c r="J22" i="12"/>
  <c r="I22" i="12"/>
  <c r="H22" i="12"/>
  <c r="G22" i="12"/>
  <c r="F22" i="12"/>
  <c r="O21" i="12"/>
  <c r="N21" i="12"/>
  <c r="M21" i="12"/>
  <c r="L21" i="12"/>
  <c r="K21" i="12"/>
  <c r="J21" i="12"/>
  <c r="I21" i="12"/>
  <c r="H21" i="12"/>
  <c r="G21" i="12"/>
  <c r="F21" i="12"/>
  <c r="E27" i="12"/>
  <c r="E26" i="12"/>
  <c r="E25" i="12"/>
  <c r="E24" i="12"/>
  <c r="E23" i="12"/>
  <c r="E22" i="12"/>
  <c r="E28" i="6"/>
  <c r="E21" i="12"/>
  <c r="BA136" i="25"/>
  <c r="AS136" i="25"/>
  <c r="AK136" i="25"/>
  <c r="BA134" i="25"/>
  <c r="AS134" i="25"/>
  <c r="AK134" i="25"/>
  <c r="BA133" i="25"/>
  <c r="AS133" i="25"/>
  <c r="AK133" i="25"/>
  <c r="BA132" i="25"/>
  <c r="AS132" i="25"/>
  <c r="AK132" i="25"/>
  <c r="BC131" i="25"/>
  <c r="BB131" i="25"/>
  <c r="BA131" i="25"/>
  <c r="AZ131" i="25"/>
  <c r="AY131" i="25"/>
  <c r="AX131" i="25"/>
  <c r="AW131" i="25"/>
  <c r="AV131" i="25"/>
  <c r="AU131" i="25"/>
  <c r="AT131" i="25"/>
  <c r="AS131" i="25"/>
  <c r="AR131" i="25"/>
  <c r="AQ131" i="25"/>
  <c r="AP131" i="25"/>
  <c r="AO131" i="25"/>
  <c r="AN131" i="25"/>
  <c r="AM131" i="25"/>
  <c r="AL131" i="25"/>
  <c r="AK131" i="25"/>
  <c r="AJ131" i="25"/>
  <c r="AI131" i="25"/>
  <c r="AH131" i="25"/>
  <c r="AG131" i="25"/>
  <c r="AF131" i="25"/>
  <c r="BA130" i="25"/>
  <c r="AS130" i="25"/>
  <c r="AK130" i="25"/>
  <c r="BC129" i="25"/>
  <c r="BB129" i="25"/>
  <c r="BA129" i="25"/>
  <c r="AZ129" i="25"/>
  <c r="AY129" i="25"/>
  <c r="AX129" i="25"/>
  <c r="AW129" i="25"/>
  <c r="AV129" i="25"/>
  <c r="AU129" i="25"/>
  <c r="AT129" i="25"/>
  <c r="AS129" i="25"/>
  <c r="AR129" i="25"/>
  <c r="AQ129" i="25"/>
  <c r="AP129" i="25"/>
  <c r="AO129" i="25"/>
  <c r="AN129" i="25"/>
  <c r="AM129" i="25"/>
  <c r="AL129" i="25"/>
  <c r="AK129" i="25"/>
  <c r="AJ129" i="25"/>
  <c r="AI129" i="25"/>
  <c r="AH129" i="25"/>
  <c r="AG129" i="25"/>
  <c r="AF129" i="25"/>
  <c r="BC127" i="25"/>
  <c r="BB127" i="25"/>
  <c r="BA127" i="25"/>
  <c r="AZ127" i="25"/>
  <c r="AY127" i="25"/>
  <c r="AX127" i="25"/>
  <c r="AW127" i="25"/>
  <c r="AV127" i="25"/>
  <c r="AU127" i="25"/>
  <c r="AT127" i="25"/>
  <c r="AS127" i="25"/>
  <c r="AR127" i="25"/>
  <c r="AQ127" i="25"/>
  <c r="AP127" i="25"/>
  <c r="AO127" i="25"/>
  <c r="AN127" i="25"/>
  <c r="AM127" i="25"/>
  <c r="AL127" i="25"/>
  <c r="AK127" i="25"/>
  <c r="AJ127" i="25"/>
  <c r="AI127" i="25"/>
  <c r="AH127" i="25"/>
  <c r="AG127" i="25"/>
  <c r="AF127" i="25"/>
  <c r="BC126" i="25"/>
  <c r="BB126" i="25"/>
  <c r="BA126" i="25"/>
  <c r="AZ126" i="25"/>
  <c r="AY126" i="25"/>
  <c r="AX126" i="25"/>
  <c r="AW126" i="25"/>
  <c r="AV126" i="25"/>
  <c r="AU126" i="25"/>
  <c r="AT126" i="25"/>
  <c r="AS126" i="25"/>
  <c r="AR126" i="25"/>
  <c r="AQ126" i="25"/>
  <c r="AP126" i="25"/>
  <c r="AO126" i="25"/>
  <c r="AN126" i="25"/>
  <c r="AM126" i="25"/>
  <c r="AL126" i="25"/>
  <c r="AK126" i="25"/>
  <c r="AJ126" i="25"/>
  <c r="AI126" i="25"/>
  <c r="AH126" i="25"/>
  <c r="AG126" i="25"/>
  <c r="AF126" i="25"/>
  <c r="BC125" i="25"/>
  <c r="BB125" i="25"/>
  <c r="BA125" i="25"/>
  <c r="AZ125" i="25"/>
  <c r="AY125" i="25"/>
  <c r="AX125" i="25"/>
  <c r="AW125" i="25"/>
  <c r="AV125" i="25"/>
  <c r="AU125" i="25"/>
  <c r="AT125" i="25"/>
  <c r="AS125" i="25"/>
  <c r="AR125" i="25"/>
  <c r="AQ125" i="25"/>
  <c r="AP125" i="25"/>
  <c r="AO125" i="25"/>
  <c r="AN125" i="25"/>
  <c r="AM125" i="25"/>
  <c r="AL125" i="25"/>
  <c r="AK125" i="25"/>
  <c r="AJ125" i="25"/>
  <c r="AI125" i="25"/>
  <c r="AH125" i="25"/>
  <c r="AG125" i="25"/>
  <c r="AF125" i="25"/>
  <c r="BC124" i="25"/>
  <c r="BB124" i="25"/>
  <c r="BA124" i="25"/>
  <c r="AZ124" i="25"/>
  <c r="AY124" i="25"/>
  <c r="AX124" i="25"/>
  <c r="AW124" i="25"/>
  <c r="AV124" i="25"/>
  <c r="AU124" i="25"/>
  <c r="AT124" i="25"/>
  <c r="AS124" i="25"/>
  <c r="AR124" i="25"/>
  <c r="AQ124" i="25"/>
  <c r="AP124" i="25"/>
  <c r="AO124" i="25"/>
  <c r="AN124" i="25"/>
  <c r="AM124" i="25"/>
  <c r="AL124" i="25"/>
  <c r="AK124" i="25"/>
  <c r="AJ124" i="25"/>
  <c r="AI124" i="25"/>
  <c r="AH124" i="25"/>
  <c r="AG124" i="25"/>
  <c r="AF124" i="25"/>
  <c r="O38" i="8"/>
  <c r="N38" i="8"/>
  <c r="M38" i="8"/>
  <c r="L38" i="8"/>
  <c r="K38" i="8"/>
  <c r="J38" i="8"/>
  <c r="I38" i="8"/>
  <c r="H38" i="8"/>
  <c r="G38" i="8"/>
  <c r="F38" i="8"/>
  <c r="O37" i="8"/>
  <c r="N37" i="8"/>
  <c r="M37" i="8"/>
  <c r="L37" i="8"/>
  <c r="K37" i="8"/>
  <c r="J37" i="8"/>
  <c r="I37" i="8"/>
  <c r="H37" i="8"/>
  <c r="G37" i="8"/>
  <c r="F37" i="8"/>
  <c r="O36" i="8"/>
  <c r="N36" i="8"/>
  <c r="M36" i="8"/>
  <c r="L36" i="8"/>
  <c r="K36" i="8"/>
  <c r="J36" i="8"/>
  <c r="I36" i="8"/>
  <c r="H36" i="8"/>
  <c r="G36" i="8"/>
  <c r="F36" i="8"/>
  <c r="O35" i="8"/>
  <c r="N35" i="8"/>
  <c r="M35" i="8"/>
  <c r="L35" i="8"/>
  <c r="K35" i="8"/>
  <c r="J35" i="8"/>
  <c r="I35" i="8"/>
  <c r="H35" i="8"/>
  <c r="G35" i="8"/>
  <c r="F35" i="8"/>
  <c r="O34" i="8"/>
  <c r="N34" i="8"/>
  <c r="M34" i="8"/>
  <c r="L34" i="8"/>
  <c r="K34" i="8"/>
  <c r="J34" i="8"/>
  <c r="I34" i="8"/>
  <c r="H34" i="8"/>
  <c r="G34" i="8"/>
  <c r="F34" i="8"/>
  <c r="O33" i="8"/>
  <c r="N33" i="8"/>
  <c r="M33" i="8"/>
  <c r="L33" i="8"/>
  <c r="K33" i="8"/>
  <c r="J33" i="8"/>
  <c r="I33" i="8"/>
  <c r="H33" i="8"/>
  <c r="G33" i="8"/>
  <c r="F33" i="8"/>
  <c r="O32" i="8"/>
  <c r="N32" i="8"/>
  <c r="M32" i="8"/>
  <c r="L32" i="8"/>
  <c r="K32" i="8"/>
  <c r="J32" i="8"/>
  <c r="I32" i="8"/>
  <c r="H32" i="8"/>
  <c r="G32" i="8"/>
  <c r="F32" i="8"/>
  <c r="O31" i="8"/>
  <c r="N31" i="8"/>
  <c r="M31" i="8"/>
  <c r="L31" i="8"/>
  <c r="K31" i="8"/>
  <c r="J31" i="8"/>
  <c r="I31" i="8"/>
  <c r="H31" i="8"/>
  <c r="G31" i="8"/>
  <c r="F31" i="8"/>
  <c r="O30" i="8"/>
  <c r="N30" i="8"/>
  <c r="M30" i="8"/>
  <c r="L30" i="8"/>
  <c r="K30" i="8"/>
  <c r="J30" i="8"/>
  <c r="I30" i="8"/>
  <c r="H30" i="8"/>
  <c r="G30" i="8"/>
  <c r="F30" i="8"/>
  <c r="O29" i="8"/>
  <c r="N29" i="8"/>
  <c r="M29" i="8"/>
  <c r="L29" i="8"/>
  <c r="K29" i="8"/>
  <c r="J29" i="8"/>
  <c r="I29" i="8"/>
  <c r="H29" i="8"/>
  <c r="G29" i="8"/>
  <c r="F29" i="8"/>
  <c r="O28" i="8"/>
  <c r="N28" i="8"/>
  <c r="M28" i="8"/>
  <c r="L28" i="8"/>
  <c r="K28" i="8"/>
  <c r="J28" i="8"/>
  <c r="I28" i="8"/>
  <c r="H28" i="8"/>
  <c r="G28" i="8"/>
  <c r="F28" i="8"/>
  <c r="E38" i="8"/>
  <c r="E37" i="8"/>
  <c r="E36" i="8"/>
  <c r="E35" i="8"/>
  <c r="E34" i="8"/>
  <c r="E33" i="8"/>
  <c r="E32" i="8"/>
  <c r="E31" i="8"/>
  <c r="E30" i="8"/>
  <c r="E29" i="8"/>
  <c r="E28" i="8"/>
  <c r="O36" i="3"/>
  <c r="N36" i="3"/>
  <c r="M36" i="3"/>
  <c r="L36" i="3"/>
  <c r="K36" i="3"/>
  <c r="J36" i="3"/>
  <c r="I36" i="3"/>
  <c r="H36" i="3"/>
  <c r="G36" i="3"/>
  <c r="F36" i="3"/>
  <c r="O35" i="3"/>
  <c r="N35" i="3"/>
  <c r="M35" i="3"/>
  <c r="L35" i="3"/>
  <c r="K35" i="3"/>
  <c r="J35" i="3"/>
  <c r="I35" i="3"/>
  <c r="H35" i="3"/>
  <c r="G35" i="3"/>
  <c r="F35" i="3"/>
  <c r="O34" i="3"/>
  <c r="N34" i="3"/>
  <c r="M34" i="3"/>
  <c r="L34" i="3"/>
  <c r="K34" i="3"/>
  <c r="J34" i="3"/>
  <c r="I34" i="3"/>
  <c r="H34" i="3"/>
  <c r="G34" i="3"/>
  <c r="F34" i="3"/>
  <c r="O33" i="3"/>
  <c r="N33" i="3"/>
  <c r="M33" i="3"/>
  <c r="L33" i="3"/>
  <c r="K33" i="3"/>
  <c r="J33" i="3"/>
  <c r="I33" i="3"/>
  <c r="H33" i="3"/>
  <c r="G33" i="3"/>
  <c r="F33" i="3"/>
  <c r="O32" i="3"/>
  <c r="N32" i="3"/>
  <c r="M32" i="3"/>
  <c r="L32" i="3"/>
  <c r="K32" i="3"/>
  <c r="J32" i="3"/>
  <c r="I32" i="3"/>
  <c r="H32" i="3"/>
  <c r="G32" i="3"/>
  <c r="F32" i="3"/>
  <c r="O31" i="3"/>
  <c r="N31" i="3"/>
  <c r="M31" i="3"/>
  <c r="L31" i="3"/>
  <c r="K31" i="3"/>
  <c r="J31" i="3"/>
  <c r="I31" i="3"/>
  <c r="H31" i="3"/>
  <c r="G31" i="3"/>
  <c r="F31" i="3"/>
  <c r="O30" i="3"/>
  <c r="N30" i="3"/>
  <c r="M30" i="3"/>
  <c r="L30" i="3"/>
  <c r="K30" i="3"/>
  <c r="J30" i="3"/>
  <c r="I30" i="3"/>
  <c r="H30" i="3"/>
  <c r="G30" i="3"/>
  <c r="F30" i="3"/>
  <c r="O29" i="3"/>
  <c r="N29" i="3"/>
  <c r="M29" i="3"/>
  <c r="L29" i="3"/>
  <c r="K29" i="3"/>
  <c r="J29" i="3"/>
  <c r="I29" i="3"/>
  <c r="H29" i="3"/>
  <c r="G29" i="3"/>
  <c r="F29" i="3"/>
  <c r="O28" i="3"/>
  <c r="N28" i="3"/>
  <c r="M28" i="3"/>
  <c r="L28" i="3"/>
  <c r="K28" i="3"/>
  <c r="J28" i="3"/>
  <c r="I28" i="3"/>
  <c r="H28" i="3"/>
  <c r="G28" i="3"/>
  <c r="F28" i="3"/>
  <c r="E36" i="3"/>
  <c r="E35" i="3"/>
  <c r="E34" i="3"/>
  <c r="E33" i="3"/>
  <c r="E32" i="3"/>
  <c r="E31" i="3"/>
  <c r="E30" i="3"/>
  <c r="E29" i="3"/>
  <c r="E28" i="3"/>
  <c r="O41" i="4"/>
  <c r="N41" i="4"/>
  <c r="M41" i="4"/>
  <c r="L41" i="4"/>
  <c r="K41" i="4"/>
  <c r="J41" i="4"/>
  <c r="I41" i="4"/>
  <c r="H41" i="4"/>
  <c r="G41" i="4"/>
  <c r="F41" i="4"/>
  <c r="O40" i="4"/>
  <c r="N40" i="4"/>
  <c r="M40" i="4"/>
  <c r="L40" i="4"/>
  <c r="K40" i="4"/>
  <c r="J40" i="4"/>
  <c r="I40" i="4"/>
  <c r="H40" i="4"/>
  <c r="G40" i="4"/>
  <c r="F40" i="4"/>
  <c r="O39" i="4"/>
  <c r="N39" i="4"/>
  <c r="M39" i="4"/>
  <c r="L39" i="4"/>
  <c r="K39" i="4"/>
  <c r="J39" i="4"/>
  <c r="I39" i="4"/>
  <c r="H39" i="4"/>
  <c r="G39" i="4"/>
  <c r="F39" i="4"/>
  <c r="O38" i="4"/>
  <c r="N38" i="4"/>
  <c r="M38" i="4"/>
  <c r="L38" i="4"/>
  <c r="K38" i="4"/>
  <c r="J38" i="4"/>
  <c r="I38" i="4"/>
  <c r="H38" i="4"/>
  <c r="G38" i="4"/>
  <c r="F38" i="4"/>
  <c r="O37" i="4"/>
  <c r="N37" i="4"/>
  <c r="M37" i="4"/>
  <c r="L37" i="4"/>
  <c r="K37" i="4"/>
  <c r="J37" i="4"/>
  <c r="I37" i="4"/>
  <c r="H37" i="4"/>
  <c r="G37" i="4"/>
  <c r="F37" i="4"/>
  <c r="O36" i="4"/>
  <c r="N36" i="4"/>
  <c r="M36" i="4"/>
  <c r="L36" i="4"/>
  <c r="K36" i="4"/>
  <c r="J36" i="4"/>
  <c r="I36" i="4"/>
  <c r="H36" i="4"/>
  <c r="G36" i="4"/>
  <c r="F36" i="4"/>
  <c r="O35" i="4"/>
  <c r="N35" i="4"/>
  <c r="M35" i="4"/>
  <c r="L35" i="4"/>
  <c r="K35" i="4"/>
  <c r="J35" i="4"/>
  <c r="I35" i="4"/>
  <c r="H35" i="4"/>
  <c r="G35" i="4"/>
  <c r="F35" i="4"/>
  <c r="O34" i="4"/>
  <c r="N34" i="4"/>
  <c r="M34" i="4"/>
  <c r="L34" i="4"/>
  <c r="K34" i="4"/>
  <c r="J34" i="4"/>
  <c r="I34" i="4"/>
  <c r="H34" i="4"/>
  <c r="G34" i="4"/>
  <c r="F34" i="4"/>
  <c r="O33" i="4"/>
  <c r="N33" i="4"/>
  <c r="M33" i="4"/>
  <c r="L33" i="4"/>
  <c r="K33" i="4"/>
  <c r="J33" i="4"/>
  <c r="I33" i="4"/>
  <c r="H33" i="4"/>
  <c r="G33" i="4"/>
  <c r="F33" i="4"/>
  <c r="O32" i="4"/>
  <c r="N32" i="4"/>
  <c r="M32" i="4"/>
  <c r="L32" i="4"/>
  <c r="K32" i="4"/>
  <c r="J32" i="4"/>
  <c r="I32" i="4"/>
  <c r="H32" i="4"/>
  <c r="G32" i="4"/>
  <c r="F32" i="4"/>
  <c r="O31" i="4"/>
  <c r="N31" i="4"/>
  <c r="M31" i="4"/>
  <c r="L31" i="4"/>
  <c r="K31" i="4"/>
  <c r="J31" i="4"/>
  <c r="I31" i="4"/>
  <c r="H31" i="4"/>
  <c r="G31" i="4"/>
  <c r="F31" i="4"/>
  <c r="O30" i="4"/>
  <c r="N30" i="4"/>
  <c r="M30" i="4"/>
  <c r="L30" i="4"/>
  <c r="K30" i="4"/>
  <c r="J30" i="4"/>
  <c r="I30" i="4"/>
  <c r="H30" i="4"/>
  <c r="G30" i="4"/>
  <c r="F30" i="4"/>
  <c r="O29" i="4"/>
  <c r="N29" i="4"/>
  <c r="M29" i="4"/>
  <c r="L29" i="4"/>
  <c r="K29" i="4"/>
  <c r="J29" i="4"/>
  <c r="I29" i="4"/>
  <c r="H29" i="4"/>
  <c r="G29" i="4"/>
  <c r="F29" i="4"/>
  <c r="O28" i="4"/>
  <c r="N28" i="4"/>
  <c r="M28" i="4"/>
  <c r="L28" i="4"/>
  <c r="K28" i="4"/>
  <c r="J28" i="4"/>
  <c r="I28" i="4"/>
  <c r="H28" i="4"/>
  <c r="G28" i="4"/>
  <c r="F28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O40" i="5"/>
  <c r="N40" i="5"/>
  <c r="M40" i="5"/>
  <c r="L40" i="5"/>
  <c r="K40" i="5"/>
  <c r="J40" i="5"/>
  <c r="I40" i="5"/>
  <c r="H40" i="5"/>
  <c r="G40" i="5"/>
  <c r="F40" i="5"/>
  <c r="O39" i="5"/>
  <c r="N39" i="5"/>
  <c r="M39" i="5"/>
  <c r="L39" i="5"/>
  <c r="K39" i="5"/>
  <c r="J39" i="5"/>
  <c r="I39" i="5"/>
  <c r="H39" i="5"/>
  <c r="G39" i="5"/>
  <c r="F39" i="5"/>
  <c r="O38" i="5"/>
  <c r="N38" i="5"/>
  <c r="M38" i="5"/>
  <c r="L38" i="5"/>
  <c r="K38" i="5"/>
  <c r="J38" i="5"/>
  <c r="I38" i="5"/>
  <c r="H38" i="5"/>
  <c r="G38" i="5"/>
  <c r="F38" i="5"/>
  <c r="O37" i="5"/>
  <c r="N37" i="5"/>
  <c r="M37" i="5"/>
  <c r="L37" i="5"/>
  <c r="K37" i="5"/>
  <c r="J37" i="5"/>
  <c r="I37" i="5"/>
  <c r="H37" i="5"/>
  <c r="G37" i="5"/>
  <c r="F37" i="5"/>
  <c r="O36" i="5"/>
  <c r="N36" i="5"/>
  <c r="M36" i="5"/>
  <c r="L36" i="5"/>
  <c r="K36" i="5"/>
  <c r="J36" i="5"/>
  <c r="I36" i="5"/>
  <c r="H36" i="5"/>
  <c r="G36" i="5"/>
  <c r="F36" i="5"/>
  <c r="O35" i="5"/>
  <c r="N35" i="5"/>
  <c r="M35" i="5"/>
  <c r="L35" i="5"/>
  <c r="K35" i="5"/>
  <c r="J35" i="5"/>
  <c r="I35" i="5"/>
  <c r="H35" i="5"/>
  <c r="G35" i="5"/>
  <c r="F35" i="5"/>
  <c r="O34" i="5"/>
  <c r="N34" i="5"/>
  <c r="M34" i="5"/>
  <c r="L34" i="5"/>
  <c r="K34" i="5"/>
  <c r="J34" i="5"/>
  <c r="I34" i="5"/>
  <c r="H34" i="5"/>
  <c r="G34" i="5"/>
  <c r="F34" i="5"/>
  <c r="O33" i="5"/>
  <c r="N33" i="5"/>
  <c r="M33" i="5"/>
  <c r="L33" i="5"/>
  <c r="K33" i="5"/>
  <c r="J33" i="5"/>
  <c r="I33" i="5"/>
  <c r="H33" i="5"/>
  <c r="G33" i="5"/>
  <c r="F33" i="5"/>
  <c r="O32" i="5"/>
  <c r="N32" i="5"/>
  <c r="M32" i="5"/>
  <c r="L32" i="5"/>
  <c r="K32" i="5"/>
  <c r="J32" i="5"/>
  <c r="I32" i="5"/>
  <c r="H32" i="5"/>
  <c r="G32" i="5"/>
  <c r="F32" i="5"/>
  <c r="O31" i="5"/>
  <c r="N31" i="5"/>
  <c r="M31" i="5"/>
  <c r="L31" i="5"/>
  <c r="K31" i="5"/>
  <c r="J31" i="5"/>
  <c r="I31" i="5"/>
  <c r="H31" i="5"/>
  <c r="G31" i="5"/>
  <c r="F31" i="5"/>
  <c r="O30" i="5"/>
  <c r="N30" i="5"/>
  <c r="M30" i="5"/>
  <c r="L30" i="5"/>
  <c r="K30" i="5"/>
  <c r="J30" i="5"/>
  <c r="I30" i="5"/>
  <c r="H30" i="5"/>
  <c r="G30" i="5"/>
  <c r="F30" i="5"/>
  <c r="O29" i="5"/>
  <c r="N29" i="5"/>
  <c r="M29" i="5"/>
  <c r="L29" i="5"/>
  <c r="K29" i="5"/>
  <c r="J29" i="5"/>
  <c r="I29" i="5"/>
  <c r="H29" i="5"/>
  <c r="G29" i="5"/>
  <c r="F29" i="5"/>
  <c r="O28" i="5"/>
  <c r="N28" i="5"/>
  <c r="M28" i="5"/>
  <c r="L28" i="5"/>
  <c r="K28" i="5"/>
  <c r="J28" i="5"/>
  <c r="I28" i="5"/>
  <c r="H28" i="5"/>
  <c r="G28" i="5"/>
  <c r="F28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O41" i="6"/>
  <c r="N41" i="6"/>
  <c r="M41" i="6"/>
  <c r="L41" i="6"/>
  <c r="K41" i="6"/>
  <c r="J41" i="6"/>
  <c r="I41" i="6"/>
  <c r="H41" i="6"/>
  <c r="G41" i="6"/>
  <c r="F41" i="6"/>
  <c r="O40" i="6"/>
  <c r="N40" i="6"/>
  <c r="M40" i="6"/>
  <c r="L40" i="6"/>
  <c r="K40" i="6"/>
  <c r="J40" i="6"/>
  <c r="I40" i="6"/>
  <c r="H40" i="6"/>
  <c r="G40" i="6"/>
  <c r="F40" i="6"/>
  <c r="O39" i="6"/>
  <c r="N39" i="6"/>
  <c r="M39" i="6"/>
  <c r="L39" i="6"/>
  <c r="K39" i="6"/>
  <c r="J39" i="6"/>
  <c r="I39" i="6"/>
  <c r="H39" i="6"/>
  <c r="G39" i="6"/>
  <c r="F39" i="6"/>
  <c r="O38" i="6"/>
  <c r="N38" i="6"/>
  <c r="M38" i="6"/>
  <c r="L38" i="6"/>
  <c r="K38" i="6"/>
  <c r="J38" i="6"/>
  <c r="I38" i="6"/>
  <c r="H38" i="6"/>
  <c r="G38" i="6"/>
  <c r="F38" i="6"/>
  <c r="O37" i="6"/>
  <c r="N37" i="6"/>
  <c r="M37" i="6"/>
  <c r="L37" i="6"/>
  <c r="K37" i="6"/>
  <c r="J37" i="6"/>
  <c r="I37" i="6"/>
  <c r="H37" i="6"/>
  <c r="G37" i="6"/>
  <c r="F37" i="6"/>
  <c r="O36" i="6"/>
  <c r="N36" i="6"/>
  <c r="M36" i="6"/>
  <c r="L36" i="6"/>
  <c r="K36" i="6"/>
  <c r="J36" i="6"/>
  <c r="I36" i="6"/>
  <c r="H36" i="6"/>
  <c r="G36" i="6"/>
  <c r="F36" i="6"/>
  <c r="O35" i="6"/>
  <c r="N35" i="6"/>
  <c r="M35" i="6"/>
  <c r="L35" i="6"/>
  <c r="K35" i="6"/>
  <c r="J35" i="6"/>
  <c r="I35" i="6"/>
  <c r="H35" i="6"/>
  <c r="G35" i="6"/>
  <c r="F35" i="6"/>
  <c r="O34" i="6"/>
  <c r="N34" i="6"/>
  <c r="M34" i="6"/>
  <c r="L34" i="6"/>
  <c r="K34" i="6"/>
  <c r="J34" i="6"/>
  <c r="I34" i="6"/>
  <c r="H34" i="6"/>
  <c r="G34" i="6"/>
  <c r="F34" i="6"/>
  <c r="O33" i="6"/>
  <c r="N33" i="6"/>
  <c r="M33" i="6"/>
  <c r="L33" i="6"/>
  <c r="K33" i="6"/>
  <c r="J33" i="6"/>
  <c r="I33" i="6"/>
  <c r="H33" i="6"/>
  <c r="G33" i="6"/>
  <c r="F33" i="6"/>
  <c r="O32" i="6"/>
  <c r="N32" i="6"/>
  <c r="M32" i="6"/>
  <c r="L32" i="6"/>
  <c r="K32" i="6"/>
  <c r="J32" i="6"/>
  <c r="I32" i="6"/>
  <c r="H32" i="6"/>
  <c r="G32" i="6"/>
  <c r="F32" i="6"/>
  <c r="O31" i="6"/>
  <c r="N31" i="6"/>
  <c r="M31" i="6"/>
  <c r="L31" i="6"/>
  <c r="K31" i="6"/>
  <c r="J31" i="6"/>
  <c r="I31" i="6"/>
  <c r="H31" i="6"/>
  <c r="G31" i="6"/>
  <c r="F31" i="6"/>
  <c r="O30" i="6"/>
  <c r="N30" i="6"/>
  <c r="M30" i="6"/>
  <c r="L30" i="6"/>
  <c r="K30" i="6"/>
  <c r="J30" i="6"/>
  <c r="I30" i="6"/>
  <c r="H30" i="6"/>
  <c r="G30" i="6"/>
  <c r="F30" i="6"/>
  <c r="O29" i="6"/>
  <c r="N29" i="6"/>
  <c r="M29" i="6"/>
  <c r="L29" i="6"/>
  <c r="K29" i="6"/>
  <c r="J29" i="6"/>
  <c r="I29" i="6"/>
  <c r="H29" i="6"/>
  <c r="G29" i="6"/>
  <c r="F29" i="6"/>
  <c r="O28" i="6"/>
  <c r="N28" i="6"/>
  <c r="M28" i="6"/>
  <c r="L28" i="6"/>
  <c r="K28" i="6"/>
  <c r="J28" i="6"/>
  <c r="I28" i="6"/>
  <c r="H28" i="6"/>
  <c r="G28" i="6"/>
  <c r="F28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O41" i="7"/>
  <c r="N41" i="7"/>
  <c r="M41" i="7"/>
  <c r="L41" i="7"/>
  <c r="K41" i="7"/>
  <c r="J41" i="7"/>
  <c r="I41" i="7"/>
  <c r="H41" i="7"/>
  <c r="G41" i="7"/>
  <c r="F41" i="7"/>
  <c r="O40" i="7"/>
  <c r="N40" i="7"/>
  <c r="M40" i="7"/>
  <c r="L40" i="7"/>
  <c r="K40" i="7"/>
  <c r="J40" i="7"/>
  <c r="I40" i="7"/>
  <c r="H40" i="7"/>
  <c r="G40" i="7"/>
  <c r="F40" i="7"/>
  <c r="O39" i="7"/>
  <c r="N39" i="7"/>
  <c r="M39" i="7"/>
  <c r="L39" i="7"/>
  <c r="K39" i="7"/>
  <c r="J39" i="7"/>
  <c r="I39" i="7"/>
  <c r="H39" i="7"/>
  <c r="G39" i="7"/>
  <c r="F39" i="7"/>
  <c r="O38" i="7"/>
  <c r="N38" i="7"/>
  <c r="M38" i="7"/>
  <c r="L38" i="7"/>
  <c r="K38" i="7"/>
  <c r="J38" i="7"/>
  <c r="I38" i="7"/>
  <c r="H38" i="7"/>
  <c r="G38" i="7"/>
  <c r="F38" i="7"/>
  <c r="O37" i="7"/>
  <c r="N37" i="7"/>
  <c r="M37" i="7"/>
  <c r="L37" i="7"/>
  <c r="K37" i="7"/>
  <c r="J37" i="7"/>
  <c r="I37" i="7"/>
  <c r="H37" i="7"/>
  <c r="G37" i="7"/>
  <c r="F37" i="7"/>
  <c r="O36" i="7"/>
  <c r="N36" i="7"/>
  <c r="M36" i="7"/>
  <c r="L36" i="7"/>
  <c r="K36" i="7"/>
  <c r="J36" i="7"/>
  <c r="I36" i="7"/>
  <c r="H36" i="7"/>
  <c r="G36" i="7"/>
  <c r="F36" i="7"/>
  <c r="O35" i="7"/>
  <c r="N35" i="7"/>
  <c r="M35" i="7"/>
  <c r="L35" i="7"/>
  <c r="K35" i="7"/>
  <c r="J35" i="7"/>
  <c r="I35" i="7"/>
  <c r="H35" i="7"/>
  <c r="G35" i="7"/>
  <c r="F35" i="7"/>
  <c r="O34" i="7"/>
  <c r="N34" i="7"/>
  <c r="M34" i="7"/>
  <c r="L34" i="7"/>
  <c r="K34" i="7"/>
  <c r="J34" i="7"/>
  <c r="I34" i="7"/>
  <c r="H34" i="7"/>
  <c r="G34" i="7"/>
  <c r="F34" i="7"/>
  <c r="O33" i="7"/>
  <c r="N33" i="7"/>
  <c r="M33" i="7"/>
  <c r="L33" i="7"/>
  <c r="K33" i="7"/>
  <c r="J33" i="7"/>
  <c r="I33" i="7"/>
  <c r="H33" i="7"/>
  <c r="G33" i="7"/>
  <c r="F33" i="7"/>
  <c r="O32" i="7"/>
  <c r="N32" i="7"/>
  <c r="M32" i="7"/>
  <c r="L32" i="7"/>
  <c r="K32" i="7"/>
  <c r="J32" i="7"/>
  <c r="I32" i="7"/>
  <c r="H32" i="7"/>
  <c r="G32" i="7"/>
  <c r="F32" i="7"/>
  <c r="O31" i="7"/>
  <c r="N31" i="7"/>
  <c r="M31" i="7"/>
  <c r="L31" i="7"/>
  <c r="K31" i="7"/>
  <c r="J31" i="7"/>
  <c r="I31" i="7"/>
  <c r="H31" i="7"/>
  <c r="G31" i="7"/>
  <c r="F31" i="7"/>
  <c r="O30" i="7"/>
  <c r="N30" i="7"/>
  <c r="M30" i="7"/>
  <c r="L30" i="7"/>
  <c r="K30" i="7"/>
  <c r="J30" i="7"/>
  <c r="I30" i="7"/>
  <c r="H30" i="7"/>
  <c r="G30" i="7"/>
  <c r="F30" i="7"/>
  <c r="E41" i="7"/>
  <c r="E40" i="7"/>
  <c r="E39" i="7"/>
  <c r="E38" i="7"/>
  <c r="E37" i="7"/>
  <c r="E36" i="7"/>
  <c r="E35" i="7"/>
  <c r="E34" i="7"/>
  <c r="E33" i="7"/>
  <c r="E32" i="7"/>
  <c r="E31" i="7"/>
  <c r="E30" i="7"/>
  <c r="O43" i="9"/>
  <c r="N43" i="9"/>
  <c r="M43" i="9"/>
  <c r="L43" i="9"/>
  <c r="K43" i="9"/>
  <c r="J43" i="9"/>
  <c r="I43" i="9"/>
  <c r="H43" i="9"/>
  <c r="G43" i="9"/>
  <c r="F43" i="9"/>
  <c r="O42" i="9"/>
  <c r="N42" i="9"/>
  <c r="M42" i="9"/>
  <c r="L42" i="9"/>
  <c r="K42" i="9"/>
  <c r="J42" i="9"/>
  <c r="I42" i="9"/>
  <c r="H42" i="9"/>
  <c r="G42" i="9"/>
  <c r="F42" i="9"/>
  <c r="O41" i="9"/>
  <c r="N41" i="9"/>
  <c r="M41" i="9"/>
  <c r="L41" i="9"/>
  <c r="K41" i="9"/>
  <c r="J41" i="9"/>
  <c r="I41" i="9"/>
  <c r="H41" i="9"/>
  <c r="G41" i="9"/>
  <c r="F41" i="9"/>
  <c r="O40" i="9"/>
  <c r="N40" i="9"/>
  <c r="M40" i="9"/>
  <c r="L40" i="9"/>
  <c r="K40" i="9"/>
  <c r="J40" i="9"/>
  <c r="I40" i="9"/>
  <c r="H40" i="9"/>
  <c r="G40" i="9"/>
  <c r="F40" i="9"/>
  <c r="O39" i="9"/>
  <c r="N39" i="9"/>
  <c r="M39" i="9"/>
  <c r="L39" i="9"/>
  <c r="K39" i="9"/>
  <c r="J39" i="9"/>
  <c r="I39" i="9"/>
  <c r="H39" i="9"/>
  <c r="G39" i="9"/>
  <c r="F39" i="9"/>
  <c r="O38" i="9"/>
  <c r="N38" i="9"/>
  <c r="M38" i="9"/>
  <c r="L38" i="9"/>
  <c r="K38" i="9"/>
  <c r="J38" i="9"/>
  <c r="I38" i="9"/>
  <c r="H38" i="9"/>
  <c r="G38" i="9"/>
  <c r="F38" i="9"/>
  <c r="O37" i="9"/>
  <c r="N37" i="9"/>
  <c r="M37" i="9"/>
  <c r="L37" i="9"/>
  <c r="K37" i="9"/>
  <c r="J37" i="9"/>
  <c r="I37" i="9"/>
  <c r="H37" i="9"/>
  <c r="G37" i="9"/>
  <c r="F37" i="9"/>
  <c r="O36" i="9"/>
  <c r="N36" i="9"/>
  <c r="M36" i="9"/>
  <c r="L36" i="9"/>
  <c r="K36" i="9"/>
  <c r="J36" i="9"/>
  <c r="I36" i="9"/>
  <c r="H36" i="9"/>
  <c r="G36" i="9"/>
  <c r="F36" i="9"/>
  <c r="O35" i="9"/>
  <c r="N35" i="9"/>
  <c r="M35" i="9"/>
  <c r="L35" i="9"/>
  <c r="K35" i="9"/>
  <c r="J35" i="9"/>
  <c r="I35" i="9"/>
  <c r="H35" i="9"/>
  <c r="G35" i="9"/>
  <c r="F35" i="9"/>
  <c r="O34" i="9"/>
  <c r="N34" i="9"/>
  <c r="M34" i="9"/>
  <c r="L34" i="9"/>
  <c r="K34" i="9"/>
  <c r="J34" i="9"/>
  <c r="I34" i="9"/>
  <c r="H34" i="9"/>
  <c r="G34" i="9"/>
  <c r="F34" i="9"/>
  <c r="O33" i="9"/>
  <c r="N33" i="9"/>
  <c r="M33" i="9"/>
  <c r="L33" i="9"/>
  <c r="K33" i="9"/>
  <c r="J33" i="9"/>
  <c r="I33" i="9"/>
  <c r="H33" i="9"/>
  <c r="G33" i="9"/>
  <c r="F33" i="9"/>
  <c r="O32" i="9"/>
  <c r="N32" i="9"/>
  <c r="M32" i="9"/>
  <c r="L32" i="9"/>
  <c r="K32" i="9"/>
  <c r="J32" i="9"/>
  <c r="I32" i="9"/>
  <c r="H32" i="9"/>
  <c r="G32" i="9"/>
  <c r="F32" i="9"/>
  <c r="E43" i="9"/>
  <c r="E42" i="9"/>
  <c r="E41" i="9"/>
  <c r="E40" i="9"/>
  <c r="E39" i="9"/>
  <c r="E38" i="9"/>
  <c r="E37" i="9"/>
  <c r="E36" i="9"/>
  <c r="E35" i="9"/>
  <c r="E34" i="9"/>
  <c r="E33" i="9"/>
  <c r="E32" i="9"/>
  <c r="P41" i="10"/>
  <c r="O41" i="10"/>
  <c r="N41" i="10"/>
  <c r="M41" i="10"/>
  <c r="L41" i="10"/>
  <c r="K41" i="10"/>
  <c r="J41" i="10"/>
  <c r="I41" i="10"/>
  <c r="H41" i="10"/>
  <c r="G41" i="10"/>
  <c r="P40" i="10"/>
  <c r="O40" i="10"/>
  <c r="N40" i="10"/>
  <c r="M40" i="10"/>
  <c r="L40" i="10"/>
  <c r="K40" i="10"/>
  <c r="J40" i="10"/>
  <c r="I40" i="10"/>
  <c r="H40" i="10"/>
  <c r="G40" i="10"/>
  <c r="P39" i="10"/>
  <c r="O39" i="10"/>
  <c r="N39" i="10"/>
  <c r="M39" i="10"/>
  <c r="L39" i="10"/>
  <c r="K39" i="10"/>
  <c r="J39" i="10"/>
  <c r="I39" i="10"/>
  <c r="H39" i="10"/>
  <c r="G39" i="10"/>
  <c r="P38" i="10"/>
  <c r="O38" i="10"/>
  <c r="N38" i="10"/>
  <c r="M38" i="10"/>
  <c r="L38" i="10"/>
  <c r="K38" i="10"/>
  <c r="J38" i="10"/>
  <c r="I38" i="10"/>
  <c r="H38" i="10"/>
  <c r="G38" i="10"/>
  <c r="P37" i="10"/>
  <c r="O37" i="10"/>
  <c r="N37" i="10"/>
  <c r="M37" i="10"/>
  <c r="L37" i="10"/>
  <c r="K37" i="10"/>
  <c r="J37" i="10"/>
  <c r="I37" i="10"/>
  <c r="H37" i="10"/>
  <c r="G37" i="10"/>
  <c r="P36" i="10"/>
  <c r="O36" i="10"/>
  <c r="N36" i="10"/>
  <c r="M36" i="10"/>
  <c r="L36" i="10"/>
  <c r="K36" i="10"/>
  <c r="J36" i="10"/>
  <c r="I36" i="10"/>
  <c r="H36" i="10"/>
  <c r="G36" i="10"/>
  <c r="P35" i="10"/>
  <c r="O35" i="10"/>
  <c r="N35" i="10"/>
  <c r="M35" i="10"/>
  <c r="L35" i="10"/>
  <c r="K35" i="10"/>
  <c r="J35" i="10"/>
  <c r="I35" i="10"/>
  <c r="H35" i="10"/>
  <c r="G35" i="10"/>
  <c r="P34" i="10"/>
  <c r="O34" i="10"/>
  <c r="N34" i="10"/>
  <c r="M34" i="10"/>
  <c r="L34" i="10"/>
  <c r="K34" i="10"/>
  <c r="J34" i="10"/>
  <c r="I34" i="10"/>
  <c r="H34" i="10"/>
  <c r="G34" i="10"/>
  <c r="P33" i="10"/>
  <c r="O33" i="10"/>
  <c r="N33" i="10"/>
  <c r="M33" i="10"/>
  <c r="L33" i="10"/>
  <c r="K33" i="10"/>
  <c r="J33" i="10"/>
  <c r="I33" i="10"/>
  <c r="H33" i="10"/>
  <c r="G33" i="10"/>
  <c r="P32" i="10"/>
  <c r="O32" i="10"/>
  <c r="N32" i="10"/>
  <c r="M32" i="10"/>
  <c r="L32" i="10"/>
  <c r="K32" i="10"/>
  <c r="J32" i="10"/>
  <c r="I32" i="10"/>
  <c r="H32" i="10"/>
  <c r="G32" i="10"/>
  <c r="P31" i="10"/>
  <c r="O31" i="10"/>
  <c r="N31" i="10"/>
  <c r="M31" i="10"/>
  <c r="L31" i="10"/>
  <c r="K31" i="10"/>
  <c r="J31" i="10"/>
  <c r="I31" i="10"/>
  <c r="H31" i="10"/>
  <c r="G31" i="10"/>
  <c r="F40" i="10"/>
  <c r="F39" i="10"/>
  <c r="F38" i="10"/>
  <c r="F37" i="10"/>
  <c r="F36" i="10"/>
  <c r="F35" i="10"/>
  <c r="F34" i="10"/>
  <c r="F33" i="10"/>
  <c r="F32" i="10"/>
  <c r="F31" i="10"/>
  <c r="F41" i="10"/>
  <c r="P42" i="10"/>
  <c r="O42" i="10"/>
  <c r="N42" i="10"/>
  <c r="M42" i="10"/>
  <c r="L42" i="10"/>
  <c r="K42" i="10"/>
  <c r="J42" i="10"/>
  <c r="I42" i="10"/>
  <c r="H42" i="10"/>
  <c r="G42" i="10"/>
  <c r="P43" i="10"/>
  <c r="O43" i="10"/>
  <c r="N43" i="10"/>
  <c r="M43" i="10"/>
  <c r="L43" i="10"/>
  <c r="K43" i="10"/>
  <c r="J43" i="10"/>
  <c r="I43" i="10"/>
  <c r="H43" i="10"/>
  <c r="G43" i="10"/>
  <c r="F42" i="10"/>
  <c r="F43" i="10"/>
  <c r="E42" i="11"/>
  <c r="E31" i="11"/>
  <c r="G31" i="11"/>
  <c r="N41" i="11"/>
  <c r="N40" i="11"/>
  <c r="N39" i="11"/>
  <c r="N38" i="11"/>
  <c r="N37" i="11"/>
  <c r="N36" i="11"/>
  <c r="N35" i="11"/>
  <c r="N34" i="11"/>
  <c r="N33" i="11"/>
  <c r="N32" i="11"/>
  <c r="N31" i="11"/>
  <c r="O42" i="11"/>
  <c r="N42" i="11"/>
  <c r="M42" i="11"/>
  <c r="L42" i="11"/>
  <c r="K42" i="11"/>
  <c r="J42" i="11"/>
  <c r="I42" i="11"/>
  <c r="H42" i="11"/>
  <c r="G42" i="11"/>
  <c r="O41" i="11"/>
  <c r="M41" i="11"/>
  <c r="L41" i="11"/>
  <c r="K41" i="11"/>
  <c r="J41" i="11"/>
  <c r="I41" i="11"/>
  <c r="H41" i="11"/>
  <c r="G41" i="11"/>
  <c r="O40" i="11"/>
  <c r="M40" i="11"/>
  <c r="L40" i="11"/>
  <c r="K40" i="11"/>
  <c r="J40" i="11"/>
  <c r="I40" i="11"/>
  <c r="H40" i="11"/>
  <c r="G40" i="11"/>
  <c r="O39" i="11"/>
  <c r="M39" i="11"/>
  <c r="L39" i="11"/>
  <c r="K39" i="11"/>
  <c r="J39" i="11"/>
  <c r="I39" i="11"/>
  <c r="H39" i="11"/>
  <c r="G39" i="11"/>
  <c r="O38" i="11"/>
  <c r="M38" i="11"/>
  <c r="L38" i="11"/>
  <c r="K38" i="11"/>
  <c r="J38" i="11"/>
  <c r="I38" i="11"/>
  <c r="H38" i="11"/>
  <c r="G38" i="11"/>
  <c r="O37" i="11"/>
  <c r="M37" i="11"/>
  <c r="L37" i="11"/>
  <c r="K37" i="11"/>
  <c r="J37" i="11"/>
  <c r="I37" i="11"/>
  <c r="H37" i="11"/>
  <c r="G37" i="11"/>
  <c r="O36" i="11"/>
  <c r="M36" i="11"/>
  <c r="L36" i="11"/>
  <c r="K36" i="11"/>
  <c r="J36" i="11"/>
  <c r="I36" i="11"/>
  <c r="H36" i="11"/>
  <c r="G36" i="11"/>
  <c r="O35" i="11"/>
  <c r="M35" i="11"/>
  <c r="L35" i="11"/>
  <c r="K35" i="11"/>
  <c r="J35" i="11"/>
  <c r="I35" i="11"/>
  <c r="H35" i="11"/>
  <c r="G35" i="11"/>
  <c r="O34" i="11"/>
  <c r="M34" i="11"/>
  <c r="L34" i="11"/>
  <c r="K34" i="11"/>
  <c r="J34" i="11"/>
  <c r="I34" i="11"/>
  <c r="H34" i="11"/>
  <c r="G34" i="11"/>
  <c r="O33" i="11"/>
  <c r="M33" i="11"/>
  <c r="L33" i="11"/>
  <c r="K33" i="11"/>
  <c r="J33" i="11"/>
  <c r="I33" i="11"/>
  <c r="H33" i="11"/>
  <c r="G33" i="11"/>
  <c r="O32" i="11"/>
  <c r="M32" i="11"/>
  <c r="L32" i="11"/>
  <c r="K32" i="11"/>
  <c r="J32" i="11"/>
  <c r="I32" i="11"/>
  <c r="H32" i="11"/>
  <c r="G32" i="11"/>
  <c r="O31" i="11"/>
  <c r="M31" i="11"/>
  <c r="L31" i="11"/>
  <c r="K31" i="11"/>
  <c r="J31" i="11"/>
  <c r="I31" i="11"/>
  <c r="H31" i="11"/>
  <c r="F31" i="11"/>
  <c r="F42" i="11"/>
  <c r="F41" i="11"/>
  <c r="F40" i="11"/>
  <c r="F39" i="11"/>
  <c r="F38" i="11"/>
  <c r="F37" i="11"/>
  <c r="F36" i="11"/>
  <c r="F35" i="11"/>
  <c r="F34" i="11"/>
  <c r="F33" i="11"/>
  <c r="F32" i="11"/>
  <c r="E41" i="11"/>
  <c r="E40" i="11"/>
  <c r="E39" i="11"/>
  <c r="E38" i="11"/>
  <c r="E37" i="11"/>
  <c r="E36" i="11"/>
  <c r="E35" i="11"/>
  <c r="E34" i="11"/>
  <c r="E33" i="11"/>
  <c r="E32" i="11"/>
  <c r="D31" i="11"/>
  <c r="C31" i="11"/>
  <c r="B31" i="11"/>
  <c r="A31" i="11"/>
  <c r="A32" i="11"/>
  <c r="BS130" i="1"/>
  <c r="BR130" i="1"/>
  <c r="BQ130" i="1"/>
  <c r="BP130" i="1"/>
  <c r="BO130" i="1"/>
  <c r="BN130" i="1"/>
  <c r="BM130" i="1"/>
  <c r="AX130" i="1"/>
  <c r="AW130" i="1"/>
  <c r="AV130" i="1"/>
  <c r="AU130" i="1"/>
  <c r="AT130" i="1"/>
  <c r="AS130" i="1"/>
  <c r="AR130" i="1"/>
  <c r="AQ130" i="1"/>
  <c r="AP130" i="1"/>
  <c r="AO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Y130" i="1"/>
  <c r="X130" i="1"/>
  <c r="W130" i="1"/>
  <c r="V130" i="1"/>
  <c r="U130" i="1"/>
  <c r="T130" i="1"/>
  <c r="S130" i="1"/>
  <c r="R130" i="1"/>
  <c r="Q130" i="1"/>
  <c r="P130" i="1"/>
  <c r="BS129" i="1"/>
  <c r="BR129" i="1"/>
  <c r="BQ129" i="1"/>
  <c r="BP129" i="1"/>
  <c r="BO129" i="1"/>
  <c r="BN129" i="1"/>
  <c r="BM129" i="1"/>
  <c r="AX129" i="1"/>
  <c r="AW129" i="1"/>
  <c r="AV129" i="1"/>
  <c r="AU129" i="1"/>
  <c r="AT129" i="1"/>
  <c r="AS129" i="1"/>
  <c r="AR129" i="1"/>
  <c r="AQ129" i="1"/>
  <c r="AP129" i="1"/>
  <c r="AO129" i="1"/>
  <c r="AM129" i="1"/>
  <c r="AL129" i="1"/>
  <c r="AK129" i="1"/>
  <c r="AJ129" i="1"/>
  <c r="AI129" i="1"/>
  <c r="AH129" i="1"/>
  <c r="AG129" i="1"/>
  <c r="AF129" i="1"/>
  <c r="AE129" i="1"/>
  <c r="AD129" i="1"/>
  <c r="AC129" i="1"/>
  <c r="AA129" i="1"/>
  <c r="Y129" i="1"/>
  <c r="X129" i="1"/>
  <c r="W129" i="1"/>
  <c r="V129" i="1"/>
  <c r="U129" i="1"/>
  <c r="T129" i="1"/>
  <c r="S129" i="1"/>
  <c r="R129" i="1"/>
  <c r="Q129" i="1"/>
  <c r="P129" i="1"/>
  <c r="O129" i="1"/>
  <c r="EP123" i="1"/>
  <c r="EP122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P109" i="1"/>
  <c r="EP108" i="1"/>
  <c r="EP107" i="1"/>
  <c r="EP106" i="1"/>
  <c r="EP105" i="1"/>
  <c r="EP104" i="1"/>
  <c r="EP103" i="1"/>
  <c r="EP102" i="1"/>
  <c r="EP101" i="1"/>
  <c r="EP100" i="1"/>
  <c r="EP99" i="1"/>
  <c r="EP98" i="1"/>
  <c r="EP97" i="1"/>
  <c r="EP96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P83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P70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P57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P44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P18" i="1"/>
  <c r="EP17" i="1"/>
  <c r="EP16" i="1"/>
  <c r="EP15" i="1"/>
  <c r="EP14" i="1"/>
  <c r="EP13" i="1"/>
  <c r="EP12" i="1"/>
  <c r="EP11" i="1"/>
  <c r="EP10" i="1"/>
  <c r="EP9" i="1"/>
  <c r="EP8" i="1"/>
  <c r="EP7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EK4" i="1"/>
  <c r="EJ4" i="1"/>
  <c r="CL3" i="1" s="1"/>
  <c r="DK3" i="1" s="1"/>
  <c r="EI4" i="1"/>
  <c r="EH4" i="1"/>
  <c r="EG4" i="1"/>
  <c r="EF4" i="1"/>
  <c r="EE4" i="1"/>
  <c r="ED4" i="1"/>
  <c r="EC4" i="1"/>
  <c r="EA4" i="1"/>
  <c r="CG3" i="1" s="1"/>
  <c r="DF3" i="1" s="1"/>
  <c r="DZ4" i="1"/>
  <c r="DY4" i="1"/>
  <c r="DR4" i="1"/>
  <c r="BY3" i="1"/>
  <c r="DW2" i="1"/>
  <c r="DW5" i="1" s="1"/>
  <c r="DV2" i="1"/>
  <c r="DV5" i="1" s="1"/>
  <c r="DU2" i="1"/>
  <c r="DU5" i="1" s="1"/>
  <c r="DT2" i="1"/>
  <c r="DT5" i="1" s="1"/>
  <c r="DS2" i="1"/>
  <c r="DS5" i="1" s="1"/>
  <c r="DR2" i="1"/>
  <c r="DR5" i="1" s="1"/>
  <c r="DQ2" i="1"/>
  <c r="DQ5" i="1" s="1"/>
  <c r="DP2" i="1"/>
  <c r="DP5" i="1" s="1"/>
  <c r="DO2" i="1"/>
  <c r="DO5" i="1" s="1"/>
  <c r="DN2" i="1"/>
  <c r="DN5" i="1" s="1"/>
  <c r="DM2" i="1"/>
  <c r="DM5" i="1" s="1"/>
  <c r="DL2" i="1"/>
  <c r="DL5" i="1" s="1"/>
  <c r="DK2" i="1"/>
  <c r="DK5" i="1" s="1"/>
  <c r="DJ2" i="1"/>
  <c r="DJ5" i="1" s="1"/>
  <c r="DI2" i="1"/>
  <c r="DI5" i="1" s="1"/>
  <c r="DH2" i="1"/>
  <c r="DH5" i="1" s="1"/>
  <c r="DG2" i="1"/>
  <c r="DG5" i="1" s="1"/>
  <c r="DF2" i="1"/>
  <c r="DF5" i="1" s="1"/>
  <c r="DE2" i="1"/>
  <c r="DE5" i="1" s="1"/>
  <c r="DD2" i="1"/>
  <c r="DD5" i="1" s="1"/>
  <c r="DC2" i="1"/>
  <c r="DC5" i="1" s="1"/>
  <c r="DB2" i="1"/>
  <c r="DB5" i="1" s="1"/>
  <c r="DA2" i="1"/>
  <c r="DA5" i="1" s="1"/>
  <c r="CZ2" i="1"/>
  <c r="CZ5" i="1" s="1"/>
  <c r="K7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S136" i="25"/>
  <c r="BB136" i="25" s="1"/>
  <c r="S135" i="25"/>
  <c r="AT135" i="25" s="1"/>
  <c r="S134" i="25"/>
  <c r="BB134" i="25" s="1"/>
  <c r="S133" i="25"/>
  <c r="AT133" i="25" s="1"/>
  <c r="S132" i="25"/>
  <c r="BB132" i="25" s="1"/>
  <c r="S130" i="25"/>
  <c r="AE130" i="25" s="1"/>
  <c r="AE129" i="25"/>
  <c r="AE125" i="25"/>
  <c r="AE126" i="25"/>
  <c r="EU44" i="1" l="1"/>
  <c r="EU60" i="1"/>
  <c r="EU76" i="1"/>
  <c r="EU92" i="1"/>
  <c r="EU108" i="1"/>
  <c r="EU12" i="1"/>
  <c r="EU28" i="1"/>
  <c r="EU23" i="1"/>
  <c r="EU39" i="1"/>
  <c r="EU55" i="1"/>
  <c r="EU71" i="1"/>
  <c r="EU87" i="1"/>
  <c r="EU103" i="1"/>
  <c r="EU14" i="1"/>
  <c r="EU30" i="1"/>
  <c r="EU46" i="1"/>
  <c r="EU62" i="1"/>
  <c r="EU78" i="1"/>
  <c r="EU94" i="1"/>
  <c r="EU110" i="1"/>
  <c r="EU134" i="1"/>
  <c r="EU18" i="1"/>
  <c r="EU34" i="1"/>
  <c r="EU50" i="1"/>
  <c r="EU66" i="1"/>
  <c r="EU82" i="1"/>
  <c r="EU98" i="1"/>
  <c r="EU114" i="1"/>
  <c r="EU137" i="1"/>
  <c r="EU25" i="1"/>
  <c r="EU41" i="1"/>
  <c r="EU57" i="1"/>
  <c r="EU73" i="1"/>
  <c r="EU89" i="1"/>
  <c r="EU105" i="1"/>
  <c r="EU121" i="1"/>
  <c r="EU26" i="1"/>
  <c r="EU42" i="1"/>
  <c r="EU58" i="1"/>
  <c r="EU74" i="1"/>
  <c r="EU90" i="1"/>
  <c r="EU106" i="1"/>
  <c r="EU122" i="1"/>
  <c r="EU133" i="1"/>
  <c r="EU9" i="1"/>
  <c r="EU10" i="1"/>
  <c r="EU133" i="106"/>
  <c r="EU27" i="106"/>
  <c r="EU75" i="106"/>
  <c r="EU110" i="106"/>
  <c r="EU113" i="106"/>
  <c r="EU116" i="106"/>
  <c r="EU12" i="106"/>
  <c r="EU83" i="106"/>
  <c r="EU95" i="106"/>
  <c r="EU135" i="106"/>
  <c r="EU32" i="106"/>
  <c r="EU35" i="106"/>
  <c r="EU65" i="106"/>
  <c r="EU68" i="106"/>
  <c r="EU80" i="106"/>
  <c r="EU17" i="106"/>
  <c r="EU20" i="106"/>
  <c r="EU29" i="106"/>
  <c r="EU47" i="106"/>
  <c r="EU62" i="106"/>
  <c r="EU14" i="106"/>
  <c r="EU107" i="106"/>
  <c r="EU97" i="106"/>
  <c r="EU100" i="106"/>
  <c r="EU112" i="106"/>
  <c r="EU115" i="106"/>
  <c r="EU59" i="106"/>
  <c r="EU94" i="106"/>
  <c r="EU67" i="106"/>
  <c r="EU109" i="106"/>
  <c r="EU136" i="106"/>
  <c r="EU28" i="106"/>
  <c r="EU91" i="106"/>
  <c r="EU99" i="106"/>
  <c r="EU13" i="106"/>
  <c r="EU43" i="106"/>
  <c r="EU96" i="106"/>
  <c r="EU111" i="106"/>
  <c r="EU123" i="106"/>
  <c r="C14" i="106"/>
  <c r="EV14" i="106" s="1"/>
  <c r="C29" i="106"/>
  <c r="EV29" i="106" s="1"/>
  <c r="C45" i="106"/>
  <c r="EV45" i="106" s="1"/>
  <c r="C61" i="106"/>
  <c r="EV61" i="106" s="1"/>
  <c r="C76" i="106"/>
  <c r="EV76" i="106" s="1"/>
  <c r="C92" i="106"/>
  <c r="EV92" i="106" s="1"/>
  <c r="C108" i="106"/>
  <c r="EV108" i="106" s="1"/>
  <c r="C12" i="106"/>
  <c r="EV12" i="106" s="1"/>
  <c r="C27" i="106"/>
  <c r="EV27" i="106" s="1"/>
  <c r="C43" i="106"/>
  <c r="EV43" i="106" s="1"/>
  <c r="C59" i="106"/>
  <c r="EV59" i="106" s="1"/>
  <c r="C75" i="106"/>
  <c r="EV75" i="106" s="1"/>
  <c r="C91" i="106"/>
  <c r="EV91" i="106" s="1"/>
  <c r="C107" i="106"/>
  <c r="EV107" i="106" s="1"/>
  <c r="C123" i="106"/>
  <c r="EV123" i="106" s="1"/>
  <c r="C11" i="106"/>
  <c r="EV11" i="106" s="1"/>
  <c r="BV94" i="106"/>
  <c r="ET94" i="106" s="1"/>
  <c r="BV110" i="106"/>
  <c r="ET110" i="106" s="1"/>
  <c r="BT130" i="106"/>
  <c r="CF3" i="106"/>
  <c r="DE3" i="106" s="1"/>
  <c r="C9" i="106"/>
  <c r="EV9" i="106" s="1"/>
  <c r="C25" i="106"/>
  <c r="EV25" i="106" s="1"/>
  <c r="C40" i="106"/>
  <c r="EV40" i="106" s="1"/>
  <c r="C56" i="106"/>
  <c r="EV56" i="106" s="1"/>
  <c r="C72" i="106"/>
  <c r="EV72" i="106" s="1"/>
  <c r="C88" i="106"/>
  <c r="EV88" i="106" s="1"/>
  <c r="C104" i="106"/>
  <c r="EV104" i="106" s="1"/>
  <c r="C120" i="106"/>
  <c r="EV120" i="106" s="1"/>
  <c r="BU130" i="106"/>
  <c r="Z130" i="106"/>
  <c r="BV130" i="106"/>
  <c r="CH3" i="106"/>
  <c r="DG3" i="106" s="1"/>
  <c r="C7" i="106"/>
  <c r="EV7" i="106" s="1"/>
  <c r="C23" i="106"/>
  <c r="EV23" i="106" s="1"/>
  <c r="C38" i="106"/>
  <c r="EV38" i="106" s="1"/>
  <c r="C54" i="106"/>
  <c r="EV54" i="106" s="1"/>
  <c r="C70" i="106"/>
  <c r="EV70" i="106" s="1"/>
  <c r="C86" i="106"/>
  <c r="EV86" i="106" s="1"/>
  <c r="C102" i="106"/>
  <c r="EV102" i="106" s="1"/>
  <c r="C118" i="106"/>
  <c r="EV118" i="106" s="1"/>
  <c r="BW130" i="106"/>
  <c r="C22" i="106"/>
  <c r="EV22" i="106" s="1"/>
  <c r="C37" i="106"/>
  <c r="EV37" i="106" s="1"/>
  <c r="CK3" i="106"/>
  <c r="DJ3" i="106" s="1"/>
  <c r="C20" i="106"/>
  <c r="EV20" i="106" s="1"/>
  <c r="C35" i="106"/>
  <c r="EV35" i="106" s="1"/>
  <c r="C51" i="106"/>
  <c r="EV51" i="106" s="1"/>
  <c r="C67" i="106"/>
  <c r="EV67" i="106" s="1"/>
  <c r="C83" i="106"/>
  <c r="EV83" i="106" s="1"/>
  <c r="C99" i="106"/>
  <c r="EV99" i="106" s="1"/>
  <c r="C115" i="106"/>
  <c r="EV115" i="106" s="1"/>
  <c r="CL3" i="106"/>
  <c r="DK3" i="106" s="1"/>
  <c r="CN3" i="106"/>
  <c r="DM3" i="106" s="1"/>
  <c r="BZ3" i="106"/>
  <c r="EU8" i="1"/>
  <c r="EU24" i="1"/>
  <c r="EU40" i="1"/>
  <c r="EU56" i="1"/>
  <c r="EU72" i="1"/>
  <c r="EU88" i="1"/>
  <c r="EU104" i="1"/>
  <c r="EU120" i="1"/>
  <c r="EU11" i="1"/>
  <c r="EU27" i="1"/>
  <c r="EU43" i="1"/>
  <c r="EU59" i="1"/>
  <c r="EU75" i="1"/>
  <c r="EU91" i="1"/>
  <c r="EU107" i="1"/>
  <c r="EU123" i="1"/>
  <c r="EU13" i="1"/>
  <c r="EU29" i="1"/>
  <c r="EU45" i="1"/>
  <c r="EU61" i="1"/>
  <c r="EU77" i="1"/>
  <c r="EU93" i="1"/>
  <c r="EU109" i="1"/>
  <c r="EU132" i="1"/>
  <c r="EU16" i="1"/>
  <c r="EU32" i="1"/>
  <c r="EU48" i="1"/>
  <c r="EU64" i="1"/>
  <c r="EU80" i="1"/>
  <c r="EU96" i="1"/>
  <c r="EU112" i="1"/>
  <c r="EU135" i="1"/>
  <c r="EU21" i="1"/>
  <c r="EU37" i="1"/>
  <c r="EU53" i="1"/>
  <c r="EU69" i="1"/>
  <c r="EU85" i="1"/>
  <c r="EU101" i="1"/>
  <c r="EU117" i="1"/>
  <c r="AM130" i="25"/>
  <c r="BC130" i="25"/>
  <c r="AM132" i="25"/>
  <c r="BC132" i="25"/>
  <c r="AU133" i="25"/>
  <c r="AM134" i="25"/>
  <c r="BC134" i="25"/>
  <c r="AU135" i="25"/>
  <c r="AM136" i="25"/>
  <c r="BC136" i="25"/>
  <c r="AN130" i="25"/>
  <c r="AN132" i="25"/>
  <c r="AF133" i="25"/>
  <c r="AV133" i="25"/>
  <c r="AN134" i="25"/>
  <c r="AF135" i="25"/>
  <c r="AV135" i="25"/>
  <c r="AN136" i="25"/>
  <c r="AO130" i="25"/>
  <c r="AO132" i="25"/>
  <c r="AG133" i="25"/>
  <c r="AW133" i="25"/>
  <c r="AO134" i="25"/>
  <c r="AG135" i="25"/>
  <c r="AW135" i="25"/>
  <c r="AO136" i="25"/>
  <c r="AP130" i="25"/>
  <c r="AP132" i="25"/>
  <c r="AH133" i="25"/>
  <c r="AX133" i="25"/>
  <c r="AP134" i="25"/>
  <c r="AH135" i="25"/>
  <c r="AX135" i="25"/>
  <c r="AP136" i="25"/>
  <c r="AQ130" i="25"/>
  <c r="AQ132" i="25"/>
  <c r="AI133" i="25"/>
  <c r="AY133" i="25"/>
  <c r="AQ134" i="25"/>
  <c r="AI135" i="25"/>
  <c r="AY135" i="25"/>
  <c r="AQ136" i="25"/>
  <c r="CS3" i="1"/>
  <c r="DR3" i="1" s="1"/>
  <c r="AR130" i="25"/>
  <c r="AR132" i="25"/>
  <c r="AJ133" i="25"/>
  <c r="AZ133" i="25"/>
  <c r="AR134" i="25"/>
  <c r="AJ135" i="25"/>
  <c r="AZ135" i="25"/>
  <c r="AR136" i="25"/>
  <c r="AK135" i="25"/>
  <c r="AT130" i="25"/>
  <c r="AT132" i="25"/>
  <c r="AL133" i="25"/>
  <c r="BB133" i="25"/>
  <c r="AT134" i="25"/>
  <c r="AL135" i="25"/>
  <c r="BB135" i="25"/>
  <c r="AT136" i="25"/>
  <c r="AU130" i="25"/>
  <c r="AU132" i="25"/>
  <c r="AM133" i="25"/>
  <c r="BC133" i="25"/>
  <c r="AU134" i="25"/>
  <c r="AM135" i="25"/>
  <c r="BC135" i="25"/>
  <c r="AU136" i="25"/>
  <c r="CD3" i="1"/>
  <c r="DC3" i="1" s="1"/>
  <c r="AF130" i="25"/>
  <c r="AV130" i="25"/>
  <c r="AF132" i="25"/>
  <c r="AV132" i="25"/>
  <c r="AN133" i="25"/>
  <c r="AF134" i="25"/>
  <c r="AV134" i="25"/>
  <c r="AN135" i="25"/>
  <c r="AF136" i="25"/>
  <c r="AV136" i="25"/>
  <c r="BA135" i="25"/>
  <c r="AG130" i="25"/>
  <c r="AW130" i="25"/>
  <c r="AG132" i="25"/>
  <c r="AW132" i="25"/>
  <c r="AO133" i="25"/>
  <c r="AG134" i="25"/>
  <c r="AW134" i="25"/>
  <c r="AO135" i="25"/>
  <c r="AG136" i="25"/>
  <c r="AW136" i="25"/>
  <c r="AH130" i="25"/>
  <c r="AX130" i="25"/>
  <c r="AH132" i="25"/>
  <c r="AX132" i="25"/>
  <c r="AP133" i="25"/>
  <c r="AH134" i="25"/>
  <c r="AX134" i="25"/>
  <c r="AP135" i="25"/>
  <c r="AH136" i="25"/>
  <c r="AX136" i="25"/>
  <c r="AI130" i="25"/>
  <c r="AY130" i="25"/>
  <c r="AI132" i="25"/>
  <c r="AY132" i="25"/>
  <c r="AQ133" i="25"/>
  <c r="AI134" i="25"/>
  <c r="AY134" i="25"/>
  <c r="AQ135" i="25"/>
  <c r="AI136" i="25"/>
  <c r="AY136" i="25"/>
  <c r="AJ130" i="25"/>
  <c r="AZ130" i="25"/>
  <c r="AJ132" i="25"/>
  <c r="AZ132" i="25"/>
  <c r="AR133" i="25"/>
  <c r="AJ134" i="25"/>
  <c r="AZ134" i="25"/>
  <c r="AR135" i="25"/>
  <c r="AJ136" i="25"/>
  <c r="AZ136" i="25"/>
  <c r="AS135" i="25"/>
  <c r="AL130" i="25"/>
  <c r="BB130" i="25"/>
  <c r="AL132" i="25"/>
  <c r="AL134" i="25"/>
  <c r="AL136" i="25"/>
  <c r="CM3" i="1"/>
  <c r="DL3" i="1" s="1"/>
  <c r="CP3" i="1"/>
  <c r="DO3" i="1" s="1"/>
  <c r="BZ3" i="1"/>
  <c r="CI3" i="1"/>
  <c r="DH3" i="1" s="1"/>
  <c r="CN3" i="1"/>
  <c r="DM3" i="1" s="1"/>
  <c r="CO3" i="1"/>
  <c r="DN3" i="1" s="1"/>
  <c r="CH3" i="1"/>
  <c r="DG3" i="1" s="1"/>
  <c r="CE3" i="1"/>
  <c r="DD3" i="1" s="1"/>
  <c r="CQ3" i="1"/>
  <c r="DP3" i="1" s="1"/>
  <c r="CB3" i="1"/>
  <c r="DA3" i="1" s="1"/>
  <c r="CF3" i="1"/>
  <c r="DE3" i="1" s="1"/>
  <c r="CJ3" i="1"/>
  <c r="DI3" i="1" s="1"/>
  <c r="CR3" i="1"/>
  <c r="DQ3" i="1" s="1"/>
  <c r="CA3" i="1"/>
  <c r="CZ3" i="1" s="1"/>
  <c r="CC3" i="1"/>
  <c r="DB3" i="1" s="1"/>
  <c r="CK3" i="1"/>
  <c r="DJ3" i="1" s="1"/>
  <c r="AI148" i="25"/>
  <c r="AI147" i="25"/>
  <c r="AI146" i="25"/>
  <c r="AI145" i="25"/>
  <c r="AI144" i="25"/>
  <c r="AI143" i="25"/>
  <c r="AI142" i="25"/>
  <c r="AI141" i="25"/>
  <c r="AI140" i="25"/>
  <c r="AI139" i="25"/>
  <c r="AI138" i="25"/>
  <c r="AI137" i="25"/>
  <c r="AH148" i="25"/>
  <c r="AH147" i="25"/>
  <c r="AH146" i="25"/>
  <c r="AH145" i="25"/>
  <c r="AH144" i="25"/>
  <c r="AH143" i="25"/>
  <c r="AH142" i="25"/>
  <c r="AH141" i="25"/>
  <c r="AH140" i="25"/>
  <c r="AH139" i="25"/>
  <c r="AH138" i="25"/>
  <c r="AH137" i="25"/>
  <c r="BL6" i="3" l="1"/>
  <c r="BL4" i="3"/>
  <c r="BL3" i="3"/>
  <c r="BK21" i="10" l="1"/>
  <c r="BK20" i="10"/>
  <c r="BK19" i="10"/>
  <c r="BK18" i="10"/>
  <c r="BK17" i="10"/>
  <c r="BK16" i="10"/>
  <c r="BK15" i="10"/>
  <c r="BK14" i="10"/>
  <c r="BK13" i="10"/>
  <c r="BK12" i="10"/>
  <c r="BK11" i="10"/>
  <c r="BK10" i="10"/>
  <c r="BK9" i="10"/>
  <c r="BK8" i="10"/>
  <c r="BK7" i="10"/>
  <c r="BK20" i="11"/>
  <c r="BK19" i="11"/>
  <c r="BK18" i="11"/>
  <c r="BK17" i="11"/>
  <c r="BK16" i="11"/>
  <c r="BK15" i="11"/>
  <c r="BK14" i="11"/>
  <c r="BK13" i="11"/>
  <c r="BK12" i="11"/>
  <c r="BK11" i="11"/>
  <c r="BK10" i="11"/>
  <c r="BK9" i="11"/>
  <c r="BK8" i="11"/>
  <c r="BK7" i="11"/>
  <c r="BK15" i="12"/>
  <c r="BK14" i="12"/>
  <c r="BK13" i="12"/>
  <c r="BK12" i="12"/>
  <c r="BK11" i="12"/>
  <c r="BK10" i="12"/>
  <c r="BK9" i="12"/>
  <c r="BK8" i="12"/>
  <c r="BK7" i="12"/>
  <c r="BK20" i="9"/>
  <c r="BK19" i="9"/>
  <c r="BK18" i="9"/>
  <c r="BK17" i="9"/>
  <c r="BK16" i="9"/>
  <c r="BK15" i="9"/>
  <c r="BK14" i="9"/>
  <c r="BK13" i="9"/>
  <c r="BK12" i="9"/>
  <c r="BK11" i="9"/>
  <c r="BK10" i="9"/>
  <c r="BK9" i="9"/>
  <c r="BK8" i="9"/>
  <c r="BK7" i="9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7" i="4"/>
  <c r="BK21" i="4"/>
  <c r="BK20" i="4"/>
  <c r="BK19" i="4"/>
  <c r="BK18" i="4"/>
  <c r="BK17" i="4"/>
  <c r="BK16" i="4"/>
  <c r="BK15" i="4"/>
  <c r="BK14" i="4"/>
  <c r="BK13" i="4"/>
  <c r="BK12" i="4"/>
  <c r="BK11" i="4"/>
  <c r="BK10" i="4"/>
  <c r="BK9" i="4"/>
  <c r="BK8" i="4"/>
  <c r="BK21" i="5"/>
  <c r="BK20" i="5"/>
  <c r="BK19" i="5"/>
  <c r="BK18" i="5"/>
  <c r="BK17" i="5"/>
  <c r="BK16" i="5"/>
  <c r="BK15" i="5"/>
  <c r="BK14" i="5"/>
  <c r="BK13" i="5"/>
  <c r="BK12" i="5"/>
  <c r="BK11" i="5"/>
  <c r="BK10" i="5"/>
  <c r="BK9" i="5"/>
  <c r="BK8" i="5"/>
  <c r="BK7" i="5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17" i="3"/>
  <c r="BK16" i="3"/>
  <c r="BK15" i="3"/>
  <c r="BK14" i="3"/>
  <c r="BK13" i="3"/>
  <c r="BK12" i="3"/>
  <c r="BK11" i="3"/>
  <c r="BK10" i="3"/>
  <c r="BK9" i="3"/>
  <c r="BK8" i="3"/>
  <c r="BK7" i="3"/>
  <c r="BO128" i="25" l="1"/>
  <c r="BI128" i="25"/>
  <c r="AD128" i="25"/>
  <c r="AC128" i="25"/>
  <c r="AB128" i="25"/>
  <c r="BA128" i="25" s="1"/>
  <c r="AA128" i="25"/>
  <c r="Z128" i="25"/>
  <c r="X128" i="25"/>
  <c r="W128" i="25"/>
  <c r="U128" i="25"/>
  <c r="P128" i="25"/>
  <c r="M128" i="25"/>
  <c r="K128" i="25"/>
  <c r="AK128" i="25" l="1"/>
  <c r="AJ128" i="25"/>
  <c r="AI128" i="25"/>
  <c r="AX128" i="25"/>
  <c r="AH128" i="25"/>
  <c r="AG128" i="25"/>
  <c r="AF128" i="25"/>
  <c r="AU128" i="25"/>
  <c r="AS128" i="25"/>
  <c r="AR128" i="25"/>
  <c r="AQ128" i="25"/>
  <c r="AP128" i="25"/>
  <c r="AN128" i="25"/>
  <c r="AM128" i="25"/>
  <c r="BB128" i="25"/>
  <c r="AL128" i="25"/>
  <c r="AO128" i="25"/>
  <c r="AT128" i="25"/>
  <c r="AV128" i="25"/>
  <c r="AW128" i="25"/>
  <c r="AY128" i="25"/>
  <c r="AZ128" i="25"/>
  <c r="BC128" i="25"/>
  <c r="AE128" i="25"/>
  <c r="AF142" i="25"/>
  <c r="AG142" i="25"/>
  <c r="AJ142" i="25"/>
  <c r="AK142" i="25"/>
  <c r="AL142" i="25"/>
  <c r="AM142" i="25"/>
  <c r="AN142" i="25"/>
  <c r="AO142" i="25"/>
  <c r="AP142" i="25"/>
  <c r="AQ142" i="25"/>
  <c r="AR142" i="25"/>
  <c r="AS142" i="25"/>
  <c r="AT142" i="25"/>
  <c r="AU142" i="25"/>
  <c r="AV142" i="25"/>
  <c r="AW142" i="25"/>
  <c r="AX142" i="25"/>
  <c r="AY142" i="25"/>
  <c r="AZ142" i="25"/>
  <c r="BA142" i="25"/>
  <c r="BB142" i="25"/>
  <c r="BC142" i="25"/>
  <c r="AF145" i="25"/>
  <c r="AG145" i="25"/>
  <c r="AJ145" i="25"/>
  <c r="AK145" i="25"/>
  <c r="AL145" i="25"/>
  <c r="AM145" i="25"/>
  <c r="AN145" i="25"/>
  <c r="AO145" i="25"/>
  <c r="AP145" i="25"/>
  <c r="AQ145" i="25"/>
  <c r="AR145" i="25"/>
  <c r="AS145" i="25"/>
  <c r="AT145" i="25"/>
  <c r="AU145" i="25"/>
  <c r="AV145" i="25"/>
  <c r="AW145" i="25"/>
  <c r="AX145" i="25"/>
  <c r="AY145" i="25"/>
  <c r="AZ145" i="25"/>
  <c r="BA145" i="25"/>
  <c r="BB145" i="25"/>
  <c r="BC145" i="25"/>
  <c r="BD142" i="25" l="1"/>
  <c r="BD145" i="25"/>
  <c r="BT148" i="25"/>
  <c r="BT147" i="25"/>
  <c r="BT146" i="25"/>
  <c r="BT145" i="25"/>
  <c r="BT144" i="25"/>
  <c r="BT143" i="25"/>
  <c r="BT142" i="25"/>
  <c r="BT141" i="25"/>
  <c r="BT140" i="25"/>
  <c r="BT139" i="25"/>
  <c r="BT138" i="25"/>
  <c r="BT137" i="25"/>
  <c r="BT136" i="25"/>
  <c r="BT135" i="25"/>
  <c r="BT134" i="25"/>
  <c r="BT133" i="25"/>
  <c r="BT132" i="25"/>
  <c r="BT131" i="25"/>
  <c r="BT130" i="25"/>
  <c r="BT129" i="25"/>
  <c r="BT128" i="25"/>
  <c r="BT127" i="25"/>
  <c r="BT126" i="25"/>
  <c r="BT125" i="25"/>
  <c r="BT124" i="25"/>
  <c r="BC148" i="25"/>
  <c r="BB148" i="25"/>
  <c r="BA148" i="25"/>
  <c r="AZ148" i="25"/>
  <c r="AY148" i="25"/>
  <c r="AX148" i="25"/>
  <c r="AW148" i="25"/>
  <c r="AV148" i="25"/>
  <c r="AU148" i="25"/>
  <c r="AT148" i="25"/>
  <c r="AS148" i="25"/>
  <c r="AR148" i="25"/>
  <c r="AQ148" i="25"/>
  <c r="AP148" i="25"/>
  <c r="AO148" i="25"/>
  <c r="AN148" i="25"/>
  <c r="AM148" i="25"/>
  <c r="AL148" i="25"/>
  <c r="AK148" i="25"/>
  <c r="AJ148" i="25"/>
  <c r="AG148" i="25"/>
  <c r="AF148" i="25"/>
  <c r="BC147" i="25"/>
  <c r="BB147" i="25"/>
  <c r="BA147" i="25"/>
  <c r="AZ147" i="25"/>
  <c r="AY147" i="25"/>
  <c r="AX147" i="25"/>
  <c r="AW147" i="25"/>
  <c r="AV147" i="25"/>
  <c r="AU147" i="25"/>
  <c r="AT147" i="25"/>
  <c r="AS147" i="25"/>
  <c r="AR147" i="25"/>
  <c r="AQ147" i="25"/>
  <c r="AP147" i="25"/>
  <c r="AO147" i="25"/>
  <c r="AN147" i="25"/>
  <c r="AM147" i="25"/>
  <c r="AL147" i="25"/>
  <c r="AK147" i="25"/>
  <c r="AJ147" i="25"/>
  <c r="AG147" i="25"/>
  <c r="AF147" i="25"/>
  <c r="BC146" i="25"/>
  <c r="BB146" i="25"/>
  <c r="BA146" i="25"/>
  <c r="AZ146" i="25"/>
  <c r="AY146" i="25"/>
  <c r="AX146" i="25"/>
  <c r="AW146" i="25"/>
  <c r="AV146" i="25"/>
  <c r="AU146" i="25"/>
  <c r="AT146" i="25"/>
  <c r="AS146" i="25"/>
  <c r="AR146" i="25"/>
  <c r="AQ146" i="25"/>
  <c r="AP146" i="25"/>
  <c r="AO146" i="25"/>
  <c r="AN146" i="25"/>
  <c r="AM146" i="25"/>
  <c r="AL146" i="25"/>
  <c r="AK146" i="25"/>
  <c r="AJ146" i="25"/>
  <c r="AG146" i="25"/>
  <c r="AF146" i="25"/>
  <c r="BC144" i="25"/>
  <c r="BB144" i="25"/>
  <c r="BA144" i="25"/>
  <c r="AZ144" i="25"/>
  <c r="AY144" i="25"/>
  <c r="AX144" i="25"/>
  <c r="AW144" i="25"/>
  <c r="AV144" i="25"/>
  <c r="AU144" i="25"/>
  <c r="AT144" i="25"/>
  <c r="AS144" i="25"/>
  <c r="AR144" i="25"/>
  <c r="AQ144" i="25"/>
  <c r="AP144" i="25"/>
  <c r="AO144" i="25"/>
  <c r="AN144" i="25"/>
  <c r="AM144" i="25"/>
  <c r="AL144" i="25"/>
  <c r="AK144" i="25"/>
  <c r="AJ144" i="25"/>
  <c r="AG144" i="25"/>
  <c r="AF144" i="25"/>
  <c r="BC143" i="25"/>
  <c r="BB143" i="25"/>
  <c r="BA143" i="25"/>
  <c r="AZ143" i="25"/>
  <c r="AY143" i="25"/>
  <c r="AX143" i="25"/>
  <c r="AW143" i="25"/>
  <c r="AV143" i="25"/>
  <c r="AU143" i="25"/>
  <c r="AT143" i="25"/>
  <c r="AS143" i="25"/>
  <c r="AR143" i="25"/>
  <c r="AQ143" i="25"/>
  <c r="AP143" i="25"/>
  <c r="AO143" i="25"/>
  <c r="AN143" i="25"/>
  <c r="AM143" i="25"/>
  <c r="AL143" i="25"/>
  <c r="AK143" i="25"/>
  <c r="AJ143" i="25"/>
  <c r="AG143" i="25"/>
  <c r="AF143" i="25"/>
  <c r="BC141" i="25"/>
  <c r="BB141" i="25"/>
  <c r="BA141" i="25"/>
  <c r="AZ141" i="25"/>
  <c r="AY141" i="25"/>
  <c r="AX141" i="25"/>
  <c r="AW141" i="25"/>
  <c r="AV141" i="25"/>
  <c r="AU141" i="25"/>
  <c r="AT141" i="25"/>
  <c r="AS141" i="25"/>
  <c r="AR141" i="25"/>
  <c r="AQ141" i="25"/>
  <c r="AP141" i="25"/>
  <c r="AO141" i="25"/>
  <c r="AN141" i="25"/>
  <c r="AM141" i="25"/>
  <c r="AL141" i="25"/>
  <c r="AK141" i="25"/>
  <c r="AJ141" i="25"/>
  <c r="AG141" i="25"/>
  <c r="AF141" i="25"/>
  <c r="BC140" i="25"/>
  <c r="BB140" i="25"/>
  <c r="BA140" i="25"/>
  <c r="AZ140" i="25"/>
  <c r="AY140" i="25"/>
  <c r="AX140" i="25"/>
  <c r="AW140" i="25"/>
  <c r="AV140" i="25"/>
  <c r="AU140" i="25"/>
  <c r="AT140" i="25"/>
  <c r="AS140" i="25"/>
  <c r="AR140" i="25"/>
  <c r="AQ140" i="25"/>
  <c r="AP140" i="25"/>
  <c r="AO140" i="25"/>
  <c r="AN140" i="25"/>
  <c r="AM140" i="25"/>
  <c r="AL140" i="25"/>
  <c r="AK140" i="25"/>
  <c r="AJ140" i="25"/>
  <c r="AG140" i="25"/>
  <c r="AF140" i="25"/>
  <c r="BC139" i="25"/>
  <c r="BB139" i="25"/>
  <c r="BA139" i="25"/>
  <c r="AZ139" i="25"/>
  <c r="AY139" i="25"/>
  <c r="AX139" i="25"/>
  <c r="AW139" i="25"/>
  <c r="AV139" i="25"/>
  <c r="AU139" i="25"/>
  <c r="AT139" i="25"/>
  <c r="AS139" i="25"/>
  <c r="AR139" i="25"/>
  <c r="AQ139" i="25"/>
  <c r="AP139" i="25"/>
  <c r="AO139" i="25"/>
  <c r="AN139" i="25"/>
  <c r="AM139" i="25"/>
  <c r="AL139" i="25"/>
  <c r="AK139" i="25"/>
  <c r="AJ139" i="25"/>
  <c r="AG139" i="25"/>
  <c r="AF139" i="25"/>
  <c r="BC138" i="25"/>
  <c r="BB138" i="25"/>
  <c r="BA138" i="25"/>
  <c r="AZ138" i="25"/>
  <c r="AY138" i="25"/>
  <c r="AX138" i="25"/>
  <c r="AW138" i="25"/>
  <c r="AV138" i="25"/>
  <c r="AU138" i="25"/>
  <c r="AT138" i="25"/>
  <c r="AS138" i="25"/>
  <c r="AR138" i="25"/>
  <c r="AQ138" i="25"/>
  <c r="AP138" i="25"/>
  <c r="AO138" i="25"/>
  <c r="AN138" i="25"/>
  <c r="AM138" i="25"/>
  <c r="AL138" i="25"/>
  <c r="AK138" i="25"/>
  <c r="AJ138" i="25"/>
  <c r="AG138" i="25"/>
  <c r="AF138" i="25"/>
  <c r="BC137" i="25"/>
  <c r="BB137" i="25"/>
  <c r="BA137" i="25"/>
  <c r="AZ137" i="25"/>
  <c r="AY137" i="25"/>
  <c r="AX137" i="25"/>
  <c r="AW137" i="25"/>
  <c r="AV137" i="25"/>
  <c r="AU137" i="25"/>
  <c r="AT137" i="25"/>
  <c r="AS137" i="25"/>
  <c r="AR137" i="25"/>
  <c r="AQ137" i="25"/>
  <c r="AP137" i="25"/>
  <c r="AO137" i="25"/>
  <c r="AN137" i="25"/>
  <c r="AM137" i="25"/>
  <c r="AL137" i="25"/>
  <c r="AK137" i="25"/>
  <c r="AJ137" i="25"/>
  <c r="AG137" i="25"/>
  <c r="AF137" i="25"/>
  <c r="BD125" i="25"/>
  <c r="AE140" i="25"/>
  <c r="AE147" i="25"/>
  <c r="AE146" i="25"/>
  <c r="AE145" i="25"/>
  <c r="AE144" i="25"/>
  <c r="AE143" i="25"/>
  <c r="AE142" i="25"/>
  <c r="AE141" i="25"/>
  <c r="AE139" i="25"/>
  <c r="AE138" i="25"/>
  <c r="BD136" i="25" l="1"/>
  <c r="BD135" i="25"/>
  <c r="BD134" i="25"/>
  <c r="BD133" i="25"/>
  <c r="BD132" i="25"/>
  <c r="BD131" i="25"/>
  <c r="BD124" i="25"/>
  <c r="BD126" i="25"/>
  <c r="BD130" i="25"/>
  <c r="BD129" i="25"/>
  <c r="BD127" i="25"/>
  <c r="BD138" i="25"/>
  <c r="BD139" i="25"/>
  <c r="BD143" i="25"/>
  <c r="BD144" i="25"/>
  <c r="BD146" i="25"/>
  <c r="BD147" i="25"/>
  <c r="BD148" i="25"/>
  <c r="BD137" i="25"/>
  <c r="BD140" i="25"/>
  <c r="BD141" i="25"/>
  <c r="AX3" i="25"/>
  <c r="BD128" i="25" l="1"/>
  <c r="AE135" i="25"/>
  <c r="AE134" i="25"/>
  <c r="AE133" i="25"/>
  <c r="AE132" i="25"/>
  <c r="AE131" i="25"/>
  <c r="AE127" i="25"/>
  <c r="BC123" i="25" l="1"/>
  <c r="BB123" i="25"/>
  <c r="BA123" i="25"/>
  <c r="AZ123" i="25"/>
  <c r="AY123" i="25"/>
  <c r="AX123" i="25"/>
  <c r="AW123" i="25"/>
  <c r="AV123" i="25"/>
  <c r="AU123" i="25"/>
  <c r="AT123" i="25"/>
  <c r="AS123" i="25"/>
  <c r="AR123" i="25"/>
  <c r="AQ123" i="25"/>
  <c r="AP123" i="25"/>
  <c r="AO123" i="25"/>
  <c r="AN123" i="25"/>
  <c r="AM123" i="25"/>
  <c r="AL123" i="25"/>
  <c r="AK123" i="25"/>
  <c r="AJ123" i="25"/>
  <c r="AI123" i="25"/>
  <c r="AH123" i="25"/>
  <c r="AG123" i="25"/>
  <c r="AF123" i="25"/>
  <c r="AE123" i="25"/>
  <c r="BT123" i="25"/>
  <c r="BT122" i="25"/>
  <c r="BT121" i="25"/>
  <c r="BT120" i="25"/>
  <c r="BT119" i="25"/>
  <c r="BT118" i="25"/>
  <c r="BT117" i="25"/>
  <c r="BT116" i="25"/>
  <c r="BT115" i="25"/>
  <c r="BT114" i="25"/>
  <c r="BT113" i="25"/>
  <c r="BT112" i="25"/>
  <c r="BT111" i="25"/>
  <c r="BC122" i="25"/>
  <c r="BB122" i="25"/>
  <c r="BA122" i="25"/>
  <c r="AZ122" i="25"/>
  <c r="AY122" i="25"/>
  <c r="AX122" i="25"/>
  <c r="AW122" i="25"/>
  <c r="AV122" i="25"/>
  <c r="AU122" i="25"/>
  <c r="AT122" i="25"/>
  <c r="AS122" i="25"/>
  <c r="AR122" i="25"/>
  <c r="AQ122" i="25"/>
  <c r="AP122" i="25"/>
  <c r="AO122" i="25"/>
  <c r="AN122" i="25"/>
  <c r="AM122" i="25"/>
  <c r="AL122" i="25"/>
  <c r="AK122" i="25"/>
  <c r="AJ122" i="25"/>
  <c r="AI122" i="25"/>
  <c r="AH122" i="25"/>
  <c r="AG122" i="25"/>
  <c r="AF122" i="25"/>
  <c r="BC121" i="25"/>
  <c r="BB121" i="25"/>
  <c r="BA121" i="25"/>
  <c r="AZ121" i="25"/>
  <c r="AY121" i="25"/>
  <c r="AX121" i="25"/>
  <c r="AW121" i="25"/>
  <c r="AV121" i="25"/>
  <c r="AU121" i="25"/>
  <c r="AT121" i="25"/>
  <c r="AS121" i="25"/>
  <c r="AR121" i="25"/>
  <c r="AQ121" i="25"/>
  <c r="AP121" i="25"/>
  <c r="AO121" i="25"/>
  <c r="AN121" i="25"/>
  <c r="AM121" i="25"/>
  <c r="AL121" i="25"/>
  <c r="AK121" i="25"/>
  <c r="AJ121" i="25"/>
  <c r="AI121" i="25"/>
  <c r="AH121" i="25"/>
  <c r="AG121" i="25"/>
  <c r="AF121" i="25"/>
  <c r="BC120" i="25"/>
  <c r="BB120" i="25"/>
  <c r="BA120" i="25"/>
  <c r="AZ120" i="25"/>
  <c r="AY120" i="25"/>
  <c r="AX120" i="25"/>
  <c r="AW120" i="25"/>
  <c r="AV120" i="25"/>
  <c r="AU120" i="25"/>
  <c r="AT120" i="25"/>
  <c r="AS120" i="25"/>
  <c r="AR120" i="25"/>
  <c r="AQ120" i="25"/>
  <c r="AP120" i="25"/>
  <c r="AO120" i="25"/>
  <c r="AN120" i="25"/>
  <c r="AM120" i="25"/>
  <c r="AL120" i="25"/>
  <c r="AK120" i="25"/>
  <c r="AJ120" i="25"/>
  <c r="AI120" i="25"/>
  <c r="AH120" i="25"/>
  <c r="AG120" i="25"/>
  <c r="AF120" i="25"/>
  <c r="BC119" i="25"/>
  <c r="BB119" i="25"/>
  <c r="BA119" i="25"/>
  <c r="AZ119" i="25"/>
  <c r="AY119" i="25"/>
  <c r="AX119" i="25"/>
  <c r="AW119" i="25"/>
  <c r="AV119" i="25"/>
  <c r="AU119" i="25"/>
  <c r="AT119" i="25"/>
  <c r="AS119" i="25"/>
  <c r="AR119" i="25"/>
  <c r="AQ119" i="25"/>
  <c r="AP119" i="25"/>
  <c r="AO119" i="25"/>
  <c r="AN119" i="25"/>
  <c r="AM119" i="25"/>
  <c r="AL119" i="25"/>
  <c r="AK119" i="25"/>
  <c r="AJ119" i="25"/>
  <c r="AI119" i="25"/>
  <c r="AH119" i="25"/>
  <c r="AG119" i="25"/>
  <c r="AF119" i="25"/>
  <c r="BC118" i="25"/>
  <c r="BB118" i="25"/>
  <c r="BA118" i="25"/>
  <c r="AZ118" i="25"/>
  <c r="AY118" i="25"/>
  <c r="AX118" i="25"/>
  <c r="AW118" i="25"/>
  <c r="AV118" i="25"/>
  <c r="AU118" i="25"/>
  <c r="AT118" i="25"/>
  <c r="AS118" i="25"/>
  <c r="AR118" i="25"/>
  <c r="AQ118" i="25"/>
  <c r="AP118" i="25"/>
  <c r="AO118" i="25"/>
  <c r="AN118" i="25"/>
  <c r="AM118" i="25"/>
  <c r="AL118" i="25"/>
  <c r="AK118" i="25"/>
  <c r="AJ118" i="25"/>
  <c r="AI118" i="25"/>
  <c r="AH118" i="25"/>
  <c r="AG118" i="25"/>
  <c r="AF118" i="25"/>
  <c r="BC117" i="25"/>
  <c r="BB117" i="25"/>
  <c r="BA117" i="25"/>
  <c r="AZ117" i="25"/>
  <c r="AY117" i="25"/>
  <c r="AX117" i="25"/>
  <c r="AW117" i="25"/>
  <c r="AV117" i="25"/>
  <c r="AU117" i="25"/>
  <c r="AT117" i="25"/>
  <c r="AS117" i="25"/>
  <c r="AR117" i="25"/>
  <c r="AQ117" i="25"/>
  <c r="AP117" i="25"/>
  <c r="AO117" i="25"/>
  <c r="AN117" i="25"/>
  <c r="AM117" i="25"/>
  <c r="AL117" i="25"/>
  <c r="AK117" i="25"/>
  <c r="AJ117" i="25"/>
  <c r="AI117" i="25"/>
  <c r="AH117" i="25"/>
  <c r="AG117" i="25"/>
  <c r="AF117" i="25"/>
  <c r="BC116" i="25"/>
  <c r="BB116" i="25"/>
  <c r="BA116" i="25"/>
  <c r="AZ116" i="25"/>
  <c r="AY116" i="25"/>
  <c r="AX116" i="25"/>
  <c r="AW116" i="25"/>
  <c r="AV116" i="25"/>
  <c r="AU116" i="25"/>
  <c r="AT116" i="25"/>
  <c r="AS116" i="25"/>
  <c r="AR116" i="25"/>
  <c r="AQ116" i="25"/>
  <c r="AP116" i="25"/>
  <c r="AO116" i="25"/>
  <c r="AN116" i="25"/>
  <c r="AM116" i="25"/>
  <c r="AL116" i="25"/>
  <c r="AK116" i="25"/>
  <c r="AJ116" i="25"/>
  <c r="AI116" i="25"/>
  <c r="AH116" i="25"/>
  <c r="AG116" i="25"/>
  <c r="AF116" i="25"/>
  <c r="BC115" i="25"/>
  <c r="BB115" i="25"/>
  <c r="BA115" i="25"/>
  <c r="AZ115" i="25"/>
  <c r="AY115" i="25"/>
  <c r="AX115" i="25"/>
  <c r="AW115" i="25"/>
  <c r="AV115" i="25"/>
  <c r="AU115" i="25"/>
  <c r="AT115" i="25"/>
  <c r="AS115" i="25"/>
  <c r="AR115" i="25"/>
  <c r="AQ115" i="25"/>
  <c r="AP115" i="25"/>
  <c r="AO115" i="25"/>
  <c r="AN115" i="25"/>
  <c r="AM115" i="25"/>
  <c r="AL115" i="25"/>
  <c r="AK115" i="25"/>
  <c r="AJ115" i="25"/>
  <c r="AI115" i="25"/>
  <c r="AH115" i="25"/>
  <c r="AG115" i="25"/>
  <c r="AF115" i="25"/>
  <c r="BC114" i="25"/>
  <c r="BB114" i="25"/>
  <c r="BA114" i="25"/>
  <c r="AZ114" i="25"/>
  <c r="AY114" i="25"/>
  <c r="AX114" i="25"/>
  <c r="AW114" i="25"/>
  <c r="AV114" i="25"/>
  <c r="AU114" i="25"/>
  <c r="AT114" i="25"/>
  <c r="AS114" i="25"/>
  <c r="AR114" i="25"/>
  <c r="AQ114" i="25"/>
  <c r="AP114" i="25"/>
  <c r="AO114" i="25"/>
  <c r="AN114" i="25"/>
  <c r="AM114" i="25"/>
  <c r="AL114" i="25"/>
  <c r="AK114" i="25"/>
  <c r="AJ114" i="25"/>
  <c r="AI114" i="25"/>
  <c r="AH114" i="25"/>
  <c r="AG114" i="25"/>
  <c r="AF114" i="25"/>
  <c r="BC113" i="25"/>
  <c r="BB113" i="25"/>
  <c r="BA113" i="25"/>
  <c r="AZ113" i="25"/>
  <c r="AY113" i="25"/>
  <c r="AX113" i="25"/>
  <c r="AW113" i="25"/>
  <c r="AV113" i="25"/>
  <c r="AU113" i="25"/>
  <c r="AT113" i="25"/>
  <c r="AS113" i="25"/>
  <c r="AR113" i="25"/>
  <c r="AQ113" i="25"/>
  <c r="AP113" i="25"/>
  <c r="AO113" i="25"/>
  <c r="AN113" i="25"/>
  <c r="AM113" i="25"/>
  <c r="AL113" i="25"/>
  <c r="AK113" i="25"/>
  <c r="AJ113" i="25"/>
  <c r="AI113" i="25"/>
  <c r="AH113" i="25"/>
  <c r="AG113" i="25"/>
  <c r="AF113" i="25"/>
  <c r="BC112" i="25"/>
  <c r="BB112" i="25"/>
  <c r="BA112" i="25"/>
  <c r="AZ112" i="25"/>
  <c r="AY112" i="25"/>
  <c r="AX112" i="25"/>
  <c r="AW112" i="25"/>
  <c r="AV112" i="25"/>
  <c r="AU112" i="25"/>
  <c r="AT112" i="25"/>
  <c r="AS112" i="25"/>
  <c r="AR112" i="25"/>
  <c r="AQ112" i="25"/>
  <c r="AP112" i="25"/>
  <c r="AO112" i="25"/>
  <c r="AN112" i="25"/>
  <c r="AM112" i="25"/>
  <c r="AL112" i="25"/>
  <c r="AK112" i="25"/>
  <c r="AJ112" i="25"/>
  <c r="AI112" i="25"/>
  <c r="AH112" i="25"/>
  <c r="AG112" i="25"/>
  <c r="AF112" i="25"/>
  <c r="BC111" i="25"/>
  <c r="BB111" i="25"/>
  <c r="BA111" i="25"/>
  <c r="AZ111" i="25"/>
  <c r="AY111" i="25"/>
  <c r="AX111" i="25"/>
  <c r="AW111" i="25"/>
  <c r="AV111" i="25"/>
  <c r="AU111" i="25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BT110" i="25"/>
  <c r="BC110" i="25"/>
  <c r="BB110" i="25"/>
  <c r="BA110" i="25"/>
  <c r="AZ110" i="25"/>
  <c r="AY110" i="25"/>
  <c r="AX110" i="25"/>
  <c r="AW110" i="25"/>
  <c r="AV110" i="25"/>
  <c r="AU110" i="25"/>
  <c r="AT110" i="25"/>
  <c r="AS110" i="25"/>
  <c r="AR110" i="25"/>
  <c r="AQ110" i="25"/>
  <c r="AP110" i="25"/>
  <c r="AO110" i="25"/>
  <c r="AN110" i="25"/>
  <c r="AM110" i="25"/>
  <c r="AL110" i="25"/>
  <c r="AK110" i="25"/>
  <c r="AJ110" i="25"/>
  <c r="AI110" i="25"/>
  <c r="AH110" i="25"/>
  <c r="AG110" i="25"/>
  <c r="AF110" i="25"/>
  <c r="BT109" i="25"/>
  <c r="BT108" i="25"/>
  <c r="BT107" i="25"/>
  <c r="BT106" i="25"/>
  <c r="BT105" i="25"/>
  <c r="BT104" i="25"/>
  <c r="BT103" i="25"/>
  <c r="BC108" i="25"/>
  <c r="BB108" i="25"/>
  <c r="BA108" i="25"/>
  <c r="AZ108" i="25"/>
  <c r="AY108" i="25"/>
  <c r="AX108" i="25"/>
  <c r="AW108" i="25"/>
  <c r="AV108" i="25"/>
  <c r="AU108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BC107" i="25"/>
  <c r="BB107" i="25"/>
  <c r="BA107" i="25"/>
  <c r="AZ107" i="25"/>
  <c r="AY107" i="25"/>
  <c r="AX107" i="25"/>
  <c r="AW107" i="25"/>
  <c r="AV107" i="25"/>
  <c r="AU107" i="25"/>
  <c r="AT107" i="25"/>
  <c r="AS107" i="25"/>
  <c r="AR107" i="25"/>
  <c r="AQ107" i="25"/>
  <c r="AP107" i="25"/>
  <c r="AO107" i="25"/>
  <c r="AN107" i="25"/>
  <c r="AM107" i="25"/>
  <c r="AL107" i="25"/>
  <c r="AK107" i="25"/>
  <c r="AJ107" i="25"/>
  <c r="AI107" i="25"/>
  <c r="AH107" i="25"/>
  <c r="AG107" i="25"/>
  <c r="AF107" i="25"/>
  <c r="BC106" i="25"/>
  <c r="BB106" i="25"/>
  <c r="BA106" i="25"/>
  <c r="AZ106" i="25"/>
  <c r="AY106" i="25"/>
  <c r="AX106" i="25"/>
  <c r="AW106" i="25"/>
  <c r="AV106" i="25"/>
  <c r="AU106" i="25"/>
  <c r="AT106" i="25"/>
  <c r="AS106" i="25"/>
  <c r="AR106" i="25"/>
  <c r="AQ106" i="25"/>
  <c r="AP106" i="25"/>
  <c r="AO106" i="25"/>
  <c r="AN106" i="25"/>
  <c r="AM106" i="25"/>
  <c r="AL106" i="25"/>
  <c r="AK106" i="25"/>
  <c r="AJ106" i="25"/>
  <c r="AI106" i="25"/>
  <c r="AH106" i="25"/>
  <c r="AG106" i="25"/>
  <c r="AF106" i="25"/>
  <c r="BC103" i="25"/>
  <c r="BB103" i="25"/>
  <c r="BA103" i="25"/>
  <c r="AZ103" i="25"/>
  <c r="AY103" i="25"/>
  <c r="AX103" i="25"/>
  <c r="AW103" i="25"/>
  <c r="AV103" i="25"/>
  <c r="AU103" i="25"/>
  <c r="AT103" i="25"/>
  <c r="AS103" i="25"/>
  <c r="AR103" i="25"/>
  <c r="AQ103" i="25"/>
  <c r="AP103" i="25"/>
  <c r="AO103" i="25"/>
  <c r="AN103" i="25"/>
  <c r="AM103" i="25"/>
  <c r="AL103" i="25"/>
  <c r="AK103" i="25"/>
  <c r="AJ103" i="25"/>
  <c r="AI103" i="25"/>
  <c r="AH103" i="25"/>
  <c r="AG103" i="25"/>
  <c r="AF103" i="25"/>
  <c r="O109" i="25"/>
  <c r="BA109" i="25" s="1"/>
  <c r="AF102" i="25"/>
  <c r="AG102" i="25"/>
  <c r="AH102" i="25"/>
  <c r="AI102" i="25"/>
  <c r="AJ102" i="25"/>
  <c r="AK102" i="25"/>
  <c r="AL102" i="25"/>
  <c r="AM102" i="25"/>
  <c r="AN102" i="25"/>
  <c r="AO102" i="25"/>
  <c r="AP102" i="25"/>
  <c r="AQ102" i="25"/>
  <c r="AR102" i="25"/>
  <c r="AS102" i="25"/>
  <c r="AT102" i="25"/>
  <c r="AU102" i="25"/>
  <c r="AV102" i="25"/>
  <c r="AW102" i="25"/>
  <c r="AX102" i="25"/>
  <c r="AY102" i="25"/>
  <c r="AZ102" i="25"/>
  <c r="BA102" i="25"/>
  <c r="BB102" i="25"/>
  <c r="BC102" i="25"/>
  <c r="O105" i="25"/>
  <c r="BA105" i="25" s="1"/>
  <c r="O104" i="25"/>
  <c r="BA104" i="25" s="1"/>
  <c r="AE122" i="25"/>
  <c r="AE156" i="25"/>
  <c r="AE148" i="25"/>
  <c r="AE157" i="25"/>
  <c r="AE149" i="25"/>
  <c r="AE137" i="25"/>
  <c r="AE164" i="25"/>
  <c r="AE136" i="25"/>
  <c r="AE169" i="25"/>
  <c r="AE168" i="25"/>
  <c r="AE167" i="25"/>
  <c r="AE166" i="25"/>
  <c r="AE163" i="25"/>
  <c r="AE162" i="25"/>
  <c r="AE161" i="25"/>
  <c r="AE160" i="25"/>
  <c r="AE159" i="25"/>
  <c r="AE158" i="25"/>
  <c r="AE155" i="25"/>
  <c r="AE154" i="25"/>
  <c r="AE153" i="25"/>
  <c r="AE152" i="25"/>
  <c r="AE151" i="25"/>
  <c r="AE150" i="25"/>
  <c r="AE124" i="25"/>
  <c r="AE121" i="25"/>
  <c r="AE120" i="25"/>
  <c r="AE119" i="25"/>
  <c r="AE118" i="25"/>
  <c r="AE117" i="25"/>
  <c r="AE116" i="25"/>
  <c r="AE115" i="25"/>
  <c r="AE114" i="25"/>
  <c r="AE113" i="25"/>
  <c r="AE112" i="25"/>
  <c r="AE111" i="25"/>
  <c r="AE110" i="25"/>
  <c r="AE109" i="25"/>
  <c r="AE108" i="25"/>
  <c r="AE107" i="25"/>
  <c r="AE106" i="25"/>
  <c r="AE102" i="25"/>
  <c r="AE103" i="25"/>
  <c r="AE101" i="25"/>
  <c r="AF101" i="25"/>
  <c r="AG101" i="25"/>
  <c r="AH101" i="25"/>
  <c r="AI101" i="25"/>
  <c r="AJ101" i="25"/>
  <c r="AK101" i="25"/>
  <c r="AL101" i="25"/>
  <c r="AM101" i="25"/>
  <c r="AN101" i="25"/>
  <c r="AO101" i="25"/>
  <c r="AP101" i="25"/>
  <c r="AQ101" i="25"/>
  <c r="AR101" i="25"/>
  <c r="AS101" i="25"/>
  <c r="AT101" i="25"/>
  <c r="AU101" i="25"/>
  <c r="AV101" i="25"/>
  <c r="AW101" i="25"/>
  <c r="AX101" i="25"/>
  <c r="AY101" i="25"/>
  <c r="AZ101" i="25"/>
  <c r="BA101" i="25"/>
  <c r="BB101" i="25"/>
  <c r="BC101" i="25"/>
  <c r="AE100" i="25"/>
  <c r="AF100" i="25"/>
  <c r="AG100" i="25"/>
  <c r="AH100" i="25"/>
  <c r="AI100" i="25"/>
  <c r="AJ100" i="25"/>
  <c r="AK100" i="25"/>
  <c r="AL100" i="25"/>
  <c r="AM100" i="25"/>
  <c r="AN100" i="25"/>
  <c r="AO100" i="25"/>
  <c r="AP100" i="25"/>
  <c r="AQ100" i="25"/>
  <c r="AR100" i="25"/>
  <c r="AS100" i="25"/>
  <c r="AT100" i="25"/>
  <c r="AU100" i="25"/>
  <c r="AV100" i="25"/>
  <c r="AW100" i="25"/>
  <c r="AX100" i="25"/>
  <c r="AY100" i="25"/>
  <c r="AZ100" i="25"/>
  <c r="BA100" i="25"/>
  <c r="BB100" i="25"/>
  <c r="BC100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AQ99" i="25"/>
  <c r="AR99" i="25"/>
  <c r="AS99" i="25"/>
  <c r="AT99" i="25"/>
  <c r="AU99" i="25"/>
  <c r="AV99" i="25"/>
  <c r="AW99" i="25"/>
  <c r="AX99" i="25"/>
  <c r="AY99" i="25"/>
  <c r="AZ99" i="25"/>
  <c r="BA99" i="25"/>
  <c r="BB99" i="25"/>
  <c r="BC99" i="25"/>
  <c r="AE105" i="25" l="1"/>
  <c r="AT105" i="25"/>
  <c r="AL109" i="25"/>
  <c r="BB109" i="25"/>
  <c r="AH105" i="25"/>
  <c r="AX105" i="25"/>
  <c r="AP109" i="25"/>
  <c r="AL105" i="25"/>
  <c r="BB105" i="25"/>
  <c r="AT109" i="25"/>
  <c r="AP105" i="25"/>
  <c r="AH109" i="25"/>
  <c r="AX109" i="25"/>
  <c r="AL104" i="25"/>
  <c r="AX104" i="25"/>
  <c r="AI104" i="25"/>
  <c r="AM104" i="25"/>
  <c r="AQ104" i="25"/>
  <c r="AU104" i="25"/>
  <c r="AY104" i="25"/>
  <c r="BC104" i="25"/>
  <c r="AI105" i="25"/>
  <c r="AM105" i="25"/>
  <c r="AQ105" i="25"/>
  <c r="AU105" i="25"/>
  <c r="AY105" i="25"/>
  <c r="BC105" i="25"/>
  <c r="AI109" i="25"/>
  <c r="AM109" i="25"/>
  <c r="AQ109" i="25"/>
  <c r="AU109" i="25"/>
  <c r="AY109" i="25"/>
  <c r="BC109" i="25"/>
  <c r="AP104" i="25"/>
  <c r="BB104" i="25"/>
  <c r="AF104" i="25"/>
  <c r="AJ104" i="25"/>
  <c r="AN104" i="25"/>
  <c r="AR104" i="25"/>
  <c r="AV104" i="25"/>
  <c r="AZ104" i="25"/>
  <c r="AF105" i="25"/>
  <c r="AJ105" i="25"/>
  <c r="AN105" i="25"/>
  <c r="AR105" i="25"/>
  <c r="AV105" i="25"/>
  <c r="AZ105" i="25"/>
  <c r="AF109" i="25"/>
  <c r="AJ109" i="25"/>
  <c r="AN109" i="25"/>
  <c r="AR109" i="25"/>
  <c r="AV109" i="25"/>
  <c r="AZ109" i="25"/>
  <c r="AH104" i="25"/>
  <c r="AT104" i="25"/>
  <c r="AE104" i="25"/>
  <c r="AG104" i="25"/>
  <c r="AK104" i="25"/>
  <c r="AO104" i="25"/>
  <c r="AS104" i="25"/>
  <c r="AW104" i="25"/>
  <c r="AG105" i="25"/>
  <c r="AK105" i="25"/>
  <c r="AO105" i="25"/>
  <c r="AS105" i="25"/>
  <c r="AW105" i="25"/>
  <c r="AG109" i="25"/>
  <c r="AK109" i="25"/>
  <c r="AO109" i="25"/>
  <c r="AS109" i="25"/>
  <c r="AW109" i="25"/>
  <c r="BD107" i="25"/>
  <c r="BD103" i="25"/>
  <c r="BD106" i="25"/>
  <c r="BD108" i="25"/>
  <c r="BD110" i="25"/>
  <c r="BD111" i="25"/>
  <c r="BD112" i="25"/>
  <c r="BD113" i="25"/>
  <c r="BD114" i="25"/>
  <c r="BD115" i="25"/>
  <c r="BD116" i="25"/>
  <c r="BD117" i="25"/>
  <c r="BD118" i="25"/>
  <c r="BD119" i="25"/>
  <c r="BD120" i="25"/>
  <c r="BD121" i="25"/>
  <c r="BD123" i="25"/>
  <c r="BD122" i="25"/>
  <c r="BD102" i="25"/>
  <c r="BD101" i="25"/>
  <c r="BD100" i="25"/>
  <c r="BD99" i="25"/>
  <c r="BT102" i="25"/>
  <c r="BT101" i="25"/>
  <c r="BT100" i="25"/>
  <c r="BT99" i="25"/>
  <c r="BT98" i="25"/>
  <c r="BT97" i="25"/>
  <c r="BT96" i="25"/>
  <c r="BT95" i="25"/>
  <c r="BT94" i="25"/>
  <c r="BT93" i="25"/>
  <c r="BT92" i="25"/>
  <c r="BT91" i="25"/>
  <c r="BT90" i="25"/>
  <c r="BT89" i="25"/>
  <c r="BT88" i="25"/>
  <c r="BT87" i="25"/>
  <c r="BT86" i="25"/>
  <c r="BT85" i="25"/>
  <c r="BT84" i="25"/>
  <c r="BT83" i="25"/>
  <c r="BT82" i="25"/>
  <c r="BT81" i="25"/>
  <c r="BT80" i="25"/>
  <c r="BT79" i="25"/>
  <c r="BC98" i="25"/>
  <c r="BB98" i="25"/>
  <c r="BA98" i="25"/>
  <c r="AZ98" i="25"/>
  <c r="AY98" i="25"/>
  <c r="AX98" i="25"/>
  <c r="AW98" i="25"/>
  <c r="AV98" i="25"/>
  <c r="AU98" i="25"/>
  <c r="AT98" i="25"/>
  <c r="AS98" i="25"/>
  <c r="AR98" i="25"/>
  <c r="AQ98" i="25"/>
  <c r="AP98" i="25"/>
  <c r="AO98" i="25"/>
  <c r="AN98" i="25"/>
  <c r="AM98" i="25"/>
  <c r="AL98" i="25"/>
  <c r="AK98" i="25"/>
  <c r="AJ98" i="25"/>
  <c r="AI98" i="25"/>
  <c r="AH98" i="25"/>
  <c r="AG98" i="25"/>
  <c r="AF98" i="25"/>
  <c r="BC97" i="25"/>
  <c r="BB97" i="25"/>
  <c r="BA97" i="25"/>
  <c r="AZ97" i="25"/>
  <c r="AY97" i="25"/>
  <c r="AX97" i="25"/>
  <c r="AW97" i="25"/>
  <c r="AV97" i="25"/>
  <c r="AU97" i="25"/>
  <c r="AT97" i="25"/>
  <c r="AS97" i="25"/>
  <c r="AR97" i="25"/>
  <c r="AQ97" i="25"/>
  <c r="AP97" i="25"/>
  <c r="AO97" i="25"/>
  <c r="AN97" i="25"/>
  <c r="AM97" i="25"/>
  <c r="AL97" i="25"/>
  <c r="AK97" i="25"/>
  <c r="AJ97" i="25"/>
  <c r="AI97" i="25"/>
  <c r="AH97" i="25"/>
  <c r="AG97" i="25"/>
  <c r="AF97" i="25"/>
  <c r="BC96" i="25"/>
  <c r="BB96" i="25"/>
  <c r="BA96" i="25"/>
  <c r="AZ96" i="25"/>
  <c r="AY96" i="25"/>
  <c r="AX96" i="25"/>
  <c r="AW96" i="25"/>
  <c r="AV96" i="25"/>
  <c r="AU96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BC95" i="25"/>
  <c r="BB95" i="25"/>
  <c r="BA95" i="25"/>
  <c r="AZ95" i="25"/>
  <c r="AY95" i="25"/>
  <c r="AX95" i="25"/>
  <c r="AW95" i="25"/>
  <c r="AV95" i="25"/>
  <c r="AU95" i="25"/>
  <c r="AT95" i="25"/>
  <c r="AS95" i="25"/>
  <c r="AR95" i="25"/>
  <c r="AQ95" i="25"/>
  <c r="AP95" i="25"/>
  <c r="AO95" i="25"/>
  <c r="AN95" i="25"/>
  <c r="AM95" i="25"/>
  <c r="AL95" i="25"/>
  <c r="AK95" i="25"/>
  <c r="AJ95" i="25"/>
  <c r="AI95" i="25"/>
  <c r="AH95" i="25"/>
  <c r="AG95" i="25"/>
  <c r="AF95" i="25"/>
  <c r="BC94" i="25"/>
  <c r="BB94" i="25"/>
  <c r="BA94" i="25"/>
  <c r="AZ94" i="25"/>
  <c r="AY94" i="25"/>
  <c r="AX94" i="25"/>
  <c r="AW94" i="25"/>
  <c r="AV94" i="25"/>
  <c r="AU94" i="25"/>
  <c r="AT94" i="25"/>
  <c r="AS94" i="25"/>
  <c r="AR94" i="25"/>
  <c r="AQ94" i="25"/>
  <c r="AP94" i="25"/>
  <c r="AO94" i="25"/>
  <c r="AN94" i="25"/>
  <c r="AM94" i="25"/>
  <c r="AL94" i="25"/>
  <c r="AK94" i="25"/>
  <c r="AJ94" i="25"/>
  <c r="AI94" i="25"/>
  <c r="AH94" i="25"/>
  <c r="AG94" i="25"/>
  <c r="AF94" i="25"/>
  <c r="BC93" i="25"/>
  <c r="BB93" i="25"/>
  <c r="BA93" i="25"/>
  <c r="AZ93" i="25"/>
  <c r="AY93" i="25"/>
  <c r="AX93" i="25"/>
  <c r="AW93" i="25"/>
  <c r="AV93" i="25"/>
  <c r="AU93" i="25"/>
  <c r="AT93" i="25"/>
  <c r="AS93" i="25"/>
  <c r="AR93" i="25"/>
  <c r="AQ93" i="25"/>
  <c r="AP93" i="25"/>
  <c r="AO93" i="25"/>
  <c r="AN93" i="25"/>
  <c r="AM93" i="25"/>
  <c r="AL93" i="25"/>
  <c r="AK93" i="25"/>
  <c r="AJ93" i="25"/>
  <c r="AI93" i="25"/>
  <c r="AH93" i="25"/>
  <c r="AG93" i="25"/>
  <c r="AF93" i="25"/>
  <c r="BC92" i="25"/>
  <c r="BB92" i="25"/>
  <c r="BA92" i="25"/>
  <c r="AZ92" i="25"/>
  <c r="AY92" i="25"/>
  <c r="AX92" i="25"/>
  <c r="AW92" i="25"/>
  <c r="AV92" i="25"/>
  <c r="AU92" i="25"/>
  <c r="AT92" i="25"/>
  <c r="AS92" i="25"/>
  <c r="AR92" i="25"/>
  <c r="AQ92" i="25"/>
  <c r="AP92" i="25"/>
  <c r="AO92" i="25"/>
  <c r="AN92" i="25"/>
  <c r="AM92" i="25"/>
  <c r="AL92" i="25"/>
  <c r="AK92" i="25"/>
  <c r="AJ92" i="25"/>
  <c r="AI92" i="25"/>
  <c r="AH92" i="25"/>
  <c r="AG92" i="25"/>
  <c r="AF92" i="25"/>
  <c r="BC91" i="25"/>
  <c r="BB91" i="25"/>
  <c r="BA91" i="25"/>
  <c r="AZ91" i="25"/>
  <c r="AY91" i="25"/>
  <c r="AX91" i="25"/>
  <c r="AW91" i="25"/>
  <c r="AV91" i="25"/>
  <c r="AU91" i="25"/>
  <c r="AT91" i="25"/>
  <c r="AS91" i="25"/>
  <c r="AR91" i="25"/>
  <c r="AQ91" i="25"/>
  <c r="AP91" i="25"/>
  <c r="AO91" i="25"/>
  <c r="AN91" i="25"/>
  <c r="AM91" i="25"/>
  <c r="AL91" i="25"/>
  <c r="AK91" i="25"/>
  <c r="AJ91" i="25"/>
  <c r="AI91" i="25"/>
  <c r="AH91" i="25"/>
  <c r="AG91" i="25"/>
  <c r="AF91" i="25"/>
  <c r="BC90" i="25"/>
  <c r="BB90" i="25"/>
  <c r="BA90" i="25"/>
  <c r="AZ90" i="25"/>
  <c r="AY90" i="25"/>
  <c r="AX90" i="25"/>
  <c r="AW90" i="25"/>
  <c r="AV90" i="25"/>
  <c r="AU90" i="25"/>
  <c r="AT90" i="25"/>
  <c r="AS90" i="25"/>
  <c r="AR90" i="25"/>
  <c r="AQ90" i="25"/>
  <c r="AP90" i="25"/>
  <c r="AO90" i="25"/>
  <c r="AN90" i="25"/>
  <c r="AM90" i="25"/>
  <c r="AL90" i="25"/>
  <c r="AK90" i="25"/>
  <c r="AJ90" i="25"/>
  <c r="AI90" i="25"/>
  <c r="AH90" i="25"/>
  <c r="AG90" i="25"/>
  <c r="AF90" i="25"/>
  <c r="BC89" i="25"/>
  <c r="BB89" i="25"/>
  <c r="BA89" i="25"/>
  <c r="AZ89" i="25"/>
  <c r="AY89" i="25"/>
  <c r="AX89" i="25"/>
  <c r="AW89" i="25"/>
  <c r="AV89" i="25"/>
  <c r="AU89" i="25"/>
  <c r="AT89" i="25"/>
  <c r="AS89" i="25"/>
  <c r="AR89" i="25"/>
  <c r="AQ89" i="25"/>
  <c r="AP89" i="25"/>
  <c r="AO89" i="25"/>
  <c r="AN89" i="25"/>
  <c r="AM89" i="25"/>
  <c r="AL89" i="25"/>
  <c r="AK89" i="25"/>
  <c r="AJ89" i="25"/>
  <c r="AI89" i="25"/>
  <c r="AH89" i="25"/>
  <c r="AG89" i="25"/>
  <c r="AF89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AE98" i="25"/>
  <c r="AE97" i="25"/>
  <c r="AE96" i="25"/>
  <c r="AE95" i="25"/>
  <c r="AE94" i="25"/>
  <c r="AE93" i="25"/>
  <c r="AE92" i="25"/>
  <c r="AE91" i="25"/>
  <c r="AE90" i="25"/>
  <c r="AE89" i="25"/>
  <c r="AE88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AQ87" i="25"/>
  <c r="AR87" i="25"/>
  <c r="AS87" i="25"/>
  <c r="AT87" i="25"/>
  <c r="AU87" i="25"/>
  <c r="AV87" i="25"/>
  <c r="AW87" i="25"/>
  <c r="AX87" i="25"/>
  <c r="AY87" i="25"/>
  <c r="AZ87" i="25"/>
  <c r="BA87" i="25"/>
  <c r="BB87" i="25"/>
  <c r="BC87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Z86" i="25"/>
  <c r="BA86" i="25"/>
  <c r="BB86" i="25"/>
  <c r="BC86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AQ85" i="25"/>
  <c r="AR85" i="25"/>
  <c r="AS85" i="25"/>
  <c r="AT85" i="25"/>
  <c r="AU85" i="25"/>
  <c r="AV85" i="25"/>
  <c r="AW85" i="25"/>
  <c r="AX85" i="25"/>
  <c r="AY85" i="25"/>
  <c r="AZ85" i="25"/>
  <c r="BA85" i="25"/>
  <c r="BB85" i="25"/>
  <c r="BC85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AQ84" i="25"/>
  <c r="AR84" i="25"/>
  <c r="AS84" i="25"/>
  <c r="AT84" i="25"/>
  <c r="AU84" i="25"/>
  <c r="AV84" i="25"/>
  <c r="AW84" i="25"/>
  <c r="AX84" i="25"/>
  <c r="AY84" i="25"/>
  <c r="AZ84" i="25"/>
  <c r="BA84" i="25"/>
  <c r="BB84" i="25"/>
  <c r="BC84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AZ83" i="25"/>
  <c r="BA83" i="25"/>
  <c r="BB83" i="25"/>
  <c r="BC83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AZ82" i="25"/>
  <c r="BA82" i="25"/>
  <c r="BB82" i="25"/>
  <c r="BC82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AQ79" i="25"/>
  <c r="AR79" i="25"/>
  <c r="AS79" i="25"/>
  <c r="AT79" i="25"/>
  <c r="AU79" i="25"/>
  <c r="AV79" i="25"/>
  <c r="AW79" i="25"/>
  <c r="AX79" i="25"/>
  <c r="AY79" i="25"/>
  <c r="AZ79" i="25"/>
  <c r="BA79" i="25"/>
  <c r="BB79" i="25"/>
  <c r="BC79" i="25"/>
  <c r="BD104" i="25" l="1"/>
  <c r="BD109" i="25"/>
  <c r="BD105" i="25"/>
  <c r="BD95" i="25"/>
  <c r="BD97" i="25"/>
  <c r="BD90" i="25"/>
  <c r="BD92" i="25"/>
  <c r="BD89" i="25"/>
  <c r="BD91" i="25"/>
  <c r="BD93" i="25"/>
  <c r="BD94" i="25"/>
  <c r="BD96" i="25"/>
  <c r="BD98" i="25"/>
  <c r="BD88" i="25"/>
  <c r="BD87" i="25"/>
  <c r="BD86" i="25"/>
  <c r="BD85" i="25"/>
  <c r="BD84" i="25"/>
  <c r="BD83" i="25"/>
  <c r="BD82" i="25"/>
  <c r="BD80" i="25"/>
  <c r="BD79" i="25"/>
  <c r="BD81" i="25"/>
  <c r="BT78" i="25"/>
  <c r="BT77" i="25"/>
  <c r="BT76" i="25"/>
  <c r="BT75" i="25"/>
  <c r="BT74" i="25"/>
  <c r="BT73" i="25"/>
  <c r="BT72" i="25"/>
  <c r="BT71" i="25"/>
  <c r="BT70" i="25"/>
  <c r="BT69" i="25"/>
  <c r="BT68" i="25"/>
  <c r="BT67" i="25"/>
  <c r="BT66" i="25"/>
  <c r="BC78" i="25"/>
  <c r="BB78" i="25"/>
  <c r="BA78" i="25"/>
  <c r="AZ78" i="25"/>
  <c r="AY78" i="25"/>
  <c r="AX78" i="25"/>
  <c r="AW78" i="25"/>
  <c r="AV78" i="25"/>
  <c r="AU78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BC77" i="25"/>
  <c r="BB77" i="25"/>
  <c r="BA77" i="25"/>
  <c r="AZ77" i="25"/>
  <c r="AY77" i="25"/>
  <c r="AX77" i="25"/>
  <c r="AW77" i="25"/>
  <c r="AV77" i="25"/>
  <c r="AU77" i="25"/>
  <c r="AT77" i="25"/>
  <c r="AS77" i="25"/>
  <c r="AR77" i="25"/>
  <c r="AQ77" i="25"/>
  <c r="AP77" i="25"/>
  <c r="AO77" i="25"/>
  <c r="AN77" i="25"/>
  <c r="AM77" i="25"/>
  <c r="AL77" i="25"/>
  <c r="AK77" i="25"/>
  <c r="AJ77" i="25"/>
  <c r="AI77" i="25"/>
  <c r="AH77" i="25"/>
  <c r="AG77" i="25"/>
  <c r="AF77" i="25"/>
  <c r="BC76" i="25"/>
  <c r="BB76" i="25"/>
  <c r="BA76" i="25"/>
  <c r="AZ76" i="25"/>
  <c r="AY76" i="25"/>
  <c r="AX76" i="25"/>
  <c r="AW76" i="25"/>
  <c r="AV76" i="25"/>
  <c r="AU76" i="25"/>
  <c r="AT76" i="25"/>
  <c r="AS76" i="25"/>
  <c r="AR76" i="25"/>
  <c r="AQ76" i="25"/>
  <c r="AP76" i="25"/>
  <c r="AO76" i="25"/>
  <c r="AN76" i="25"/>
  <c r="AM76" i="25"/>
  <c r="AL76" i="25"/>
  <c r="AK76" i="25"/>
  <c r="AJ76" i="25"/>
  <c r="AI76" i="25"/>
  <c r="AH76" i="25"/>
  <c r="AG76" i="25"/>
  <c r="AF76" i="25"/>
  <c r="BC75" i="25"/>
  <c r="BB75" i="25"/>
  <c r="BA75" i="25"/>
  <c r="AZ75" i="25"/>
  <c r="AY75" i="25"/>
  <c r="AX75" i="25"/>
  <c r="AW75" i="25"/>
  <c r="AV75" i="25"/>
  <c r="AU75" i="25"/>
  <c r="AT75" i="25"/>
  <c r="AS75" i="25"/>
  <c r="AR75" i="25"/>
  <c r="AQ75" i="25"/>
  <c r="AP75" i="25"/>
  <c r="AO75" i="25"/>
  <c r="AN75" i="25"/>
  <c r="AM75" i="25"/>
  <c r="AL75" i="25"/>
  <c r="AK75" i="25"/>
  <c r="AJ75" i="25"/>
  <c r="AI75" i="25"/>
  <c r="AH75" i="25"/>
  <c r="AG75" i="25"/>
  <c r="AF75" i="25"/>
  <c r="BC74" i="25"/>
  <c r="BB74" i="25"/>
  <c r="BA74" i="25"/>
  <c r="AZ74" i="25"/>
  <c r="AY74" i="25"/>
  <c r="AX74" i="25"/>
  <c r="AW74" i="25"/>
  <c r="AV74" i="25"/>
  <c r="AU74" i="25"/>
  <c r="AT74" i="25"/>
  <c r="AS74" i="25"/>
  <c r="AR74" i="25"/>
  <c r="AQ74" i="25"/>
  <c r="AP74" i="25"/>
  <c r="AO74" i="25"/>
  <c r="AN74" i="25"/>
  <c r="AM74" i="25"/>
  <c r="AL74" i="25"/>
  <c r="AK74" i="25"/>
  <c r="AJ74" i="25"/>
  <c r="AI74" i="25"/>
  <c r="AH74" i="25"/>
  <c r="AG74" i="25"/>
  <c r="AF74" i="25"/>
  <c r="BC73" i="25"/>
  <c r="BB73" i="25"/>
  <c r="BA73" i="25"/>
  <c r="AZ73" i="25"/>
  <c r="AY73" i="25"/>
  <c r="AX73" i="25"/>
  <c r="AW73" i="25"/>
  <c r="AV73" i="25"/>
  <c r="AU73" i="25"/>
  <c r="AT73" i="25"/>
  <c r="AS73" i="25"/>
  <c r="AR73" i="25"/>
  <c r="AQ73" i="25"/>
  <c r="AP73" i="25"/>
  <c r="AO73" i="25"/>
  <c r="AN73" i="25"/>
  <c r="AM73" i="25"/>
  <c r="AL73" i="25"/>
  <c r="AK73" i="25"/>
  <c r="AJ73" i="25"/>
  <c r="AI73" i="25"/>
  <c r="AH73" i="25"/>
  <c r="AG73" i="25"/>
  <c r="AF73" i="25"/>
  <c r="BC67" i="25"/>
  <c r="BB67" i="25"/>
  <c r="BA67" i="25"/>
  <c r="AZ67" i="25"/>
  <c r="AY67" i="25"/>
  <c r="AX67" i="25"/>
  <c r="AW67" i="25"/>
  <c r="AV67" i="25"/>
  <c r="AU67" i="25"/>
  <c r="AT67" i="25"/>
  <c r="AS67" i="25"/>
  <c r="AR67" i="25"/>
  <c r="AQ67" i="25"/>
  <c r="AP67" i="25"/>
  <c r="AO67" i="25"/>
  <c r="AN67" i="25"/>
  <c r="AM67" i="25"/>
  <c r="AL67" i="25"/>
  <c r="AK67" i="25"/>
  <c r="AJ67" i="25"/>
  <c r="AI67" i="25"/>
  <c r="AH67" i="25"/>
  <c r="AG67" i="25"/>
  <c r="AF67" i="25"/>
  <c r="BC66" i="25"/>
  <c r="BB66" i="25"/>
  <c r="BA66" i="25"/>
  <c r="AZ66" i="25"/>
  <c r="AY66" i="25"/>
  <c r="AX66" i="25"/>
  <c r="AW66" i="25"/>
  <c r="AV66" i="25"/>
  <c r="AU66" i="25"/>
  <c r="AT66" i="25"/>
  <c r="AS66" i="25"/>
  <c r="AR66" i="25"/>
  <c r="AQ66" i="25"/>
  <c r="AP66" i="25"/>
  <c r="AO66" i="25"/>
  <c r="AN66" i="25"/>
  <c r="AM66" i="25"/>
  <c r="AL66" i="25"/>
  <c r="AK66" i="25"/>
  <c r="AJ66" i="25"/>
  <c r="AI66" i="25"/>
  <c r="AH66" i="25"/>
  <c r="AG66" i="25"/>
  <c r="AF66" i="25"/>
  <c r="V72" i="25"/>
  <c r="U72" i="25"/>
  <c r="Q72" i="25"/>
  <c r="N72" i="25"/>
  <c r="G72" i="25"/>
  <c r="F72" i="25"/>
  <c r="E72" i="25"/>
  <c r="V71" i="25"/>
  <c r="U71" i="25"/>
  <c r="Q71" i="25"/>
  <c r="N71" i="25"/>
  <c r="G71" i="25"/>
  <c r="F71" i="25"/>
  <c r="E71" i="25"/>
  <c r="V70" i="25"/>
  <c r="U70" i="25"/>
  <c r="Q70" i="25"/>
  <c r="O70" i="25"/>
  <c r="N70" i="25"/>
  <c r="G70" i="25"/>
  <c r="F70" i="25"/>
  <c r="E70" i="25"/>
  <c r="G68" i="25"/>
  <c r="AE78" i="25"/>
  <c r="AE77" i="25"/>
  <c r="AE76" i="25"/>
  <c r="AE75" i="25"/>
  <c r="AE74" i="25"/>
  <c r="AE73" i="25"/>
  <c r="V69" i="25"/>
  <c r="U69" i="25"/>
  <c r="Q69" i="25"/>
  <c r="O69" i="25"/>
  <c r="N69" i="25"/>
  <c r="G69" i="25"/>
  <c r="F69" i="25"/>
  <c r="E69" i="25"/>
  <c r="V68" i="25"/>
  <c r="U68" i="25"/>
  <c r="Q68" i="25"/>
  <c r="O68" i="25"/>
  <c r="N68" i="25"/>
  <c r="F68" i="25"/>
  <c r="E68" i="25"/>
  <c r="AQ70" i="25" l="1"/>
  <c r="AI71" i="25"/>
  <c r="AQ72" i="25"/>
  <c r="AY71" i="25"/>
  <c r="AN68" i="25"/>
  <c r="AE69" i="25"/>
  <c r="AI69" i="25"/>
  <c r="AU69" i="25"/>
  <c r="AE70" i="25"/>
  <c r="AG71" i="25"/>
  <c r="AG72" i="25"/>
  <c r="AE68" i="25"/>
  <c r="AN70" i="25"/>
  <c r="AE71" i="25"/>
  <c r="BC72" i="25"/>
  <c r="AY69" i="25"/>
  <c r="AN69" i="25"/>
  <c r="AU68" i="25"/>
  <c r="AU70" i="25"/>
  <c r="BC71" i="25"/>
  <c r="AU72" i="25"/>
  <c r="AQ68" i="25"/>
  <c r="AP68" i="25"/>
  <c r="AM69" i="25"/>
  <c r="BC69" i="25"/>
  <c r="AM71" i="25"/>
  <c r="AG68" i="25"/>
  <c r="AT68" i="25"/>
  <c r="BB69" i="25"/>
  <c r="AP69" i="25"/>
  <c r="BB70" i="25"/>
  <c r="AP70" i="25"/>
  <c r="AP71" i="25"/>
  <c r="AP72" i="25"/>
  <c r="AI68" i="25"/>
  <c r="AY68" i="25"/>
  <c r="AQ69" i="25"/>
  <c r="AI70" i="25"/>
  <c r="AY70" i="25"/>
  <c r="AQ71" i="25"/>
  <c r="AI72" i="25"/>
  <c r="AY72" i="25"/>
  <c r="AG69" i="25"/>
  <c r="AT69" i="25"/>
  <c r="BB68" i="25"/>
  <c r="AG70" i="25"/>
  <c r="AT70" i="25"/>
  <c r="BB71" i="25"/>
  <c r="AT71" i="25"/>
  <c r="BB72" i="25"/>
  <c r="AT72" i="25"/>
  <c r="AM68" i="25"/>
  <c r="BC68" i="25"/>
  <c r="AM70" i="25"/>
  <c r="BC70" i="25"/>
  <c r="AU71" i="25"/>
  <c r="AM72" i="25"/>
  <c r="BD66" i="25"/>
  <c r="BD67" i="25"/>
  <c r="AF68" i="25"/>
  <c r="AJ68" i="25"/>
  <c r="AR68" i="25"/>
  <c r="AV68" i="25"/>
  <c r="AZ68" i="25"/>
  <c r="AF69" i="25"/>
  <c r="AJ69" i="25"/>
  <c r="AR69" i="25"/>
  <c r="AV69" i="25"/>
  <c r="AZ69" i="25"/>
  <c r="AF70" i="25"/>
  <c r="AJ70" i="25"/>
  <c r="AR70" i="25"/>
  <c r="AV70" i="25"/>
  <c r="AZ70" i="25"/>
  <c r="AF71" i="25"/>
  <c r="AJ71" i="25"/>
  <c r="AN71" i="25"/>
  <c r="AR71" i="25"/>
  <c r="AV71" i="25"/>
  <c r="AZ71" i="25"/>
  <c r="AF72" i="25"/>
  <c r="AJ72" i="25"/>
  <c r="AN72" i="25"/>
  <c r="AR72" i="25"/>
  <c r="AV72" i="25"/>
  <c r="AZ72" i="25"/>
  <c r="BD73" i="25"/>
  <c r="BD74" i="25"/>
  <c r="BD75" i="25"/>
  <c r="BD76" i="25"/>
  <c r="BD77" i="25"/>
  <c r="BD78" i="25"/>
  <c r="AE72" i="25"/>
  <c r="AK68" i="25"/>
  <c r="AO68" i="25"/>
  <c r="AS68" i="25"/>
  <c r="AW68" i="25"/>
  <c r="BA68" i="25"/>
  <c r="AK69" i="25"/>
  <c r="AO69" i="25"/>
  <c r="AS69" i="25"/>
  <c r="AW69" i="25"/>
  <c r="BA69" i="25"/>
  <c r="AK70" i="25"/>
  <c r="AO70" i="25"/>
  <c r="AS70" i="25"/>
  <c r="AW70" i="25"/>
  <c r="BA70" i="25"/>
  <c r="AK71" i="25"/>
  <c r="AO71" i="25"/>
  <c r="AS71" i="25"/>
  <c r="AW71" i="25"/>
  <c r="BA71" i="25"/>
  <c r="AK72" i="25"/>
  <c r="AO72" i="25"/>
  <c r="AS72" i="25"/>
  <c r="AW72" i="25"/>
  <c r="BA72" i="25"/>
  <c r="AH68" i="25"/>
  <c r="AL68" i="25"/>
  <c r="AX68" i="25"/>
  <c r="AH69" i="25"/>
  <c r="AL69" i="25"/>
  <c r="AX69" i="25"/>
  <c r="AH70" i="25"/>
  <c r="AL70" i="25"/>
  <c r="AX70" i="25"/>
  <c r="AH71" i="25"/>
  <c r="AL71" i="25"/>
  <c r="AX71" i="25"/>
  <c r="AH72" i="25"/>
  <c r="AL72" i="25"/>
  <c r="AX72" i="25"/>
  <c r="AE67" i="25"/>
  <c r="AE66" i="25"/>
  <c r="BD69" i="25" l="1"/>
  <c r="BD68" i="25"/>
  <c r="BD71" i="25"/>
  <c r="BD72" i="25"/>
  <c r="BD70" i="25"/>
  <c r="BT65" i="25"/>
  <c r="BT64" i="25"/>
  <c r="BT63" i="25"/>
  <c r="BT62" i="25"/>
  <c r="BT61" i="25"/>
  <c r="BT60" i="25"/>
  <c r="BT59" i="25"/>
  <c r="BT58" i="25"/>
  <c r="BT57" i="25"/>
  <c r="BT56" i="25"/>
  <c r="BT55" i="25"/>
  <c r="BT54" i="25"/>
  <c r="BT53" i="25"/>
  <c r="BT52" i="25"/>
  <c r="AQ65" i="25"/>
  <c r="AQ64" i="25"/>
  <c r="AQ63" i="25"/>
  <c r="AQ62" i="25"/>
  <c r="AQ61" i="25"/>
  <c r="AQ60" i="25"/>
  <c r="AQ59" i="25"/>
  <c r="AQ58" i="25"/>
  <c r="AQ57" i="25"/>
  <c r="AQ56" i="25"/>
  <c r="AQ55" i="25"/>
  <c r="AQ54" i="25"/>
  <c r="AQ53" i="25"/>
  <c r="AQ52" i="25"/>
  <c r="AP65" i="25"/>
  <c r="AP64" i="25"/>
  <c r="AP63" i="25"/>
  <c r="AP62" i="25"/>
  <c r="AP61" i="25"/>
  <c r="AP60" i="25"/>
  <c r="AP59" i="25"/>
  <c r="AP58" i="25"/>
  <c r="AP57" i="25"/>
  <c r="AP56" i="25"/>
  <c r="AP55" i="25"/>
  <c r="AP54" i="25"/>
  <c r="AP53" i="25"/>
  <c r="AP52" i="25"/>
  <c r="AE65" i="25" l="1"/>
  <c r="AF65" i="25"/>
  <c r="AG65" i="25"/>
  <c r="AH65" i="25"/>
  <c r="AI65" i="25"/>
  <c r="AJ65" i="25"/>
  <c r="AK65" i="25"/>
  <c r="AL65" i="25"/>
  <c r="AM65" i="25"/>
  <c r="AN65" i="25"/>
  <c r="AO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AE64" i="25"/>
  <c r="AF64" i="25"/>
  <c r="AG64" i="25"/>
  <c r="AH64" i="25"/>
  <c r="AI64" i="25"/>
  <c r="AJ64" i="25"/>
  <c r="AK64" i="25"/>
  <c r="AL64" i="25"/>
  <c r="AM64" i="25"/>
  <c r="AN64" i="25"/>
  <c r="AO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AE63" i="25"/>
  <c r="AF63" i="25"/>
  <c r="AG63" i="25"/>
  <c r="AH63" i="25"/>
  <c r="AI63" i="25"/>
  <c r="AJ63" i="25"/>
  <c r="AK63" i="25"/>
  <c r="AL63" i="25"/>
  <c r="AM63" i="25"/>
  <c r="AN63" i="25"/>
  <c r="AO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AE62" i="25"/>
  <c r="AF62" i="25"/>
  <c r="AG62" i="25"/>
  <c r="AH62" i="25"/>
  <c r="AI62" i="25"/>
  <c r="AJ62" i="25"/>
  <c r="AK62" i="25"/>
  <c r="AL62" i="25"/>
  <c r="AM62" i="25"/>
  <c r="AN62" i="25"/>
  <c r="AO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AE61" i="25"/>
  <c r="AF61" i="25"/>
  <c r="AG61" i="25"/>
  <c r="AH61" i="25"/>
  <c r="AI61" i="25"/>
  <c r="AJ61" i="25"/>
  <c r="AK61" i="25"/>
  <c r="AL61" i="25"/>
  <c r="AM61" i="25"/>
  <c r="AN61" i="25"/>
  <c r="AO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AE60" i="25"/>
  <c r="AF60" i="25"/>
  <c r="AG60" i="25"/>
  <c r="AH60" i="25"/>
  <c r="AI60" i="25"/>
  <c r="AJ60" i="25"/>
  <c r="AK60" i="25"/>
  <c r="AL60" i="25"/>
  <c r="AM60" i="25"/>
  <c r="AN60" i="25"/>
  <c r="AO60" i="25"/>
  <c r="AR60" i="25"/>
  <c r="AS60" i="25"/>
  <c r="AT60" i="25"/>
  <c r="AU60" i="25"/>
  <c r="AV60" i="25"/>
  <c r="AW60" i="25"/>
  <c r="AX60" i="25"/>
  <c r="AY60" i="25"/>
  <c r="AZ60" i="25"/>
  <c r="BA60" i="25"/>
  <c r="BB60" i="25"/>
  <c r="BC60" i="25"/>
  <c r="AE59" i="25"/>
  <c r="AF59" i="25"/>
  <c r="AG59" i="25"/>
  <c r="AH59" i="25"/>
  <c r="AI59" i="25"/>
  <c r="AJ59" i="25"/>
  <c r="AK59" i="25"/>
  <c r="AL59" i="25"/>
  <c r="AM59" i="25"/>
  <c r="AN59" i="25"/>
  <c r="AO59" i="25"/>
  <c r="AR59" i="25"/>
  <c r="AS59" i="25"/>
  <c r="AT59" i="25"/>
  <c r="AU59" i="25"/>
  <c r="AV59" i="25"/>
  <c r="AW59" i="25"/>
  <c r="AX59" i="25"/>
  <c r="AY59" i="25"/>
  <c r="AZ59" i="25"/>
  <c r="BA59" i="25"/>
  <c r="BB59" i="25"/>
  <c r="BC59" i="25"/>
  <c r="AE58" i="25"/>
  <c r="AF58" i="25"/>
  <c r="AG58" i="25"/>
  <c r="AH58" i="25"/>
  <c r="AI58" i="25"/>
  <c r="AJ58" i="25"/>
  <c r="AK58" i="25"/>
  <c r="AL58" i="25"/>
  <c r="AM58" i="25"/>
  <c r="AN58" i="25"/>
  <c r="AO58" i="25"/>
  <c r="AR58" i="25"/>
  <c r="AS58" i="25"/>
  <c r="AT58" i="25"/>
  <c r="AU58" i="25"/>
  <c r="AV58" i="25"/>
  <c r="AW58" i="25"/>
  <c r="AX58" i="25"/>
  <c r="AY58" i="25"/>
  <c r="AZ58" i="25"/>
  <c r="BA58" i="25"/>
  <c r="BB58" i="25"/>
  <c r="BC58" i="25"/>
  <c r="AE57" i="25"/>
  <c r="AF57" i="25"/>
  <c r="AG57" i="25"/>
  <c r="AH57" i="25"/>
  <c r="AI57" i="25"/>
  <c r="AJ57" i="25"/>
  <c r="AK57" i="25"/>
  <c r="AL57" i="25"/>
  <c r="AM57" i="25"/>
  <c r="AN57" i="25"/>
  <c r="AO57" i="25"/>
  <c r="AR57" i="25"/>
  <c r="AS57" i="25"/>
  <c r="AT57" i="25"/>
  <c r="AU57" i="25"/>
  <c r="AV57" i="25"/>
  <c r="AW57" i="25"/>
  <c r="AX57" i="25"/>
  <c r="AY57" i="25"/>
  <c r="AZ57" i="25"/>
  <c r="BA57" i="25"/>
  <c r="BB57" i="25"/>
  <c r="BC57" i="25"/>
  <c r="AE56" i="25"/>
  <c r="AF56" i="25"/>
  <c r="AG56" i="25"/>
  <c r="AH56" i="25"/>
  <c r="AI56" i="25"/>
  <c r="AJ56" i="25"/>
  <c r="AK56" i="25"/>
  <c r="AL56" i="25"/>
  <c r="AM56" i="25"/>
  <c r="AN56" i="25"/>
  <c r="AO56" i="25"/>
  <c r="AR56" i="25"/>
  <c r="AS56" i="25"/>
  <c r="AT56" i="25"/>
  <c r="AU56" i="25"/>
  <c r="AV56" i="25"/>
  <c r="AW56" i="25"/>
  <c r="AX56" i="25"/>
  <c r="AY56" i="25"/>
  <c r="AZ56" i="25"/>
  <c r="BA56" i="25"/>
  <c r="BB56" i="25"/>
  <c r="BC56" i="25"/>
  <c r="AE55" i="25"/>
  <c r="AF55" i="25"/>
  <c r="AG55" i="25"/>
  <c r="AH55" i="25"/>
  <c r="AI55" i="25"/>
  <c r="AJ55" i="25"/>
  <c r="AK55" i="25"/>
  <c r="AL55" i="25"/>
  <c r="AM55" i="25"/>
  <c r="AN55" i="25"/>
  <c r="AO55" i="25"/>
  <c r="AR55" i="25"/>
  <c r="AS55" i="25"/>
  <c r="AT55" i="25"/>
  <c r="AU55" i="25"/>
  <c r="AV55" i="25"/>
  <c r="AW55" i="25"/>
  <c r="AX55" i="25"/>
  <c r="AY55" i="25"/>
  <c r="AZ55" i="25"/>
  <c r="BA55" i="25"/>
  <c r="BB55" i="25"/>
  <c r="BC55" i="25"/>
  <c r="AE54" i="25"/>
  <c r="AF54" i="25"/>
  <c r="AG54" i="25"/>
  <c r="AH54" i="25"/>
  <c r="AI54" i="25"/>
  <c r="AJ54" i="25"/>
  <c r="AK54" i="25"/>
  <c r="AL54" i="25"/>
  <c r="AM54" i="25"/>
  <c r="AN54" i="25"/>
  <c r="AO54" i="25"/>
  <c r="AR54" i="25"/>
  <c r="AS54" i="25"/>
  <c r="AT54" i="25"/>
  <c r="AU54" i="25"/>
  <c r="AV54" i="25"/>
  <c r="AW54" i="25"/>
  <c r="AX54" i="25"/>
  <c r="AY54" i="25"/>
  <c r="AZ54" i="25"/>
  <c r="BA54" i="25"/>
  <c r="BB54" i="25"/>
  <c r="BC54" i="25"/>
  <c r="AE53" i="25"/>
  <c r="AF53" i="25"/>
  <c r="AG53" i="25"/>
  <c r="AH53" i="25"/>
  <c r="AI53" i="25"/>
  <c r="AJ53" i="25"/>
  <c r="AK53" i="25"/>
  <c r="AL53" i="25"/>
  <c r="AM53" i="25"/>
  <c r="AN53" i="25"/>
  <c r="AO53" i="25"/>
  <c r="AR53" i="25"/>
  <c r="AS53" i="25"/>
  <c r="AT53" i="25"/>
  <c r="AU53" i="25"/>
  <c r="AV53" i="25"/>
  <c r="AW53" i="25"/>
  <c r="AX53" i="25"/>
  <c r="AY53" i="25"/>
  <c r="AZ53" i="25"/>
  <c r="BA53" i="25"/>
  <c r="BB53" i="25"/>
  <c r="BC53" i="25"/>
  <c r="AE52" i="25"/>
  <c r="AF52" i="25"/>
  <c r="AG52" i="25"/>
  <c r="AH52" i="25"/>
  <c r="AI52" i="25"/>
  <c r="AJ52" i="25"/>
  <c r="AK52" i="25"/>
  <c r="AL52" i="25"/>
  <c r="AM52" i="25"/>
  <c r="AN52" i="25"/>
  <c r="AO52" i="25"/>
  <c r="AR52" i="25"/>
  <c r="AS52" i="25"/>
  <c r="AT52" i="25"/>
  <c r="AU52" i="25"/>
  <c r="AV52" i="25"/>
  <c r="AW52" i="25"/>
  <c r="AX52" i="25"/>
  <c r="AY52" i="25"/>
  <c r="AZ52" i="25"/>
  <c r="BA52" i="25"/>
  <c r="BB52" i="25"/>
  <c r="BC52" i="25"/>
  <c r="BD62" i="25" l="1"/>
  <c r="BD56" i="25"/>
  <c r="BD63" i="25"/>
  <c r="BD58" i="25"/>
  <c r="BD61" i="25"/>
  <c r="BD65" i="25"/>
  <c r="BD59" i="25"/>
  <c r="BD55" i="25"/>
  <c r="BD57" i="25"/>
  <c r="BD60" i="25"/>
  <c r="BD64" i="25"/>
  <c r="BD53" i="25"/>
  <c r="BD54" i="25"/>
  <c r="BD52" i="25"/>
  <c r="BT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BT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BT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BT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BT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BT46" i="25"/>
  <c r="BC46" i="25"/>
  <c r="BB46" i="25"/>
  <c r="BA46" i="25"/>
  <c r="AZ46" i="25"/>
  <c r="AY46" i="25"/>
  <c r="AX46" i="25"/>
  <c r="AW46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BT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BT44" i="25"/>
  <c r="BC44" i="25"/>
  <c r="BB44" i="25"/>
  <c r="BA44" i="25"/>
  <c r="AZ44" i="25"/>
  <c r="AY44" i="25"/>
  <c r="AX44" i="25"/>
  <c r="AW44" i="25"/>
  <c r="AV44" i="25"/>
  <c r="AU44" i="25"/>
  <c r="AT44" i="25"/>
  <c r="AS44" i="25"/>
  <c r="AR44" i="25"/>
  <c r="AQ44" i="25"/>
  <c r="AP44" i="25"/>
  <c r="AO44" i="25"/>
  <c r="AN44" i="25"/>
  <c r="AM44" i="25"/>
  <c r="AL44" i="25"/>
  <c r="AK44" i="25"/>
  <c r="AJ44" i="25"/>
  <c r="AI44" i="25"/>
  <c r="AH44" i="25"/>
  <c r="AG44" i="25"/>
  <c r="AF44" i="25"/>
  <c r="BT43" i="25"/>
  <c r="BC43" i="25"/>
  <c r="BB43" i="25"/>
  <c r="BA43" i="25"/>
  <c r="AZ43" i="25"/>
  <c r="AY43" i="25"/>
  <c r="AX43" i="25"/>
  <c r="AW43" i="25"/>
  <c r="AV43" i="25"/>
  <c r="AU43" i="25"/>
  <c r="AT43" i="25"/>
  <c r="AS43" i="25"/>
  <c r="AR43" i="25"/>
  <c r="AQ43" i="25"/>
  <c r="AP43" i="25"/>
  <c r="AO43" i="25"/>
  <c r="AN43" i="25"/>
  <c r="AM43" i="25"/>
  <c r="AL43" i="25"/>
  <c r="AK43" i="25"/>
  <c r="AJ43" i="25"/>
  <c r="AI43" i="25"/>
  <c r="AH43" i="25"/>
  <c r="AG43" i="25"/>
  <c r="AF43" i="25"/>
  <c r="BT42" i="25"/>
  <c r="BC42" i="25"/>
  <c r="BB42" i="25"/>
  <c r="BA42" i="25"/>
  <c r="AZ42" i="25"/>
  <c r="AY42" i="25"/>
  <c r="AX42" i="25"/>
  <c r="AW42" i="25"/>
  <c r="AV42" i="25"/>
  <c r="AU42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BT41" i="25"/>
  <c r="BC41" i="25"/>
  <c r="BB41" i="25"/>
  <c r="BA41" i="25"/>
  <c r="AZ41" i="25"/>
  <c r="AY41" i="25"/>
  <c r="AX41" i="25"/>
  <c r="AW41" i="25"/>
  <c r="AV41" i="25"/>
  <c r="AU41" i="25"/>
  <c r="AT41" i="25"/>
  <c r="AS41" i="25"/>
  <c r="AR41" i="25"/>
  <c r="AQ41" i="25"/>
  <c r="AP41" i="25"/>
  <c r="AO41" i="25"/>
  <c r="AN41" i="25"/>
  <c r="AM41" i="25"/>
  <c r="AL41" i="25"/>
  <c r="AK41" i="25"/>
  <c r="AJ41" i="25"/>
  <c r="AI41" i="25"/>
  <c r="AH41" i="25"/>
  <c r="AG41" i="25"/>
  <c r="AF41" i="25"/>
  <c r="AE51" i="25"/>
  <c r="AE50" i="25"/>
  <c r="AE49" i="25"/>
  <c r="AE48" i="25"/>
  <c r="AE47" i="25"/>
  <c r="AE46" i="25"/>
  <c r="AE45" i="25"/>
  <c r="AE44" i="25"/>
  <c r="AE43" i="25"/>
  <c r="AE42" i="25"/>
  <c r="BD41" i="25" l="1"/>
  <c r="BD49" i="25"/>
  <c r="BD45" i="25"/>
  <c r="BD44" i="25"/>
  <c r="BD48" i="25"/>
  <c r="BD43" i="25"/>
  <c r="BD47" i="25"/>
  <c r="BD51" i="25"/>
  <c r="BD42" i="25"/>
  <c r="BD46" i="25"/>
  <c r="BD50" i="25"/>
  <c r="BT40" i="25"/>
  <c r="BT39" i="25"/>
  <c r="BT38" i="25"/>
  <c r="BT37" i="25"/>
  <c r="BT36" i="25"/>
  <c r="BT35" i="25"/>
  <c r="BT34" i="25"/>
  <c r="BT33" i="25"/>
  <c r="BT32" i="25"/>
  <c r="BE3" i="25"/>
  <c r="BF3" i="25"/>
  <c r="X2" i="25" l="1"/>
  <c r="AW2" i="25" s="1"/>
  <c r="A31" i="25"/>
  <c r="BT31" i="25" s="1"/>
  <c r="A30" i="25"/>
  <c r="BT30" i="25" s="1"/>
  <c r="A29" i="25"/>
  <c r="BT29" i="25" s="1"/>
  <c r="A28" i="25"/>
  <c r="BT28" i="25" s="1"/>
  <c r="A27" i="25"/>
  <c r="BT27" i="25" s="1"/>
  <c r="A26" i="25"/>
  <c r="BT26" i="25" s="1"/>
  <c r="A25" i="25"/>
  <c r="BT25" i="25" s="1"/>
  <c r="A24" i="25"/>
  <c r="BT24" i="25" s="1"/>
  <c r="A23" i="25"/>
  <c r="BT23" i="25" s="1"/>
  <c r="A22" i="25"/>
  <c r="BT22" i="25" s="1"/>
  <c r="A21" i="25"/>
  <c r="BT21" i="25" s="1"/>
  <c r="A20" i="25"/>
  <c r="BT20" i="25" s="1"/>
  <c r="A19" i="25"/>
  <c r="BT19" i="25" s="1"/>
  <c r="A18" i="25"/>
  <c r="BT18" i="25" s="1"/>
  <c r="A17" i="25"/>
  <c r="BT17" i="25" s="1"/>
  <c r="A16" i="25"/>
  <c r="BT16" i="25" s="1"/>
  <c r="A15" i="25"/>
  <c r="BT15" i="25" s="1"/>
  <c r="A14" i="25"/>
  <c r="BT14" i="25" s="1"/>
  <c r="A13" i="25"/>
  <c r="BT13" i="25" s="1"/>
  <c r="A12" i="25"/>
  <c r="BT12" i="25" s="1"/>
  <c r="A11" i="25"/>
  <c r="BT11" i="25" s="1"/>
  <c r="A10" i="25"/>
  <c r="BT10" i="25" s="1"/>
  <c r="BC40" i="25"/>
  <c r="BC39" i="25"/>
  <c r="BC38" i="25"/>
  <c r="BC37" i="25"/>
  <c r="BC36" i="25"/>
  <c r="BC35" i="25"/>
  <c r="BC34" i="25"/>
  <c r="BC33" i="25"/>
  <c r="BC32" i="25"/>
  <c r="BC31" i="25"/>
  <c r="BC30" i="25"/>
  <c r="BC29" i="25"/>
  <c r="BC28" i="25"/>
  <c r="BC27" i="25"/>
  <c r="BC26" i="25"/>
  <c r="BC25" i="25"/>
  <c r="BC24" i="25"/>
  <c r="BC23" i="25"/>
  <c r="BC22" i="25"/>
  <c r="BC21" i="25"/>
  <c r="BC20" i="25"/>
  <c r="BC19" i="25"/>
  <c r="BC18" i="25"/>
  <c r="BC17" i="25"/>
  <c r="BC16" i="25"/>
  <c r="BC15" i="25"/>
  <c r="BC14" i="25"/>
  <c r="BC13" i="25"/>
  <c r="BC12" i="25"/>
  <c r="BC11" i="25"/>
  <c r="BC10" i="25"/>
  <c r="BC9" i="25"/>
  <c r="BC8" i="25"/>
  <c r="BC1" i="25"/>
  <c r="BC4" i="25" s="1"/>
  <c r="BB31" i="25"/>
  <c r="BA31" i="25"/>
  <c r="AZ31" i="25"/>
  <c r="AY31" i="25"/>
  <c r="AX31" i="25"/>
  <c r="AW31" i="25"/>
  <c r="AV31" i="25"/>
  <c r="AU31" i="25"/>
  <c r="AT31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F31" i="25"/>
  <c r="BB30" i="25"/>
  <c r="BA30" i="25"/>
  <c r="AZ30" i="25"/>
  <c r="AY30" i="25"/>
  <c r="AX30" i="25"/>
  <c r="AW30" i="25"/>
  <c r="AV30" i="25"/>
  <c r="AU30" i="25"/>
  <c r="AT30" i="25"/>
  <c r="AS30" i="25"/>
  <c r="AR30" i="25"/>
  <c r="AQ30" i="25"/>
  <c r="AP30" i="25"/>
  <c r="AO30" i="25"/>
  <c r="AN30" i="25"/>
  <c r="AM30" i="25"/>
  <c r="AL30" i="25"/>
  <c r="AK30" i="25"/>
  <c r="AJ30" i="25"/>
  <c r="AI30" i="25"/>
  <c r="AH30" i="25"/>
  <c r="AG30" i="25"/>
  <c r="AF30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BB28" i="25"/>
  <c r="BA28" i="25"/>
  <c r="AZ28" i="25"/>
  <c r="AY28" i="25"/>
  <c r="AX28" i="25"/>
  <c r="AW28" i="25"/>
  <c r="AV28" i="25"/>
  <c r="AU28" i="25"/>
  <c r="AT28" i="25"/>
  <c r="AS28" i="25"/>
  <c r="AR28" i="25"/>
  <c r="AQ28" i="25"/>
  <c r="AP28" i="25"/>
  <c r="AO28" i="25"/>
  <c r="AN28" i="25"/>
  <c r="AM28" i="25"/>
  <c r="AL28" i="25"/>
  <c r="AK28" i="25"/>
  <c r="AJ28" i="25"/>
  <c r="AI28" i="25"/>
  <c r="AH28" i="25"/>
  <c r="AG28" i="25"/>
  <c r="AF28" i="25"/>
  <c r="BB27" i="25"/>
  <c r="BA27" i="25"/>
  <c r="AZ27" i="25"/>
  <c r="AY27" i="25"/>
  <c r="AX27" i="25"/>
  <c r="AW27" i="25"/>
  <c r="AV27" i="25"/>
  <c r="AU27" i="25"/>
  <c r="AT27" i="25"/>
  <c r="AS27" i="25"/>
  <c r="AR27" i="25"/>
  <c r="AQ27" i="25"/>
  <c r="AP27" i="25"/>
  <c r="AO27" i="25"/>
  <c r="AN27" i="25"/>
  <c r="AM27" i="25"/>
  <c r="AL27" i="25"/>
  <c r="AK27" i="25"/>
  <c r="AJ27" i="25"/>
  <c r="AI27" i="25"/>
  <c r="AH27" i="25"/>
  <c r="AG27" i="25"/>
  <c r="AF27" i="25"/>
  <c r="BB26" i="25"/>
  <c r="BA26" i="25"/>
  <c r="AZ26" i="25"/>
  <c r="AY26" i="25"/>
  <c r="AX26" i="25"/>
  <c r="AW26" i="25"/>
  <c r="AV26" i="25"/>
  <c r="AU26" i="25"/>
  <c r="AT26" i="25"/>
  <c r="AS26" i="25"/>
  <c r="AR26" i="25"/>
  <c r="AQ26" i="25"/>
  <c r="AP26" i="25"/>
  <c r="AO26" i="25"/>
  <c r="AN26" i="25"/>
  <c r="AM26" i="25"/>
  <c r="AL26" i="25"/>
  <c r="AK26" i="25"/>
  <c r="AJ26" i="25"/>
  <c r="AI26" i="25"/>
  <c r="AH26" i="25"/>
  <c r="AG26" i="25"/>
  <c r="AF26" i="25"/>
  <c r="BB25" i="25"/>
  <c r="BA25" i="25"/>
  <c r="AZ25" i="25"/>
  <c r="AY25" i="25"/>
  <c r="AX25" i="25"/>
  <c r="AW25" i="25"/>
  <c r="AV25" i="25"/>
  <c r="AU25" i="25"/>
  <c r="AT25" i="25"/>
  <c r="AS25" i="25"/>
  <c r="AR25" i="25"/>
  <c r="AQ25" i="25"/>
  <c r="AP25" i="25"/>
  <c r="AO25" i="25"/>
  <c r="AN25" i="25"/>
  <c r="AM25" i="25"/>
  <c r="AL25" i="25"/>
  <c r="AK25" i="25"/>
  <c r="AJ25" i="25"/>
  <c r="AI25" i="25"/>
  <c r="AH25" i="25"/>
  <c r="AG25" i="25"/>
  <c r="AF25" i="25"/>
  <c r="BB24" i="25"/>
  <c r="BA24" i="25"/>
  <c r="AZ24" i="25"/>
  <c r="AY24" i="25"/>
  <c r="AX24" i="25"/>
  <c r="AW24" i="25"/>
  <c r="AV24" i="25"/>
  <c r="AU24" i="25"/>
  <c r="AT24" i="25"/>
  <c r="AS24" i="25"/>
  <c r="AR24" i="25"/>
  <c r="AQ24" i="25"/>
  <c r="AP24" i="25"/>
  <c r="AO24" i="25"/>
  <c r="AN24" i="25"/>
  <c r="AM24" i="25"/>
  <c r="AL24" i="25"/>
  <c r="AK24" i="25"/>
  <c r="AJ24" i="25"/>
  <c r="AI24" i="25"/>
  <c r="AH24" i="25"/>
  <c r="AG24" i="25"/>
  <c r="AF24" i="25"/>
  <c r="BB23" i="25"/>
  <c r="BA23" i="25"/>
  <c r="AZ23" i="25"/>
  <c r="AY23" i="25"/>
  <c r="AX23" i="25"/>
  <c r="AW23" i="25"/>
  <c r="AV23" i="25"/>
  <c r="AU23" i="25"/>
  <c r="AT23" i="25"/>
  <c r="AS23" i="25"/>
  <c r="AR23" i="25"/>
  <c r="AQ23" i="25"/>
  <c r="AP23" i="25"/>
  <c r="AO23" i="25"/>
  <c r="AN23" i="25"/>
  <c r="AM23" i="25"/>
  <c r="AL23" i="25"/>
  <c r="AK23" i="25"/>
  <c r="AJ23" i="25"/>
  <c r="AI23" i="25"/>
  <c r="AH23" i="25"/>
  <c r="AG23" i="25"/>
  <c r="AF23" i="25"/>
  <c r="BB22" i="25"/>
  <c r="BA22" i="25"/>
  <c r="AZ22" i="25"/>
  <c r="AY22" i="25"/>
  <c r="AX22" i="25"/>
  <c r="AW22" i="25"/>
  <c r="AV22" i="25"/>
  <c r="AU22" i="25"/>
  <c r="AT22" i="25"/>
  <c r="AS22" i="25"/>
  <c r="AR22" i="25"/>
  <c r="AQ22" i="25"/>
  <c r="AP22" i="25"/>
  <c r="AO22" i="25"/>
  <c r="AN22" i="25"/>
  <c r="AM22" i="25"/>
  <c r="AL22" i="25"/>
  <c r="AK22" i="25"/>
  <c r="AJ22" i="25"/>
  <c r="AI22" i="25"/>
  <c r="AH22" i="25"/>
  <c r="AG22" i="25"/>
  <c r="AF22" i="25"/>
  <c r="BB21" i="25"/>
  <c r="BA21" i="25"/>
  <c r="AZ21" i="25"/>
  <c r="AY21" i="25"/>
  <c r="AX21" i="25"/>
  <c r="AW21" i="25"/>
  <c r="AV21" i="25"/>
  <c r="AU21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F21" i="25"/>
  <c r="BB20" i="25"/>
  <c r="BA20" i="25"/>
  <c r="AZ20" i="25"/>
  <c r="AY20" i="25"/>
  <c r="AX20" i="25"/>
  <c r="AW20" i="25"/>
  <c r="AV20" i="25"/>
  <c r="AU20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F20" i="25"/>
  <c r="BB19" i="25"/>
  <c r="BA19" i="25"/>
  <c r="AZ19" i="25"/>
  <c r="AY19" i="25"/>
  <c r="AX19" i="25"/>
  <c r="AW19" i="25"/>
  <c r="AV19" i="25"/>
  <c r="AU19" i="25"/>
  <c r="AT19" i="25"/>
  <c r="AS19" i="25"/>
  <c r="AR19" i="25"/>
  <c r="AQ19" i="25"/>
  <c r="AP19" i="25"/>
  <c r="AO19" i="25"/>
  <c r="AN19" i="25"/>
  <c r="AM19" i="25"/>
  <c r="AL19" i="25"/>
  <c r="AK19" i="25"/>
  <c r="AJ19" i="25"/>
  <c r="AI19" i="25"/>
  <c r="AH19" i="25"/>
  <c r="AG19" i="25"/>
  <c r="AF19" i="25"/>
  <c r="BB18" i="25"/>
  <c r="BA18" i="25"/>
  <c r="AZ18" i="25"/>
  <c r="AY18" i="25"/>
  <c r="AX18" i="25"/>
  <c r="AW18" i="25"/>
  <c r="AV18" i="25"/>
  <c r="AU18" i="25"/>
  <c r="AT18" i="25"/>
  <c r="AS18" i="25"/>
  <c r="AR18" i="25"/>
  <c r="AQ18" i="25"/>
  <c r="AP18" i="25"/>
  <c r="AO18" i="25"/>
  <c r="AN18" i="25"/>
  <c r="AM18" i="25"/>
  <c r="AL18" i="25"/>
  <c r="AK18" i="25"/>
  <c r="AJ18" i="25"/>
  <c r="AI18" i="25"/>
  <c r="AH18" i="25"/>
  <c r="AG18" i="25"/>
  <c r="AF18" i="25"/>
  <c r="BB17" i="25"/>
  <c r="BA17" i="25"/>
  <c r="AZ17" i="25"/>
  <c r="AY17" i="25"/>
  <c r="AX17" i="25"/>
  <c r="AW17" i="25"/>
  <c r="AV17" i="25"/>
  <c r="AU17" i="25"/>
  <c r="AT17" i="25"/>
  <c r="AS17" i="25"/>
  <c r="AR17" i="25"/>
  <c r="AQ17" i="25"/>
  <c r="AP17" i="25"/>
  <c r="AO17" i="25"/>
  <c r="AN17" i="25"/>
  <c r="AM17" i="25"/>
  <c r="AL17" i="25"/>
  <c r="AK17" i="25"/>
  <c r="AJ17" i="25"/>
  <c r="AI17" i="25"/>
  <c r="AH17" i="25"/>
  <c r="AG17" i="25"/>
  <c r="AF17" i="25"/>
  <c r="BB16" i="25"/>
  <c r="BA16" i="25"/>
  <c r="AZ16" i="25"/>
  <c r="AY16" i="25"/>
  <c r="AX16" i="25"/>
  <c r="AW16" i="25"/>
  <c r="AV16" i="25"/>
  <c r="AU16" i="25"/>
  <c r="AT16" i="25"/>
  <c r="AS16" i="25"/>
  <c r="AR16" i="25"/>
  <c r="AQ16" i="25"/>
  <c r="AP16" i="25"/>
  <c r="AO16" i="25"/>
  <c r="AN16" i="25"/>
  <c r="AM16" i="25"/>
  <c r="AL16" i="25"/>
  <c r="AK16" i="25"/>
  <c r="AJ16" i="25"/>
  <c r="AI16" i="25"/>
  <c r="AH16" i="25"/>
  <c r="AG16" i="25"/>
  <c r="AF16" i="25"/>
  <c r="BB15" i="25"/>
  <c r="BA15" i="25"/>
  <c r="AZ15" i="25"/>
  <c r="AY15" i="25"/>
  <c r="AX15" i="25"/>
  <c r="AW15" i="25"/>
  <c r="AV15" i="25"/>
  <c r="AU15" i="25"/>
  <c r="AT15" i="25"/>
  <c r="AS15" i="25"/>
  <c r="AR15" i="25"/>
  <c r="AQ15" i="25"/>
  <c r="AP15" i="25"/>
  <c r="AO15" i="25"/>
  <c r="AN15" i="25"/>
  <c r="AM15" i="25"/>
  <c r="AL15" i="25"/>
  <c r="AK15" i="25"/>
  <c r="AJ15" i="25"/>
  <c r="AI15" i="25"/>
  <c r="AH15" i="25"/>
  <c r="AG15" i="25"/>
  <c r="AF15" i="25"/>
  <c r="BB14" i="25"/>
  <c r="BA14" i="25"/>
  <c r="AZ14" i="25"/>
  <c r="AY14" i="25"/>
  <c r="AX14" i="25"/>
  <c r="AW14" i="25"/>
  <c r="AV14" i="25"/>
  <c r="AU14" i="25"/>
  <c r="AT14" i="25"/>
  <c r="AS14" i="25"/>
  <c r="AR14" i="25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BB13" i="25"/>
  <c r="BA13" i="25"/>
  <c r="AZ13" i="25"/>
  <c r="AY13" i="25"/>
  <c r="AX13" i="25"/>
  <c r="AW13" i="25"/>
  <c r="AV13" i="25"/>
  <c r="AU13" i="25"/>
  <c r="AT13" i="25"/>
  <c r="AS13" i="25"/>
  <c r="AR13" i="25"/>
  <c r="AQ13" i="25"/>
  <c r="AP13" i="25"/>
  <c r="AO13" i="25"/>
  <c r="AN13" i="25"/>
  <c r="AM13" i="25"/>
  <c r="AL13" i="25"/>
  <c r="AK13" i="25"/>
  <c r="AJ13" i="25"/>
  <c r="AI13" i="25"/>
  <c r="AH13" i="25"/>
  <c r="AG13" i="25"/>
  <c r="AF13" i="25"/>
  <c r="BB12" i="25"/>
  <c r="BA12" i="25"/>
  <c r="AZ12" i="25"/>
  <c r="AY12" i="25"/>
  <c r="AX12" i="25"/>
  <c r="AW12" i="25"/>
  <c r="AV12" i="25"/>
  <c r="AU12" i="25"/>
  <c r="AT12" i="25"/>
  <c r="AS12" i="25"/>
  <c r="AR12" i="25"/>
  <c r="AQ12" i="25"/>
  <c r="AP12" i="25"/>
  <c r="AO12" i="25"/>
  <c r="AN12" i="25"/>
  <c r="AM12" i="25"/>
  <c r="AL12" i="25"/>
  <c r="AK12" i="25"/>
  <c r="AJ12" i="25"/>
  <c r="AI12" i="25"/>
  <c r="AH12" i="25"/>
  <c r="AG12" i="25"/>
  <c r="AF12" i="25"/>
  <c r="BB11" i="25"/>
  <c r="BA11" i="25"/>
  <c r="AZ11" i="25"/>
  <c r="AY11" i="25"/>
  <c r="AX11" i="25"/>
  <c r="AW11" i="25"/>
  <c r="AV11" i="25"/>
  <c r="AU11" i="25"/>
  <c r="AT11" i="25"/>
  <c r="AS11" i="25"/>
  <c r="AR11" i="25"/>
  <c r="AQ11" i="25"/>
  <c r="AP11" i="25"/>
  <c r="AO11" i="25"/>
  <c r="AN11" i="25"/>
  <c r="AM11" i="25"/>
  <c r="AL11" i="25"/>
  <c r="AK11" i="25"/>
  <c r="AJ11" i="25"/>
  <c r="AI11" i="25"/>
  <c r="AH11" i="25"/>
  <c r="AG11" i="25"/>
  <c r="AF11" i="25"/>
  <c r="BB10" i="25"/>
  <c r="BA10" i="25"/>
  <c r="AZ10" i="25"/>
  <c r="AY10" i="25"/>
  <c r="AX10" i="25"/>
  <c r="AW10" i="25"/>
  <c r="AV10" i="25"/>
  <c r="AU10" i="25"/>
  <c r="AT10" i="25"/>
  <c r="AS10" i="25"/>
  <c r="AR10" i="25"/>
  <c r="AQ10" i="25"/>
  <c r="AP10" i="25"/>
  <c r="AO10" i="25"/>
  <c r="AN10" i="25"/>
  <c r="AM10" i="25"/>
  <c r="AL10" i="25"/>
  <c r="AK10" i="25"/>
  <c r="AJ10" i="25"/>
  <c r="AI10" i="25"/>
  <c r="AH10" i="25"/>
  <c r="AG10" i="25"/>
  <c r="AF10" i="25"/>
  <c r="BB9" i="25"/>
  <c r="BA9" i="25"/>
  <c r="AZ9" i="25"/>
  <c r="AY9" i="25"/>
  <c r="AX9" i="25"/>
  <c r="AW9" i="25"/>
  <c r="AV9" i="25"/>
  <c r="AU9" i="25"/>
  <c r="AT9" i="25"/>
  <c r="AS9" i="25"/>
  <c r="AR9" i="25"/>
  <c r="AQ9" i="25"/>
  <c r="AP9" i="25"/>
  <c r="AO9" i="25"/>
  <c r="AN9" i="25"/>
  <c r="AM9" i="25"/>
  <c r="AL9" i="25"/>
  <c r="AK9" i="25"/>
  <c r="AJ9" i="25"/>
  <c r="AI9" i="25"/>
  <c r="AH9" i="25"/>
  <c r="AG9" i="25"/>
  <c r="AF9" i="25"/>
  <c r="AE31" i="25"/>
  <c r="AE30" i="25"/>
  <c r="AE29" i="25"/>
  <c r="AE28" i="25"/>
  <c r="AE27" i="25"/>
  <c r="AE26" i="25"/>
  <c r="AE25" i="25"/>
  <c r="AE24" i="25"/>
  <c r="AE23" i="25"/>
  <c r="AE22" i="25"/>
  <c r="AE21" i="25"/>
  <c r="AE20" i="25"/>
  <c r="AE19" i="25"/>
  <c r="AE18" i="25"/>
  <c r="AE17" i="25"/>
  <c r="AE16" i="25"/>
  <c r="AE15" i="25"/>
  <c r="AE14" i="25"/>
  <c r="AE13" i="25"/>
  <c r="AE12" i="25"/>
  <c r="AE11" i="25"/>
  <c r="AE10" i="25"/>
  <c r="AE9" i="25"/>
  <c r="A8" i="25"/>
  <c r="BT8" i="25" s="1"/>
  <c r="A9" i="25"/>
  <c r="BT9" i="25" s="1"/>
  <c r="BB8" i="25"/>
  <c r="BA8" i="25"/>
  <c r="AZ8" i="25"/>
  <c r="AY8" i="25"/>
  <c r="AX8" i="25"/>
  <c r="AW8" i="25"/>
  <c r="AV8" i="25"/>
  <c r="AU8" i="25"/>
  <c r="AT8" i="25"/>
  <c r="AS8" i="25"/>
  <c r="AR8" i="25"/>
  <c r="AQ8" i="25"/>
  <c r="AP8" i="25"/>
  <c r="AO8" i="25"/>
  <c r="AN8" i="25"/>
  <c r="AM8" i="25"/>
  <c r="AL8" i="25"/>
  <c r="AK8" i="25"/>
  <c r="AJ8" i="25"/>
  <c r="AI8" i="25"/>
  <c r="AH8" i="25"/>
  <c r="AG8" i="25"/>
  <c r="AF8" i="25"/>
  <c r="AE8" i="25"/>
  <c r="AE41" i="25"/>
  <c r="BB40" i="25"/>
  <c r="BA40" i="25"/>
  <c r="AZ40" i="25"/>
  <c r="AY40" i="25"/>
  <c r="AX40" i="25"/>
  <c r="AW40" i="25"/>
  <c r="AV40" i="25"/>
  <c r="AU40" i="25"/>
  <c r="AT40" i="25"/>
  <c r="AS40" i="25"/>
  <c r="AR40" i="25"/>
  <c r="AQ40" i="25"/>
  <c r="AP40" i="25"/>
  <c r="AO40" i="25"/>
  <c r="AN40" i="25"/>
  <c r="AM40" i="25"/>
  <c r="AL40" i="25"/>
  <c r="AK40" i="25"/>
  <c r="AJ40" i="25"/>
  <c r="AI40" i="25"/>
  <c r="AH40" i="25"/>
  <c r="AG40" i="25"/>
  <c r="AF40" i="25"/>
  <c r="BB39" i="25"/>
  <c r="BA39" i="25"/>
  <c r="AZ39" i="25"/>
  <c r="AY39" i="25"/>
  <c r="AX39" i="25"/>
  <c r="AW39" i="25"/>
  <c r="AV39" i="25"/>
  <c r="AU39" i="25"/>
  <c r="AT39" i="25"/>
  <c r="AS39" i="25"/>
  <c r="AR39" i="25"/>
  <c r="AQ39" i="25"/>
  <c r="AP39" i="25"/>
  <c r="AO39" i="25"/>
  <c r="AN39" i="25"/>
  <c r="AM39" i="25"/>
  <c r="AL39" i="25"/>
  <c r="AK39" i="25"/>
  <c r="AJ39" i="25"/>
  <c r="AI39" i="25"/>
  <c r="AH39" i="25"/>
  <c r="AG39" i="25"/>
  <c r="AF39" i="25"/>
  <c r="BB38" i="25"/>
  <c r="BA38" i="25"/>
  <c r="AZ38" i="25"/>
  <c r="AY38" i="25"/>
  <c r="AX38" i="25"/>
  <c r="AW38" i="25"/>
  <c r="AV38" i="25"/>
  <c r="AU38" i="25"/>
  <c r="AT38" i="25"/>
  <c r="AS38" i="25"/>
  <c r="AR38" i="25"/>
  <c r="AQ38" i="25"/>
  <c r="AP38" i="25"/>
  <c r="AO38" i="25"/>
  <c r="AN38" i="25"/>
  <c r="AM38" i="25"/>
  <c r="AL38" i="25"/>
  <c r="AK38" i="25"/>
  <c r="AJ38" i="25"/>
  <c r="AI38" i="25"/>
  <c r="AH38" i="25"/>
  <c r="AG38" i="25"/>
  <c r="AF38" i="25"/>
  <c r="AE40" i="25"/>
  <c r="AE39" i="25"/>
  <c r="BD16" i="25" l="1"/>
  <c r="BD12" i="25"/>
  <c r="BD20" i="25"/>
  <c r="BD11" i="25"/>
  <c r="BD15" i="25"/>
  <c r="BD19" i="25"/>
  <c r="BD23" i="25"/>
  <c r="BD27" i="25"/>
  <c r="BD31" i="25"/>
  <c r="BD14" i="25"/>
  <c r="BD18" i="25"/>
  <c r="BD22" i="25"/>
  <c r="BD26" i="25"/>
  <c r="BD30" i="25"/>
  <c r="BD24" i="25"/>
  <c r="BD28" i="25"/>
  <c r="BD10" i="25"/>
  <c r="BD8" i="25"/>
  <c r="BD9" i="25"/>
  <c r="BD13" i="25"/>
  <c r="BD17" i="25"/>
  <c r="BD21" i="25"/>
  <c r="BD25" i="25"/>
  <c r="BD29" i="25"/>
  <c r="BD40" i="25"/>
  <c r="BD39" i="25"/>
  <c r="BD38" i="25"/>
  <c r="AE38" i="25"/>
  <c r="AE37" i="25"/>
  <c r="AE36" i="25"/>
  <c r="AE35" i="25"/>
  <c r="AE34" i="25"/>
  <c r="AE33" i="25"/>
  <c r="AE32" i="25"/>
  <c r="BB37" i="25"/>
  <c r="BA37" i="25"/>
  <c r="AZ37" i="25"/>
  <c r="AY37" i="25"/>
  <c r="AX37" i="25"/>
  <c r="AW37" i="25"/>
  <c r="AV37" i="25"/>
  <c r="AU37" i="25"/>
  <c r="AT37" i="25"/>
  <c r="AS37" i="25"/>
  <c r="AR37" i="25"/>
  <c r="AQ37" i="25"/>
  <c r="AP37" i="25"/>
  <c r="AO37" i="25"/>
  <c r="AN37" i="25"/>
  <c r="AM37" i="25"/>
  <c r="AL37" i="25"/>
  <c r="AK37" i="25"/>
  <c r="AJ37" i="25"/>
  <c r="AI37" i="25"/>
  <c r="AH37" i="25"/>
  <c r="AG37" i="25"/>
  <c r="AF37" i="25"/>
  <c r="BB36" i="25"/>
  <c r="BA36" i="25"/>
  <c r="AZ36" i="25"/>
  <c r="AY36" i="25"/>
  <c r="AX36" i="25"/>
  <c r="AW36" i="25"/>
  <c r="AV36" i="25"/>
  <c r="AU36" i="25"/>
  <c r="AT36" i="25"/>
  <c r="AS36" i="25"/>
  <c r="AR36" i="25"/>
  <c r="AQ36" i="25"/>
  <c r="AP36" i="25"/>
  <c r="AO36" i="25"/>
  <c r="AN36" i="25"/>
  <c r="AM36" i="25"/>
  <c r="AL36" i="25"/>
  <c r="AK36" i="25"/>
  <c r="AJ36" i="25"/>
  <c r="AI36" i="25"/>
  <c r="AH36" i="25"/>
  <c r="AG36" i="25"/>
  <c r="AF36" i="25"/>
  <c r="BD36" i="25" l="1"/>
  <c r="BD37" i="25"/>
  <c r="BB35" i="25"/>
  <c r="BA35" i="25"/>
  <c r="AZ35" i="25"/>
  <c r="AY35" i="25"/>
  <c r="AX35" i="25"/>
  <c r="AW35" i="25"/>
  <c r="AV35" i="25"/>
  <c r="AU35" i="25"/>
  <c r="AT35" i="25"/>
  <c r="AS35" i="25"/>
  <c r="AR35" i="25"/>
  <c r="AQ35" i="25"/>
  <c r="AP35" i="25"/>
  <c r="AO35" i="25"/>
  <c r="AN35" i="25"/>
  <c r="AM35" i="25"/>
  <c r="AL35" i="25"/>
  <c r="AK35" i="25"/>
  <c r="AJ35" i="25"/>
  <c r="AI35" i="25"/>
  <c r="AH35" i="25"/>
  <c r="AG35" i="25"/>
  <c r="AF35" i="25"/>
  <c r="BB34" i="25"/>
  <c r="BA34" i="25"/>
  <c r="AZ34" i="25"/>
  <c r="AY34" i="25"/>
  <c r="AX34" i="25"/>
  <c r="AW34" i="25"/>
  <c r="AV34" i="25"/>
  <c r="AU34" i="25"/>
  <c r="AT34" i="25"/>
  <c r="AS34" i="25"/>
  <c r="AR34" i="25"/>
  <c r="AQ34" i="25"/>
  <c r="AP34" i="25"/>
  <c r="AO34" i="25"/>
  <c r="AN34" i="25"/>
  <c r="AM34" i="25"/>
  <c r="AL34" i="25"/>
  <c r="AK34" i="25"/>
  <c r="AJ34" i="25"/>
  <c r="AI34" i="25"/>
  <c r="AH34" i="25"/>
  <c r="AG34" i="25"/>
  <c r="AF34" i="25"/>
  <c r="BB33" i="25"/>
  <c r="BA33" i="25"/>
  <c r="AZ33" i="25"/>
  <c r="AY33" i="25"/>
  <c r="AX33" i="25"/>
  <c r="AW33" i="25"/>
  <c r="AV33" i="25"/>
  <c r="AU33" i="25"/>
  <c r="AT33" i="25"/>
  <c r="AS33" i="25"/>
  <c r="AR33" i="25"/>
  <c r="AQ33" i="25"/>
  <c r="AP33" i="25"/>
  <c r="AO33" i="25"/>
  <c r="AN33" i="25"/>
  <c r="AM33" i="25"/>
  <c r="AL33" i="25"/>
  <c r="AK33" i="25"/>
  <c r="AJ33" i="25"/>
  <c r="AI33" i="25"/>
  <c r="AH33" i="25"/>
  <c r="AG33" i="25"/>
  <c r="AF33" i="25"/>
  <c r="BK3" i="25"/>
  <c r="AO32" i="25"/>
  <c r="BD35" i="25" l="1"/>
  <c r="BD34" i="25"/>
  <c r="BD33" i="25"/>
  <c r="AQ32" i="25"/>
  <c r="AP32" i="25"/>
  <c r="BB1" i="25"/>
  <c r="BB4" i="25" s="1"/>
  <c r="BA1" i="25"/>
  <c r="BA4" i="25" s="1"/>
  <c r="AZ1" i="25"/>
  <c r="AZ4" i="25" s="1"/>
  <c r="AY1" i="25"/>
  <c r="AY4" i="25" s="1"/>
  <c r="AX1" i="25"/>
  <c r="AX4" i="25" s="1"/>
  <c r="AW1" i="25"/>
  <c r="AW4" i="25" s="1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AV1" i="25"/>
  <c r="AV4" i="25" s="1"/>
  <c r="AU1" i="25"/>
  <c r="AU4" i="25" s="1"/>
  <c r="AT1" i="25"/>
  <c r="AT4" i="25" s="1"/>
  <c r="AS1" i="25"/>
  <c r="AS4" i="25" s="1"/>
  <c r="AR1" i="25"/>
  <c r="AR4" i="25" s="1"/>
  <c r="AQ1" i="25"/>
  <c r="AQ4" i="25" s="1"/>
  <c r="AP1" i="25"/>
  <c r="AP4" i="25" s="1"/>
  <c r="AO1" i="25"/>
  <c r="AO4" i="25" s="1"/>
  <c r="AN1" i="25"/>
  <c r="AN4" i="25" s="1"/>
  <c r="AM1" i="25"/>
  <c r="AM4" i="25" s="1"/>
  <c r="AL1" i="25"/>
  <c r="AL4" i="25" s="1"/>
  <c r="AK1" i="25"/>
  <c r="AK4" i="25" s="1"/>
  <c r="AJ1" i="25"/>
  <c r="AJ4" i="25" s="1"/>
  <c r="AI1" i="25"/>
  <c r="AI4" i="25" s="1"/>
  <c r="AH1" i="25"/>
  <c r="AH4" i="25" s="1"/>
  <c r="AG1" i="25"/>
  <c r="AG4" i="25" s="1"/>
  <c r="AF1" i="25"/>
  <c r="AF4" i="25" s="1"/>
  <c r="AG32" i="25"/>
  <c r="BB32" i="25" l="1"/>
  <c r="BA32" i="25"/>
  <c r="AZ32" i="25"/>
  <c r="AY32" i="25"/>
  <c r="AX32" i="25"/>
  <c r="AW32" i="25"/>
  <c r="AV32" i="25"/>
  <c r="AU32" i="25"/>
  <c r="AT32" i="25"/>
  <c r="AS32" i="25"/>
  <c r="AR32" i="25"/>
  <c r="AN32" i="25"/>
  <c r="AM32" i="25"/>
  <c r="AL32" i="25"/>
  <c r="AK32" i="25"/>
  <c r="AJ32" i="25"/>
  <c r="AI32" i="25"/>
  <c r="AH32" i="25"/>
  <c r="AF32" i="25"/>
  <c r="BG3" i="25"/>
  <c r="BI3" i="25"/>
  <c r="BJ3" i="25"/>
  <c r="BL3" i="25"/>
  <c r="BM3" i="25"/>
  <c r="BN3" i="25"/>
  <c r="BO3" i="25"/>
  <c r="BP3" i="25"/>
  <c r="BQ3" i="25"/>
  <c r="F2" i="25"/>
  <c r="E2" i="25"/>
  <c r="Y2" i="25" l="1"/>
  <c r="AX2" i="25" s="1"/>
  <c r="Q2" i="25"/>
  <c r="K2" i="25"/>
  <c r="U2" i="25"/>
  <c r="AT2" i="25" s="1"/>
  <c r="V2" i="25"/>
  <c r="AU2" i="25" s="1"/>
  <c r="T2" i="25"/>
  <c r="AS2" i="25" s="1"/>
  <c r="S2" i="25"/>
  <c r="AR2" i="25" s="1"/>
  <c r="L2" i="25"/>
  <c r="AK2" i="25" s="1"/>
  <c r="O2" i="25"/>
  <c r="R2" i="25"/>
  <c r="J2" i="25"/>
  <c r="AI2" i="25" s="1"/>
  <c r="BD32" i="25"/>
  <c r="I2" i="25"/>
  <c r="AH2" i="25" s="1"/>
  <c r="BL138" i="25" s="1"/>
  <c r="AJ2" i="25"/>
  <c r="H2" i="25"/>
  <c r="AG2" i="25" s="1"/>
  <c r="W2" i="25"/>
  <c r="AV2" i="25" s="1"/>
  <c r="G2" i="25"/>
  <c r="AF2" i="25" s="1"/>
  <c r="N2" i="25"/>
  <c r="AM2" i="25" s="1"/>
  <c r="M2" i="25"/>
  <c r="AL2" i="25" s="1"/>
  <c r="BN125" i="25" l="1"/>
  <c r="BL126" i="25"/>
  <c r="BL147" i="25"/>
  <c r="BN124" i="25"/>
  <c r="BL146" i="25"/>
  <c r="BL125" i="25"/>
  <c r="BM145" i="25"/>
  <c r="BL136" i="25"/>
  <c r="BL148" i="25"/>
  <c r="BH145" i="25"/>
  <c r="BH142" i="25"/>
  <c r="BH136" i="25"/>
  <c r="BH135" i="25"/>
  <c r="BH133" i="25"/>
  <c r="BH132" i="25"/>
  <c r="BH131" i="25"/>
  <c r="BH126" i="25"/>
  <c r="BH137" i="25"/>
  <c r="BH141" i="25"/>
  <c r="BH147" i="25"/>
  <c r="BH138" i="25"/>
  <c r="BH143" i="25"/>
  <c r="BH144" i="25"/>
  <c r="BH134" i="25"/>
  <c r="BH124" i="25"/>
  <c r="BH129" i="25"/>
  <c r="BH148" i="25"/>
  <c r="BH125" i="25"/>
  <c r="BH127" i="25"/>
  <c r="BH139" i="25"/>
  <c r="BH146" i="25"/>
  <c r="BH130" i="25"/>
  <c r="BH140" i="25"/>
  <c r="BN132" i="25"/>
  <c r="BN130" i="25"/>
  <c r="BN139" i="25"/>
  <c r="BN137" i="25"/>
  <c r="BM146" i="25"/>
  <c r="BM134" i="25"/>
  <c r="BM131" i="25"/>
  <c r="BM124" i="25"/>
  <c r="BM143" i="25"/>
  <c r="BM148" i="25"/>
  <c r="BN147" i="25"/>
  <c r="BN134" i="25"/>
  <c r="BN136" i="25"/>
  <c r="BN126" i="25"/>
  <c r="BN140" i="25"/>
  <c r="BL139" i="25"/>
  <c r="BL130" i="25"/>
  <c r="BL131" i="25"/>
  <c r="BL140" i="25"/>
  <c r="BL145" i="25"/>
  <c r="BL141" i="25"/>
  <c r="BM127" i="25"/>
  <c r="BM136" i="25"/>
  <c r="BM132" i="25"/>
  <c r="BM147" i="25"/>
  <c r="BM137" i="25"/>
  <c r="BM142" i="25"/>
  <c r="BN135" i="25"/>
  <c r="BN105" i="25"/>
  <c r="BN148" i="25"/>
  <c r="BN131" i="25"/>
  <c r="BN138" i="25"/>
  <c r="BN146" i="25"/>
  <c r="BN144" i="25"/>
  <c r="BN142" i="25"/>
  <c r="BL133" i="25"/>
  <c r="BL132" i="25"/>
  <c r="BL134" i="25"/>
  <c r="BL135" i="25"/>
  <c r="BL124" i="25"/>
  <c r="BL142" i="25"/>
  <c r="BM126" i="25"/>
  <c r="BM140" i="25"/>
  <c r="BM133" i="25"/>
  <c r="BM144" i="25"/>
  <c r="BM138" i="25"/>
  <c r="BN129" i="25"/>
  <c r="BN133" i="25"/>
  <c r="BN127" i="25"/>
  <c r="BN143" i="25"/>
  <c r="BN141" i="25"/>
  <c r="BN145" i="25"/>
  <c r="BL127" i="25"/>
  <c r="BL144" i="25"/>
  <c r="BL143" i="25"/>
  <c r="BL129" i="25"/>
  <c r="BL137" i="25"/>
  <c r="BM139" i="25"/>
  <c r="BM130" i="25"/>
  <c r="BM135" i="25"/>
  <c r="BM141" i="25"/>
  <c r="BM129" i="25"/>
  <c r="BM125" i="25"/>
  <c r="BM22" i="25"/>
  <c r="BM94" i="25"/>
  <c r="BM105" i="25"/>
  <c r="BM35" i="25"/>
  <c r="BM62" i="25"/>
  <c r="BM109" i="25"/>
  <c r="BN98" i="25"/>
  <c r="BN101" i="25"/>
  <c r="BN107" i="25"/>
  <c r="BN120" i="25"/>
  <c r="BN123" i="25"/>
  <c r="BN119" i="25"/>
  <c r="BN108" i="25"/>
  <c r="BN104" i="25"/>
  <c r="BN112" i="25"/>
  <c r="BN122" i="25"/>
  <c r="BN114" i="25"/>
  <c r="BN116" i="25"/>
  <c r="BN99" i="25"/>
  <c r="BN102" i="25"/>
  <c r="BN118" i="25"/>
  <c r="BN113" i="25"/>
  <c r="BN111" i="25"/>
  <c r="BN103" i="25"/>
  <c r="BN121" i="25"/>
  <c r="BN110" i="25"/>
  <c r="BN109" i="25"/>
  <c r="BN117" i="25"/>
  <c r="BN100" i="25"/>
  <c r="BM18" i="25"/>
  <c r="BM69" i="25"/>
  <c r="BM153" i="25"/>
  <c r="BM163" i="25"/>
  <c r="BM157" i="25"/>
  <c r="BM8" i="25"/>
  <c r="BM156" i="25"/>
  <c r="BM37" i="25"/>
  <c r="BM40" i="25"/>
  <c r="BM114" i="25"/>
  <c r="BM108" i="25"/>
  <c r="BM120" i="25"/>
  <c r="BM107" i="25"/>
  <c r="BM104" i="25"/>
  <c r="BM122" i="25"/>
  <c r="BM79" i="25"/>
  <c r="BM82" i="25"/>
  <c r="BM97" i="25"/>
  <c r="BM84" i="25"/>
  <c r="BM87" i="25"/>
  <c r="BM77" i="25"/>
  <c r="BM78" i="25"/>
  <c r="BM68" i="25"/>
  <c r="BM52" i="25"/>
  <c r="BM64" i="25"/>
  <c r="BM63" i="25"/>
  <c r="BM56" i="25"/>
  <c r="BM42" i="25"/>
  <c r="BM46" i="25"/>
  <c r="BM38" i="25"/>
  <c r="BM10" i="25"/>
  <c r="BM9" i="25"/>
  <c r="BM15" i="25"/>
  <c r="BM25" i="25"/>
  <c r="BM29" i="25"/>
  <c r="BM19" i="25"/>
  <c r="BM151" i="25"/>
  <c r="BM32" i="25"/>
  <c r="BM161" i="25"/>
  <c r="BM150" i="25"/>
  <c r="BM160" i="25"/>
  <c r="BM154" i="25"/>
  <c r="BM101" i="25"/>
  <c r="BM119" i="25"/>
  <c r="BM99" i="25"/>
  <c r="BM121" i="25"/>
  <c r="BM123" i="25"/>
  <c r="BM118" i="25"/>
  <c r="BM102" i="25"/>
  <c r="BM83" i="25"/>
  <c r="BM89" i="25"/>
  <c r="BM85" i="25"/>
  <c r="BM91" i="25"/>
  <c r="BM80" i="25"/>
  <c r="BM67" i="25"/>
  <c r="BM76" i="25"/>
  <c r="BM72" i="25"/>
  <c r="BM57" i="25"/>
  <c r="BM55" i="25"/>
  <c r="BM54" i="25"/>
  <c r="BM49" i="25"/>
  <c r="BM47" i="25"/>
  <c r="BM45" i="25"/>
  <c r="BM12" i="25"/>
  <c r="BM14" i="25"/>
  <c r="BM17" i="25"/>
  <c r="BM27" i="25"/>
  <c r="BM23" i="25"/>
  <c r="BM26" i="25"/>
  <c r="BM155" i="25"/>
  <c r="BM36" i="25"/>
  <c r="BM34" i="25"/>
  <c r="BM162" i="25"/>
  <c r="BM164" i="25"/>
  <c r="BM158" i="25"/>
  <c r="BM112" i="25"/>
  <c r="BM100" i="25"/>
  <c r="BM110" i="25"/>
  <c r="BM103" i="25"/>
  <c r="BM116" i="25"/>
  <c r="BM111" i="25"/>
  <c r="BM92" i="25"/>
  <c r="BM90" i="25"/>
  <c r="BM93" i="25"/>
  <c r="BM88" i="25"/>
  <c r="BM81" i="25"/>
  <c r="BM66" i="25"/>
  <c r="BM75" i="25"/>
  <c r="BM71" i="25"/>
  <c r="BM70" i="25"/>
  <c r="BM53" i="25"/>
  <c r="BM59" i="25"/>
  <c r="BM60" i="25"/>
  <c r="BM50" i="25"/>
  <c r="BM51" i="25"/>
  <c r="BM43" i="25"/>
  <c r="BM28" i="25"/>
  <c r="BM30" i="25"/>
  <c r="BM21" i="25"/>
  <c r="BM31" i="25"/>
  <c r="BM20" i="25"/>
  <c r="BM13" i="25"/>
  <c r="BM48" i="25"/>
  <c r="BM95" i="25"/>
  <c r="BM113" i="25"/>
  <c r="BM11" i="25"/>
  <c r="BM41" i="25"/>
  <c r="BM61" i="25"/>
  <c r="BM73" i="25"/>
  <c r="BM98" i="25"/>
  <c r="BM106" i="25"/>
  <c r="BM152" i="25"/>
  <c r="BM149" i="25"/>
  <c r="BN106" i="25"/>
  <c r="BM65" i="25"/>
  <c r="BM115" i="25"/>
  <c r="BM159" i="25"/>
  <c r="BL88" i="25"/>
  <c r="BL123" i="25"/>
  <c r="BL103" i="25"/>
  <c r="BL119" i="25"/>
  <c r="BL116" i="25"/>
  <c r="BL111" i="25"/>
  <c r="BL100" i="25"/>
  <c r="BL122" i="25"/>
  <c r="BL108" i="25"/>
  <c r="BL121" i="25"/>
  <c r="BL109" i="25"/>
  <c r="BL106" i="25"/>
  <c r="BL99" i="25"/>
  <c r="BL120" i="25"/>
  <c r="BL114" i="25"/>
  <c r="BL112" i="25"/>
  <c r="BL113" i="25"/>
  <c r="BL118" i="25"/>
  <c r="BL107" i="25"/>
  <c r="BL104" i="25"/>
  <c r="BL101" i="25"/>
  <c r="BL105" i="25"/>
  <c r="BL117" i="25"/>
  <c r="BL115" i="25"/>
  <c r="BL110" i="25"/>
  <c r="BL102" i="25"/>
  <c r="BM39" i="25"/>
  <c r="BM74" i="25"/>
  <c r="BM33" i="25"/>
  <c r="BM16" i="25"/>
  <c r="BM24" i="25"/>
  <c r="BM44" i="25"/>
  <c r="BM58" i="25"/>
  <c r="BM86" i="25"/>
  <c r="BM96" i="25"/>
  <c r="BM117" i="25"/>
  <c r="BN115" i="25"/>
  <c r="BH115" i="25"/>
  <c r="BH120" i="25"/>
  <c r="BH104" i="25"/>
  <c r="BH103" i="25"/>
  <c r="BH102" i="25"/>
  <c r="BH101" i="25"/>
  <c r="BH106" i="25"/>
  <c r="BH112" i="25"/>
  <c r="BH117" i="25"/>
  <c r="BH121" i="25"/>
  <c r="BH111" i="25"/>
  <c r="BH108" i="25"/>
  <c r="BH100" i="25"/>
  <c r="BH110" i="25"/>
  <c r="BH118" i="25"/>
  <c r="BH114" i="25"/>
  <c r="BH122" i="25"/>
  <c r="BH119" i="25"/>
  <c r="BH116" i="25"/>
  <c r="BH107" i="25"/>
  <c r="BH113" i="25"/>
  <c r="BH123" i="25"/>
  <c r="BH99" i="25"/>
  <c r="BH105" i="25"/>
  <c r="BH109" i="25"/>
  <c r="BN32" i="25"/>
  <c r="BN51" i="25"/>
  <c r="BN70" i="25"/>
  <c r="BN90" i="25"/>
  <c r="BN31" i="25"/>
  <c r="BL39" i="25"/>
  <c r="BL26" i="25"/>
  <c r="BL53" i="25"/>
  <c r="BL59" i="25"/>
  <c r="BL67" i="25"/>
  <c r="BL80" i="25"/>
  <c r="BL89" i="25"/>
  <c r="BL34" i="25"/>
  <c r="BL36" i="25"/>
  <c r="BL22" i="25"/>
  <c r="BL25" i="25"/>
  <c r="BL42" i="25"/>
  <c r="BL43" i="25"/>
  <c r="BL47" i="25"/>
  <c r="BL41" i="25"/>
  <c r="BL56" i="25"/>
  <c r="BL54" i="25"/>
  <c r="BL55" i="25"/>
  <c r="BL70" i="25"/>
  <c r="BL84" i="25"/>
  <c r="BL93" i="25"/>
  <c r="BL78" i="25"/>
  <c r="BL90" i="25"/>
  <c r="BL81" i="25"/>
  <c r="BL82" i="25"/>
  <c r="BL77" i="25"/>
  <c r="BL91" i="25"/>
  <c r="BN35" i="25"/>
  <c r="BN50" i="25"/>
  <c r="BN60" i="25"/>
  <c r="BN72" i="25"/>
  <c r="BL51" i="25"/>
  <c r="BL45" i="25"/>
  <c r="BL52" i="25"/>
  <c r="BL97" i="25"/>
  <c r="BL75" i="25"/>
  <c r="BN85" i="25"/>
  <c r="BN79" i="25"/>
  <c r="BN87" i="25"/>
  <c r="BN95" i="25"/>
  <c r="BN94" i="25"/>
  <c r="BN77" i="25"/>
  <c r="BN68" i="25"/>
  <c r="BN67" i="25"/>
  <c r="BN69" i="25"/>
  <c r="BN54" i="25"/>
  <c r="BN63" i="25"/>
  <c r="BN56" i="25"/>
  <c r="BN49" i="25"/>
  <c r="BN48" i="25"/>
  <c r="BN26" i="25"/>
  <c r="BN28" i="25"/>
  <c r="BN27" i="25"/>
  <c r="BN40" i="25"/>
  <c r="BN37" i="25"/>
  <c r="BN81" i="25"/>
  <c r="BN83" i="25"/>
  <c r="BN73" i="25"/>
  <c r="BN78" i="25"/>
  <c r="BN97" i="25"/>
  <c r="BN76" i="25"/>
  <c r="BN74" i="25"/>
  <c r="BN66" i="25"/>
  <c r="BN59" i="25"/>
  <c r="BN65" i="25"/>
  <c r="BN62" i="25"/>
  <c r="BN53" i="25"/>
  <c r="BN29" i="25"/>
  <c r="BN42" i="25"/>
  <c r="BN22" i="25"/>
  <c r="BN44" i="25"/>
  <c r="BN24" i="25"/>
  <c r="BN39" i="25"/>
  <c r="BN33" i="25"/>
  <c r="BN96" i="25"/>
  <c r="BN86" i="25"/>
  <c r="BN93" i="25"/>
  <c r="BN71" i="25"/>
  <c r="BN84" i="25"/>
  <c r="BN91" i="25"/>
  <c r="BN89" i="25"/>
  <c r="BN82" i="25"/>
  <c r="BN57" i="25"/>
  <c r="BN64" i="25"/>
  <c r="BN61" i="25"/>
  <c r="BN58" i="25"/>
  <c r="BN25" i="25"/>
  <c r="BN47" i="25"/>
  <c r="BN41" i="25"/>
  <c r="BN45" i="25"/>
  <c r="BN46" i="25"/>
  <c r="BN38" i="25"/>
  <c r="BN34" i="25"/>
  <c r="BL35" i="25"/>
  <c r="BL38" i="25"/>
  <c r="BL30" i="25"/>
  <c r="BL29" i="25"/>
  <c r="BL46" i="25"/>
  <c r="BL23" i="25"/>
  <c r="BL24" i="25"/>
  <c r="BL50" i="25"/>
  <c r="BL65" i="25"/>
  <c r="BL58" i="25"/>
  <c r="BL60" i="25"/>
  <c r="BL73" i="25"/>
  <c r="BL68" i="25"/>
  <c r="BL69" i="25"/>
  <c r="BL96" i="25"/>
  <c r="BL86" i="25"/>
  <c r="BL95" i="25"/>
  <c r="BL79" i="25"/>
  <c r="BL92" i="25"/>
  <c r="BN36" i="25"/>
  <c r="BN30" i="25"/>
  <c r="BN52" i="25"/>
  <c r="BN75" i="25"/>
  <c r="BN88" i="25"/>
  <c r="BL37" i="25"/>
  <c r="BL44" i="25"/>
  <c r="BL31" i="25"/>
  <c r="BL62" i="25"/>
  <c r="BL94" i="25"/>
  <c r="BL98" i="25"/>
  <c r="BL76" i="25"/>
  <c r="BH89" i="25"/>
  <c r="BH97" i="25"/>
  <c r="BH91" i="25"/>
  <c r="BH93" i="25"/>
  <c r="BH90" i="25"/>
  <c r="BH86" i="25"/>
  <c r="BH81" i="25"/>
  <c r="BH98" i="25"/>
  <c r="BH87" i="25"/>
  <c r="BH96" i="25"/>
  <c r="BH85" i="25"/>
  <c r="BH84" i="25"/>
  <c r="BH83" i="25"/>
  <c r="BH82" i="25"/>
  <c r="BH80" i="25"/>
  <c r="BH92" i="25"/>
  <c r="BH95" i="25"/>
  <c r="BH79" i="25"/>
  <c r="BH94" i="25"/>
  <c r="BH88" i="25"/>
  <c r="BH67" i="25"/>
  <c r="BH66" i="25"/>
  <c r="BH78" i="25"/>
  <c r="BH73" i="25"/>
  <c r="BH75" i="25"/>
  <c r="BH76" i="25"/>
  <c r="BH74" i="25"/>
  <c r="BH77" i="25"/>
  <c r="BH69" i="25"/>
  <c r="BH68" i="25"/>
  <c r="BH70" i="25"/>
  <c r="BH71" i="25"/>
  <c r="BH72" i="25"/>
  <c r="BH59" i="25"/>
  <c r="BH55" i="25"/>
  <c r="BH62" i="25"/>
  <c r="BH58" i="25"/>
  <c r="BH57" i="25"/>
  <c r="BH56" i="25"/>
  <c r="BH54" i="25"/>
  <c r="BH60" i="25"/>
  <c r="BH52" i="25"/>
  <c r="BH65" i="25"/>
  <c r="BH64" i="25"/>
  <c r="BH53" i="25"/>
  <c r="BH61" i="25"/>
  <c r="BH63" i="25"/>
  <c r="BH41" i="25"/>
  <c r="BH48" i="25"/>
  <c r="BH42" i="25"/>
  <c r="BH49" i="25"/>
  <c r="BH47" i="25"/>
  <c r="BH45" i="25"/>
  <c r="BH51" i="25"/>
  <c r="BH44" i="25"/>
  <c r="BH43" i="25"/>
  <c r="BH46" i="25"/>
  <c r="BH50" i="25"/>
  <c r="BH9" i="25"/>
  <c r="BH29" i="25"/>
  <c r="BH12" i="25"/>
  <c r="BH20" i="25"/>
  <c r="BH28" i="25"/>
  <c r="BH11" i="25"/>
  <c r="BH19" i="25"/>
  <c r="BH27" i="25"/>
  <c r="BH14" i="25"/>
  <c r="BH26" i="25"/>
  <c r="BH18" i="25"/>
  <c r="BH39" i="25"/>
  <c r="BH13" i="25"/>
  <c r="BH10" i="25"/>
  <c r="BH8" i="25"/>
  <c r="BH38" i="25"/>
  <c r="BH21" i="25"/>
  <c r="BH16" i="25"/>
  <c r="BH24" i="25"/>
  <c r="BH15" i="25"/>
  <c r="BH23" i="25"/>
  <c r="BH31" i="25"/>
  <c r="BH17" i="25"/>
  <c r="BH22" i="25"/>
  <c r="BH30" i="25"/>
  <c r="BH40" i="25"/>
  <c r="BH25" i="25"/>
  <c r="BH37" i="25"/>
  <c r="BH36" i="25"/>
  <c r="BH33" i="25"/>
  <c r="BH35" i="25"/>
  <c r="BH34" i="25"/>
  <c r="BH32" i="25"/>
  <c r="BL32" i="25"/>
  <c r="BL33" i="25"/>
  <c r="BL40" i="25"/>
  <c r="BL49" i="25"/>
  <c r="BL48" i="25"/>
  <c r="BL21" i="25"/>
  <c r="BL28" i="25"/>
  <c r="BL27" i="25"/>
  <c r="BL57" i="25"/>
  <c r="BL64" i="25"/>
  <c r="BL61" i="25"/>
  <c r="BL63" i="25"/>
  <c r="BL72" i="25"/>
  <c r="BL71" i="25"/>
  <c r="BL66" i="25"/>
  <c r="BL85" i="25"/>
  <c r="BL83" i="25"/>
  <c r="BL74" i="25"/>
  <c r="BL87" i="25"/>
  <c r="BN43" i="25"/>
  <c r="BN23" i="25"/>
  <c r="BN55" i="25"/>
  <c r="BN80" i="25"/>
  <c r="BN92" i="25"/>
  <c r="BN21" i="25"/>
  <c r="BL12" i="25"/>
  <c r="BN20" i="25"/>
  <c r="BN16" i="25"/>
  <c r="BN10" i="25"/>
  <c r="BN17" i="25"/>
  <c r="BN13" i="25"/>
  <c r="BN9" i="25"/>
  <c r="BN8" i="25"/>
  <c r="BN18" i="25"/>
  <c r="BN14" i="25"/>
  <c r="BN19" i="25"/>
  <c r="BN15" i="25"/>
  <c r="BN11" i="25"/>
  <c r="BL20" i="25"/>
  <c r="BL18" i="25"/>
  <c r="BL14" i="25"/>
  <c r="BL19" i="25"/>
  <c r="BL15" i="25"/>
  <c r="BL11" i="25"/>
  <c r="BL16" i="25"/>
  <c r="BL10" i="25"/>
  <c r="BL17" i="25"/>
  <c r="BL13" i="25"/>
  <c r="BL8" i="25"/>
  <c r="BL9" i="25"/>
  <c r="BN12" i="25"/>
  <c r="AP2" i="25"/>
  <c r="BG105" i="25" s="1"/>
  <c r="BU105" i="25" s="1"/>
  <c r="AQ2" i="25"/>
  <c r="P2" i="25"/>
  <c r="AO2" i="25" s="1"/>
  <c r="BJ127" i="25" s="1"/>
  <c r="AN2" i="25"/>
  <c r="BH128" i="25" l="1"/>
  <c r="BP134" i="25"/>
  <c r="BL128" i="25"/>
  <c r="BP106" i="25"/>
  <c r="BE34" i="25"/>
  <c r="BE28" i="25"/>
  <c r="BE44" i="25"/>
  <c r="BE57" i="25"/>
  <c r="BE151" i="25"/>
  <c r="BE81" i="25"/>
  <c r="BE50" i="25"/>
  <c r="BE85" i="25"/>
  <c r="BP117" i="25"/>
  <c r="BG140" i="25"/>
  <c r="BU140" i="25" s="1"/>
  <c r="BP142" i="25"/>
  <c r="BP147" i="25"/>
  <c r="BF138" i="25"/>
  <c r="BF133" i="25"/>
  <c r="BF125" i="25"/>
  <c r="BF143" i="25"/>
  <c r="BF141" i="25"/>
  <c r="BF142" i="25"/>
  <c r="BG135" i="25"/>
  <c r="BU135" i="25" s="1"/>
  <c r="BP145" i="25"/>
  <c r="BP124" i="25"/>
  <c r="BG133" i="25"/>
  <c r="BU133" i="25" s="1"/>
  <c r="BP127" i="25"/>
  <c r="BP130" i="25"/>
  <c r="BE141" i="25"/>
  <c r="BE138" i="25"/>
  <c r="BE132" i="25"/>
  <c r="BE147" i="25"/>
  <c r="BE135" i="25"/>
  <c r="BE145" i="25"/>
  <c r="BG144" i="25"/>
  <c r="BU144" i="25" s="1"/>
  <c r="BG143" i="25"/>
  <c r="BU143" i="25" s="1"/>
  <c r="BP139" i="25"/>
  <c r="BK139" i="25"/>
  <c r="BK135" i="25"/>
  <c r="BK131" i="25"/>
  <c r="BK136" i="25"/>
  <c r="BK142" i="25"/>
  <c r="BK140" i="25"/>
  <c r="BJ129" i="25"/>
  <c r="BJ128" i="25" s="1"/>
  <c r="BJ148" i="25"/>
  <c r="BJ139" i="25"/>
  <c r="BJ133" i="25"/>
  <c r="BJ131" i="25"/>
  <c r="BQ142" i="25"/>
  <c r="BQ136" i="25"/>
  <c r="BQ134" i="25"/>
  <c r="BQ131" i="25"/>
  <c r="BQ129" i="25"/>
  <c r="BQ126" i="25"/>
  <c r="BQ124" i="25"/>
  <c r="BQ148" i="25"/>
  <c r="BQ140" i="25"/>
  <c r="BQ135" i="25"/>
  <c r="BQ146" i="25"/>
  <c r="BQ132" i="25"/>
  <c r="BQ125" i="25"/>
  <c r="BQ138" i="25"/>
  <c r="BQ143" i="25"/>
  <c r="BQ127" i="25"/>
  <c r="BQ147" i="25"/>
  <c r="BQ144" i="25"/>
  <c r="BQ145" i="25"/>
  <c r="BQ130" i="25"/>
  <c r="BQ137" i="25"/>
  <c r="BQ141" i="25"/>
  <c r="BQ139" i="25"/>
  <c r="BQ133" i="25"/>
  <c r="BG116" i="25"/>
  <c r="BU116" i="25" s="1"/>
  <c r="BE36" i="25"/>
  <c r="BE13" i="25"/>
  <c r="BE94" i="25"/>
  <c r="BE87" i="25"/>
  <c r="BE95" i="25"/>
  <c r="BE109" i="25"/>
  <c r="BE89" i="25"/>
  <c r="BE112" i="25"/>
  <c r="BG108" i="25"/>
  <c r="BU108" i="25" s="1"/>
  <c r="BG124" i="25"/>
  <c r="BU124" i="25" s="1"/>
  <c r="BP144" i="25"/>
  <c r="BP133" i="25"/>
  <c r="BF144" i="25"/>
  <c r="BF129" i="25"/>
  <c r="BF148" i="25"/>
  <c r="BF124" i="25"/>
  <c r="BF136" i="25"/>
  <c r="BF147" i="25"/>
  <c r="BG127" i="25"/>
  <c r="BP148" i="25"/>
  <c r="BP146" i="25"/>
  <c r="BM128" i="25"/>
  <c r="BG148" i="25"/>
  <c r="BU148" i="25" s="1"/>
  <c r="BP143" i="25"/>
  <c r="BP131" i="25"/>
  <c r="BE129" i="25"/>
  <c r="BE146" i="25"/>
  <c r="BE131" i="25"/>
  <c r="BE139" i="25"/>
  <c r="BE127" i="25"/>
  <c r="BE148" i="25"/>
  <c r="BG134" i="25"/>
  <c r="BU134" i="25" s="1"/>
  <c r="BP140" i="25"/>
  <c r="BP137" i="25"/>
  <c r="BK143" i="25"/>
  <c r="BK141" i="25"/>
  <c r="BK137" i="25"/>
  <c r="BK130" i="25"/>
  <c r="BK147" i="25"/>
  <c r="BK124" i="25"/>
  <c r="BJ146" i="25"/>
  <c r="BJ124" i="25"/>
  <c r="BJ136" i="25"/>
  <c r="BJ140" i="25"/>
  <c r="BJ125" i="25"/>
  <c r="BJ132" i="25"/>
  <c r="BP113" i="25"/>
  <c r="BG100" i="25"/>
  <c r="BU100" i="25" s="1"/>
  <c r="BE38" i="25"/>
  <c r="BE26" i="25"/>
  <c r="BE156" i="25"/>
  <c r="BE84" i="25"/>
  <c r="BE54" i="25"/>
  <c r="BE117" i="25"/>
  <c r="BE64" i="25"/>
  <c r="BE106" i="25"/>
  <c r="BG137" i="25"/>
  <c r="BP141" i="25"/>
  <c r="BN128" i="25"/>
  <c r="BF135" i="25"/>
  <c r="BF132" i="25"/>
  <c r="BF137" i="25"/>
  <c r="BF131" i="25"/>
  <c r="BS131" i="25" s="1"/>
  <c r="BF145" i="25"/>
  <c r="BF139" i="25"/>
  <c r="BS139" i="25" s="1"/>
  <c r="BG125" i="25"/>
  <c r="BU125" i="25" s="1"/>
  <c r="BG131" i="25"/>
  <c r="BU131" i="25" s="1"/>
  <c r="BP125" i="25"/>
  <c r="BG145" i="25"/>
  <c r="BU145" i="25" s="1"/>
  <c r="BG136" i="25"/>
  <c r="BU136" i="25" s="1"/>
  <c r="BP132" i="25"/>
  <c r="BE125" i="25"/>
  <c r="BE134" i="25"/>
  <c r="BE143" i="25"/>
  <c r="BE126" i="25"/>
  <c r="BE142" i="25"/>
  <c r="BE137" i="25"/>
  <c r="BG146" i="25"/>
  <c r="BU146" i="25" s="1"/>
  <c r="BP138" i="25"/>
  <c r="BP135" i="25"/>
  <c r="BK132" i="25"/>
  <c r="BK134" i="25"/>
  <c r="BK125" i="25"/>
  <c r="BK148" i="25"/>
  <c r="BK133" i="25"/>
  <c r="BK145" i="25"/>
  <c r="BJ141" i="25"/>
  <c r="BJ135" i="25"/>
  <c r="BJ147" i="25"/>
  <c r="BJ138" i="25"/>
  <c r="BJ137" i="25"/>
  <c r="BJ130" i="25"/>
  <c r="BG99" i="25"/>
  <c r="BU99" i="25" s="1"/>
  <c r="BE39" i="25"/>
  <c r="BE19" i="25"/>
  <c r="BE51" i="25"/>
  <c r="BE122" i="25"/>
  <c r="BE69" i="25"/>
  <c r="BE157" i="25"/>
  <c r="BE78" i="25"/>
  <c r="BE47" i="25"/>
  <c r="BG130" i="25"/>
  <c r="BU130" i="25" s="1"/>
  <c r="BG141" i="25"/>
  <c r="BU141" i="25" s="1"/>
  <c r="BP136" i="25"/>
  <c r="BF130" i="25"/>
  <c r="BF140" i="25"/>
  <c r="BF126" i="25"/>
  <c r="BF146" i="25"/>
  <c r="BF127" i="25"/>
  <c r="BF134" i="25"/>
  <c r="BG147" i="25"/>
  <c r="BU147" i="25" s="1"/>
  <c r="BG138" i="25"/>
  <c r="BU138" i="25" s="1"/>
  <c r="BP126" i="25"/>
  <c r="BG139" i="25"/>
  <c r="BU139" i="25" s="1"/>
  <c r="BG129" i="25"/>
  <c r="BU129" i="25" s="1"/>
  <c r="BP129" i="25"/>
  <c r="BE133" i="25"/>
  <c r="BE144" i="25"/>
  <c r="BE140" i="25"/>
  <c r="BR140" i="25" s="1"/>
  <c r="BE124" i="25"/>
  <c r="BE130" i="25"/>
  <c r="BE136" i="25"/>
  <c r="BG132" i="25"/>
  <c r="BU132" i="25" s="1"/>
  <c r="BG126" i="25"/>
  <c r="BU126" i="25" s="1"/>
  <c r="BK138" i="25"/>
  <c r="BK146" i="25"/>
  <c r="BK144" i="25"/>
  <c r="BK127" i="25"/>
  <c r="BK129" i="25"/>
  <c r="BK126" i="25"/>
  <c r="BG142" i="25"/>
  <c r="BU142" i="25" s="1"/>
  <c r="BJ126" i="25"/>
  <c r="BJ143" i="25"/>
  <c r="BJ142" i="25"/>
  <c r="BJ134" i="25"/>
  <c r="BJ144" i="25"/>
  <c r="BJ145" i="25"/>
  <c r="BU137" i="25"/>
  <c r="BJ98" i="25"/>
  <c r="BQ102" i="25"/>
  <c r="BQ109" i="25"/>
  <c r="BQ119" i="25"/>
  <c r="BQ108" i="25"/>
  <c r="BQ120" i="25"/>
  <c r="BQ101" i="25"/>
  <c r="BJ102" i="25"/>
  <c r="BJ103" i="25"/>
  <c r="BQ106" i="25"/>
  <c r="BQ117" i="25"/>
  <c r="BQ121" i="25"/>
  <c r="BQ111" i="25"/>
  <c r="BQ112" i="25"/>
  <c r="BQ107" i="25"/>
  <c r="BJ116" i="25"/>
  <c r="BJ99" i="25"/>
  <c r="BQ105" i="25"/>
  <c r="BQ123" i="25"/>
  <c r="BQ122" i="25"/>
  <c r="BQ115" i="25"/>
  <c r="BQ116" i="25"/>
  <c r="BQ113" i="25"/>
  <c r="BQ104" i="25"/>
  <c r="BJ117" i="25"/>
  <c r="BJ111" i="25"/>
  <c r="BQ110" i="25"/>
  <c r="BQ118" i="25"/>
  <c r="BQ114" i="25"/>
  <c r="BQ100" i="25"/>
  <c r="BQ99" i="25"/>
  <c r="BQ103" i="25"/>
  <c r="BK82" i="25"/>
  <c r="BK94" i="25"/>
  <c r="BJ55" i="25"/>
  <c r="BJ114" i="25"/>
  <c r="BK112" i="25"/>
  <c r="BJ105" i="25"/>
  <c r="BJ107" i="25"/>
  <c r="BF27" i="25"/>
  <c r="BF14" i="25"/>
  <c r="BF12" i="25"/>
  <c r="BF26" i="25"/>
  <c r="BF158" i="25"/>
  <c r="BF63" i="25"/>
  <c r="BF84" i="25"/>
  <c r="BF117" i="25"/>
  <c r="BF53" i="25"/>
  <c r="BF83" i="25"/>
  <c r="BF118" i="25"/>
  <c r="BF114" i="25"/>
  <c r="BF64" i="25"/>
  <c r="BF82" i="25"/>
  <c r="BK14" i="25"/>
  <c r="BJ10" i="25"/>
  <c r="BJ70" i="25"/>
  <c r="BK33" i="25"/>
  <c r="BK76" i="25"/>
  <c r="BK59" i="25"/>
  <c r="BK43" i="25"/>
  <c r="BK97" i="25"/>
  <c r="BJ57" i="25"/>
  <c r="BE32" i="25"/>
  <c r="BP108" i="25"/>
  <c r="BJ118" i="25"/>
  <c r="BG111" i="25"/>
  <c r="BU111" i="25" s="1"/>
  <c r="BG106" i="25"/>
  <c r="BU106" i="25" s="1"/>
  <c r="BK105" i="25"/>
  <c r="BK111" i="25"/>
  <c r="BK100" i="25"/>
  <c r="BK107" i="25"/>
  <c r="BK115" i="25"/>
  <c r="BK114" i="25"/>
  <c r="BP110" i="25"/>
  <c r="BP118" i="25"/>
  <c r="BJ106" i="25"/>
  <c r="BJ112" i="25"/>
  <c r="BG114" i="25"/>
  <c r="BU114" i="25" s="1"/>
  <c r="BG109" i="25"/>
  <c r="BU109" i="25" s="1"/>
  <c r="BE35" i="25"/>
  <c r="BE24" i="25"/>
  <c r="BE27" i="25"/>
  <c r="BE17" i="25"/>
  <c r="BE31" i="25"/>
  <c r="BE40" i="25"/>
  <c r="BE10" i="25"/>
  <c r="BE25" i="25"/>
  <c r="BE46" i="25"/>
  <c r="BE80" i="25"/>
  <c r="BE153" i="25"/>
  <c r="BE56" i="25"/>
  <c r="BE72" i="25"/>
  <c r="BE82" i="25"/>
  <c r="BE101" i="25"/>
  <c r="BE119" i="25"/>
  <c r="BE163" i="25"/>
  <c r="BE161" i="25"/>
  <c r="BE108" i="25"/>
  <c r="BE159" i="25"/>
  <c r="BE59" i="25"/>
  <c r="BE73" i="25"/>
  <c r="BE86" i="25"/>
  <c r="BE114" i="25"/>
  <c r="BE110" i="25"/>
  <c r="BE154" i="25"/>
  <c r="BE45" i="25"/>
  <c r="BE91" i="25"/>
  <c r="BE52" i="25"/>
  <c r="BE66" i="25"/>
  <c r="BE98" i="25"/>
  <c r="BE102" i="25"/>
  <c r="BE152" i="25"/>
  <c r="BE48" i="25"/>
  <c r="BP116" i="25"/>
  <c r="BP101" i="25"/>
  <c r="BJ122" i="25"/>
  <c r="BG120" i="25"/>
  <c r="BU120" i="25" s="1"/>
  <c r="BF32" i="25"/>
  <c r="BF36" i="25"/>
  <c r="BF23" i="25"/>
  <c r="BF9" i="25"/>
  <c r="BF40" i="25"/>
  <c r="BF20" i="25"/>
  <c r="BF31" i="25"/>
  <c r="BF39" i="25"/>
  <c r="BF10" i="25"/>
  <c r="BF98" i="25"/>
  <c r="BF51" i="25"/>
  <c r="BF62" i="25"/>
  <c r="BF81" i="25"/>
  <c r="BF94" i="25"/>
  <c r="BF105" i="25"/>
  <c r="BS105" i="25" s="1"/>
  <c r="BF163" i="25"/>
  <c r="BF155" i="25"/>
  <c r="BF76" i="25"/>
  <c r="BF107" i="25"/>
  <c r="BS107" i="25" s="1"/>
  <c r="BF41" i="25"/>
  <c r="BF59" i="25"/>
  <c r="BF75" i="25"/>
  <c r="BF88" i="25"/>
  <c r="BF115" i="25"/>
  <c r="BF150" i="25"/>
  <c r="BF154" i="25"/>
  <c r="BF89" i="25"/>
  <c r="BF50" i="25"/>
  <c r="BF69" i="25"/>
  <c r="BF92" i="25"/>
  <c r="BF108" i="25"/>
  <c r="BF119" i="25"/>
  <c r="BF157" i="25"/>
  <c r="BF44" i="25"/>
  <c r="BJ8" i="25"/>
  <c r="BJ97" i="25"/>
  <c r="BK79" i="25"/>
  <c r="BK88" i="25"/>
  <c r="BJ72" i="25"/>
  <c r="BJ108" i="25"/>
  <c r="BK119" i="25"/>
  <c r="BK121" i="25"/>
  <c r="BK106" i="25"/>
  <c r="BF35" i="25"/>
  <c r="BF17" i="25"/>
  <c r="BF22" i="25"/>
  <c r="BF25" i="25"/>
  <c r="BF86" i="25"/>
  <c r="BF66" i="25"/>
  <c r="BF116" i="25"/>
  <c r="BF58" i="25"/>
  <c r="BF149" i="25"/>
  <c r="BF78" i="25"/>
  <c r="BF112" i="25"/>
  <c r="BF73" i="25"/>
  <c r="BF43" i="25"/>
  <c r="BF87" i="25"/>
  <c r="BF123" i="25"/>
  <c r="BF45" i="25"/>
  <c r="BP59" i="25"/>
  <c r="BG104" i="25"/>
  <c r="BU104" i="25" s="1"/>
  <c r="BG110" i="25"/>
  <c r="BU110" i="25" s="1"/>
  <c r="BG113" i="25"/>
  <c r="BU113" i="25" s="1"/>
  <c r="BG101" i="25"/>
  <c r="BU101" i="25" s="1"/>
  <c r="BG112" i="25"/>
  <c r="BU112" i="25" s="1"/>
  <c r="BG122" i="25"/>
  <c r="BU122" i="25" s="1"/>
  <c r="BK13" i="25"/>
  <c r="BJ59" i="25"/>
  <c r="BK23" i="25"/>
  <c r="BK25" i="25"/>
  <c r="BK87" i="25"/>
  <c r="BK44" i="25"/>
  <c r="BJ22" i="25"/>
  <c r="BJ78" i="25"/>
  <c r="BP109" i="25"/>
  <c r="BP115" i="25"/>
  <c r="BJ113" i="25"/>
  <c r="BG115" i="25"/>
  <c r="BU115" i="25" s="1"/>
  <c r="BG102" i="25"/>
  <c r="BU102" i="25" s="1"/>
  <c r="BK118" i="25"/>
  <c r="BK101" i="25"/>
  <c r="BK104" i="25"/>
  <c r="BK120" i="25"/>
  <c r="BK113" i="25"/>
  <c r="BK103" i="25"/>
  <c r="BP103" i="25"/>
  <c r="BP123" i="25"/>
  <c r="BJ110" i="25"/>
  <c r="BJ104" i="25"/>
  <c r="BG121" i="25"/>
  <c r="BU121" i="25" s="1"/>
  <c r="BE33" i="25"/>
  <c r="BE21" i="25"/>
  <c r="BE11" i="25"/>
  <c r="BE23" i="25"/>
  <c r="BE15" i="25"/>
  <c r="BE30" i="25"/>
  <c r="BE20" i="25"/>
  <c r="BE9" i="25"/>
  <c r="BE60" i="25"/>
  <c r="BE118" i="25"/>
  <c r="BE65" i="25"/>
  <c r="BE77" i="25"/>
  <c r="BE92" i="25"/>
  <c r="BE116" i="25"/>
  <c r="BE111" i="25"/>
  <c r="BE62" i="25"/>
  <c r="BE123" i="25"/>
  <c r="BE155" i="25"/>
  <c r="BE63" i="25"/>
  <c r="BE75" i="25"/>
  <c r="BE90" i="25"/>
  <c r="BE99" i="25"/>
  <c r="BE160" i="25"/>
  <c r="BE58" i="25"/>
  <c r="BE107" i="25"/>
  <c r="BE68" i="25"/>
  <c r="BE93" i="25"/>
  <c r="BE83" i="25"/>
  <c r="BE105" i="25"/>
  <c r="BE41" i="25"/>
  <c r="BP104" i="25"/>
  <c r="BP100" i="25"/>
  <c r="BJ100" i="25"/>
  <c r="BG118" i="25"/>
  <c r="BU118" i="25" s="1"/>
  <c r="BG119" i="25"/>
  <c r="BU119" i="25" s="1"/>
  <c r="BF33" i="25"/>
  <c r="BS33" i="25" s="1"/>
  <c r="BF37" i="25"/>
  <c r="BF11" i="25"/>
  <c r="BF16" i="25"/>
  <c r="BF29" i="25"/>
  <c r="BF38" i="25"/>
  <c r="BF19" i="25"/>
  <c r="BF24" i="25"/>
  <c r="BF56" i="25"/>
  <c r="BF152" i="25"/>
  <c r="BF52" i="25"/>
  <c r="BF70" i="25"/>
  <c r="BF97" i="25"/>
  <c r="BF106" i="25"/>
  <c r="BS106" i="25" s="1"/>
  <c r="BF113" i="25"/>
  <c r="BF161" i="25"/>
  <c r="BF160" i="25"/>
  <c r="BF164" i="25"/>
  <c r="BF85" i="25"/>
  <c r="BF102" i="25"/>
  <c r="BF49" i="25"/>
  <c r="BF71" i="25"/>
  <c r="BF96" i="25"/>
  <c r="BF90" i="25"/>
  <c r="BF120" i="25"/>
  <c r="BF153" i="25"/>
  <c r="BF65" i="25"/>
  <c r="BF100" i="25"/>
  <c r="BS100" i="25" s="1"/>
  <c r="BF47" i="25"/>
  <c r="BF55" i="25"/>
  <c r="BF74" i="25"/>
  <c r="BF93" i="25"/>
  <c r="BF99" i="25"/>
  <c r="BF109" i="25"/>
  <c r="BF159" i="25"/>
  <c r="BF151" i="25"/>
  <c r="BK16" i="25"/>
  <c r="BJ51" i="25"/>
  <c r="BK50" i="25"/>
  <c r="BJ29" i="25"/>
  <c r="BK116" i="25"/>
  <c r="BK110" i="25"/>
  <c r="BK99" i="25"/>
  <c r="BJ119" i="25"/>
  <c r="BJ115" i="25"/>
  <c r="BP111" i="25"/>
  <c r="BP119" i="25"/>
  <c r="BP112" i="25"/>
  <c r="BP99" i="25"/>
  <c r="BP121" i="25"/>
  <c r="BP107" i="25"/>
  <c r="BJ15" i="25"/>
  <c r="BJ21" i="25"/>
  <c r="BJ47" i="25"/>
  <c r="BK47" i="25"/>
  <c r="BK64" i="25"/>
  <c r="BK28" i="25"/>
  <c r="BK86" i="25"/>
  <c r="BS86" i="25" s="1"/>
  <c r="BK71" i="25"/>
  <c r="BJ90" i="25"/>
  <c r="BJ66" i="25"/>
  <c r="BP114" i="25"/>
  <c r="BJ121" i="25"/>
  <c r="BJ101" i="25"/>
  <c r="BG117" i="25"/>
  <c r="BU117" i="25" s="1"/>
  <c r="BK102" i="25"/>
  <c r="BK122" i="25"/>
  <c r="BK123" i="25"/>
  <c r="BK117" i="25"/>
  <c r="BK109" i="25"/>
  <c r="BK108" i="25"/>
  <c r="BP122" i="25"/>
  <c r="BP102" i="25"/>
  <c r="BJ109" i="25"/>
  <c r="BG107" i="25"/>
  <c r="BU107" i="25" s="1"/>
  <c r="BE37" i="25"/>
  <c r="BE18" i="25"/>
  <c r="BE16" i="25"/>
  <c r="BE22" i="25"/>
  <c r="BE29" i="25"/>
  <c r="BE14" i="25"/>
  <c r="BE12" i="25"/>
  <c r="BE8" i="25"/>
  <c r="BE70" i="25"/>
  <c r="BE121" i="25"/>
  <c r="BE42" i="25"/>
  <c r="BE53" i="25"/>
  <c r="BE67" i="25"/>
  <c r="BE79" i="25"/>
  <c r="BE103" i="25"/>
  <c r="BE76" i="25"/>
  <c r="BE104" i="25"/>
  <c r="BE49" i="25"/>
  <c r="BE55" i="25"/>
  <c r="BE96" i="25"/>
  <c r="BE88" i="25"/>
  <c r="BE100" i="25"/>
  <c r="BE164" i="25"/>
  <c r="BE162" i="25"/>
  <c r="BE158" i="25"/>
  <c r="BE74" i="25"/>
  <c r="BE113" i="25"/>
  <c r="BE61" i="25"/>
  <c r="BE71" i="25"/>
  <c r="BE97" i="25"/>
  <c r="BE120" i="25"/>
  <c r="BE115" i="25"/>
  <c r="BE149" i="25"/>
  <c r="BE150" i="25"/>
  <c r="BE43" i="25"/>
  <c r="BP105" i="25"/>
  <c r="BJ123" i="25"/>
  <c r="BJ120" i="25"/>
  <c r="BG103" i="25"/>
  <c r="BU103" i="25" s="1"/>
  <c r="BG123" i="25"/>
  <c r="BU123" i="25" s="1"/>
  <c r="BP120" i="25"/>
  <c r="BF34" i="25"/>
  <c r="BF28" i="25"/>
  <c r="BF21" i="25"/>
  <c r="BF30" i="25"/>
  <c r="BF8" i="25"/>
  <c r="BF18" i="25"/>
  <c r="BF15" i="25"/>
  <c r="BF13" i="25"/>
  <c r="BF72" i="25"/>
  <c r="BF156" i="25"/>
  <c r="BF61" i="25"/>
  <c r="BF67" i="25"/>
  <c r="BF80" i="25"/>
  <c r="BF103" i="25"/>
  <c r="BS103" i="25" s="1"/>
  <c r="BF122" i="25"/>
  <c r="BS122" i="25" s="1"/>
  <c r="BF48" i="25"/>
  <c r="BF91" i="25"/>
  <c r="BF54" i="25"/>
  <c r="BF68" i="25"/>
  <c r="BF95" i="25"/>
  <c r="BF121" i="25"/>
  <c r="BS121" i="25" s="1"/>
  <c r="BF101" i="25"/>
  <c r="BS101" i="25" s="1"/>
  <c r="BF57" i="25"/>
  <c r="BF104" i="25"/>
  <c r="BS104" i="25" s="1"/>
  <c r="BF46" i="25"/>
  <c r="BF60" i="25"/>
  <c r="BF77" i="25"/>
  <c r="BF79" i="25"/>
  <c r="BF110" i="25"/>
  <c r="BF111" i="25"/>
  <c r="BF162" i="25"/>
  <c r="BF42" i="25"/>
  <c r="BP20" i="25"/>
  <c r="BG48" i="25"/>
  <c r="BU48" i="25" s="1"/>
  <c r="BG32" i="25"/>
  <c r="BU32" i="25" s="1"/>
  <c r="BP8" i="25"/>
  <c r="BG20" i="25"/>
  <c r="BU20" i="25" s="1"/>
  <c r="BG65" i="25"/>
  <c r="BU65" i="25" s="1"/>
  <c r="BG37" i="25"/>
  <c r="BU37" i="25" s="1"/>
  <c r="BG86" i="25"/>
  <c r="BU86" i="25" s="1"/>
  <c r="BG66" i="25"/>
  <c r="BU66" i="25" s="1"/>
  <c r="BG43" i="25"/>
  <c r="BU43" i="25" s="1"/>
  <c r="BG42" i="25"/>
  <c r="BU42" i="25" s="1"/>
  <c r="BG89" i="25"/>
  <c r="BU89" i="25" s="1"/>
  <c r="BG94" i="25"/>
  <c r="BU94" i="25" s="1"/>
  <c r="BG59" i="25"/>
  <c r="BU59" i="25" s="1"/>
  <c r="BG27" i="25"/>
  <c r="BU27" i="25" s="1"/>
  <c r="BG50" i="25"/>
  <c r="BU50" i="25" s="1"/>
  <c r="BG79" i="25"/>
  <c r="BU79" i="25" s="1"/>
  <c r="BG69" i="25"/>
  <c r="BU69" i="25" s="1"/>
  <c r="BG60" i="25"/>
  <c r="BU60" i="25" s="1"/>
  <c r="BG28" i="25"/>
  <c r="BU28" i="25" s="1"/>
  <c r="BG38" i="25"/>
  <c r="BU38" i="25" s="1"/>
  <c r="BG80" i="25"/>
  <c r="BU80" i="25" s="1"/>
  <c r="BG85" i="25"/>
  <c r="BU85" i="25" s="1"/>
  <c r="BG70" i="25"/>
  <c r="BU70" i="25" s="1"/>
  <c r="BG45" i="25"/>
  <c r="BU45" i="25" s="1"/>
  <c r="BG29" i="25"/>
  <c r="BU29" i="25" s="1"/>
  <c r="BG63" i="25"/>
  <c r="BU63" i="25" s="1"/>
  <c r="BG54" i="25"/>
  <c r="BU54" i="25" s="1"/>
  <c r="BS97" i="25"/>
  <c r="BG53" i="25"/>
  <c r="BU53" i="25" s="1"/>
  <c r="BG33" i="25"/>
  <c r="BU33" i="25" s="1"/>
  <c r="BP89" i="25"/>
  <c r="BP46" i="25"/>
  <c r="BG93" i="25"/>
  <c r="BU93" i="25" s="1"/>
  <c r="BG21" i="25"/>
  <c r="BU21" i="25" s="1"/>
  <c r="BP93" i="25"/>
  <c r="BP53" i="25"/>
  <c r="BP37" i="25"/>
  <c r="BG71" i="25"/>
  <c r="BU71" i="25" s="1"/>
  <c r="BG41" i="25"/>
  <c r="BU41" i="25" s="1"/>
  <c r="BP74" i="25"/>
  <c r="BP51" i="25"/>
  <c r="BG31" i="25"/>
  <c r="BU31" i="25" s="1"/>
  <c r="BG58" i="25"/>
  <c r="BU58" i="25" s="1"/>
  <c r="BG76" i="25"/>
  <c r="BU76" i="25" s="1"/>
  <c r="BG95" i="25"/>
  <c r="BU95" i="25" s="1"/>
  <c r="BG64" i="25"/>
  <c r="BU64" i="25" s="1"/>
  <c r="BG51" i="25"/>
  <c r="BU51" i="25" s="1"/>
  <c r="BG39" i="25"/>
  <c r="BU39" i="25" s="1"/>
  <c r="BG81" i="25"/>
  <c r="BU81" i="25" s="1"/>
  <c r="BG73" i="25"/>
  <c r="BU73" i="25" s="1"/>
  <c r="BG57" i="25"/>
  <c r="BU57" i="25" s="1"/>
  <c r="BG24" i="25"/>
  <c r="BU24" i="25" s="1"/>
  <c r="BG96" i="25"/>
  <c r="BU96" i="25" s="1"/>
  <c r="BG88" i="25"/>
  <c r="BU88" i="25" s="1"/>
  <c r="BG62" i="25"/>
  <c r="BU62" i="25" s="1"/>
  <c r="BG22" i="25"/>
  <c r="BU22" i="25" s="1"/>
  <c r="BG26" i="25"/>
  <c r="BU26" i="25" s="1"/>
  <c r="BG34" i="25"/>
  <c r="BU34" i="25" s="1"/>
  <c r="BG91" i="25"/>
  <c r="BU91" i="25" s="1"/>
  <c r="BG68" i="25"/>
  <c r="BU68" i="25" s="1"/>
  <c r="BG77" i="25"/>
  <c r="BU77" i="25" s="1"/>
  <c r="BG90" i="25"/>
  <c r="BU90" i="25" s="1"/>
  <c r="BG98" i="25"/>
  <c r="BU98" i="25" s="1"/>
  <c r="BG78" i="25"/>
  <c r="BU78" i="25" s="1"/>
  <c r="BG61" i="25"/>
  <c r="BU61" i="25" s="1"/>
  <c r="BG30" i="25"/>
  <c r="BU30" i="25" s="1"/>
  <c r="BG36" i="25"/>
  <c r="BU36" i="25" s="1"/>
  <c r="BG97" i="25"/>
  <c r="BU97" i="25" s="1"/>
  <c r="BG72" i="25"/>
  <c r="BU72" i="25" s="1"/>
  <c r="BG46" i="25"/>
  <c r="BU46" i="25" s="1"/>
  <c r="BG47" i="25"/>
  <c r="BU47" i="25" s="1"/>
  <c r="BG83" i="25"/>
  <c r="BU83" i="25" s="1"/>
  <c r="BG67" i="25"/>
  <c r="BU67" i="25" s="1"/>
  <c r="BG56" i="25"/>
  <c r="BU56" i="25" s="1"/>
  <c r="BG23" i="25"/>
  <c r="BU23" i="25" s="1"/>
  <c r="BG40" i="25"/>
  <c r="BU40" i="25" s="1"/>
  <c r="BG25" i="25"/>
  <c r="BU25" i="25" s="1"/>
  <c r="BG84" i="25"/>
  <c r="BU84" i="25" s="1"/>
  <c r="BG74" i="25"/>
  <c r="BU74" i="25" s="1"/>
  <c r="BS82" i="25"/>
  <c r="BP30" i="25"/>
  <c r="BP87" i="25"/>
  <c r="BG92" i="25"/>
  <c r="BU92" i="25" s="1"/>
  <c r="BG87" i="25"/>
  <c r="BU87" i="25" s="1"/>
  <c r="BG44" i="25"/>
  <c r="BU44" i="25" s="1"/>
  <c r="BP91" i="25"/>
  <c r="BP42" i="25"/>
  <c r="BG82" i="25"/>
  <c r="BU82" i="25" s="1"/>
  <c r="BG55" i="25"/>
  <c r="BU55" i="25" s="1"/>
  <c r="BG49" i="25"/>
  <c r="BU49" i="25" s="1"/>
  <c r="BP70" i="25"/>
  <c r="BP49" i="25"/>
  <c r="BG75" i="25"/>
  <c r="BU75" i="25" s="1"/>
  <c r="BG52" i="25"/>
  <c r="BU52" i="25" s="1"/>
  <c r="BG35" i="25"/>
  <c r="BU35" i="25" s="1"/>
  <c r="BP92" i="25"/>
  <c r="BP73" i="25"/>
  <c r="BP17" i="25"/>
  <c r="BK11" i="25"/>
  <c r="BK18" i="25"/>
  <c r="BK17" i="25"/>
  <c r="BJ14" i="25"/>
  <c r="BJ13" i="25"/>
  <c r="BJ16" i="25"/>
  <c r="BP16" i="25"/>
  <c r="BP10" i="25"/>
  <c r="BP12" i="25"/>
  <c r="BP11" i="25"/>
  <c r="BP76" i="25"/>
  <c r="BP47" i="25"/>
  <c r="BJ83" i="25"/>
  <c r="BJ77" i="25"/>
  <c r="BJ61" i="25"/>
  <c r="BJ23" i="25"/>
  <c r="BJ39" i="25"/>
  <c r="BK58" i="25"/>
  <c r="BK95" i="25"/>
  <c r="BK39" i="25"/>
  <c r="BK49" i="25"/>
  <c r="BK62" i="25"/>
  <c r="BS62" i="25" s="1"/>
  <c r="BK74" i="25"/>
  <c r="BS74" i="25" s="1"/>
  <c r="BK85" i="25"/>
  <c r="BK30" i="25"/>
  <c r="BK27" i="25"/>
  <c r="BK52" i="25"/>
  <c r="BK66" i="25"/>
  <c r="BS66" i="25" s="1"/>
  <c r="BK89" i="25"/>
  <c r="BK34" i="25"/>
  <c r="BK91" i="25"/>
  <c r="BK31" i="25"/>
  <c r="BK57" i="25"/>
  <c r="BS57" i="25" s="1"/>
  <c r="BK67" i="25"/>
  <c r="BK68" i="25"/>
  <c r="BS68" i="25" s="1"/>
  <c r="BK37" i="25"/>
  <c r="BP61" i="25"/>
  <c r="BP38" i="25"/>
  <c r="BJ80" i="25"/>
  <c r="BJ67" i="25"/>
  <c r="BJ65" i="25"/>
  <c r="BJ31" i="25"/>
  <c r="BP32" i="25"/>
  <c r="BP67" i="25"/>
  <c r="BP77" i="25"/>
  <c r="BP39" i="25"/>
  <c r="BP43" i="25"/>
  <c r="BP55" i="25"/>
  <c r="BP71" i="25"/>
  <c r="BP83" i="25"/>
  <c r="BP34" i="25"/>
  <c r="BP27" i="25"/>
  <c r="BP60" i="25"/>
  <c r="BP80" i="25"/>
  <c r="BP69" i="25"/>
  <c r="BJ27" i="25"/>
  <c r="BP97" i="25"/>
  <c r="BP44" i="25"/>
  <c r="BJ95" i="25"/>
  <c r="BJ86" i="25"/>
  <c r="BJ63" i="25"/>
  <c r="BJ41" i="25"/>
  <c r="BS44" i="25"/>
  <c r="BS79" i="25"/>
  <c r="BS64" i="25"/>
  <c r="BK15" i="25"/>
  <c r="BK9" i="25"/>
  <c r="BK20" i="25"/>
  <c r="BJ18" i="25"/>
  <c r="BJ17" i="25"/>
  <c r="BJ20" i="25"/>
  <c r="BP21" i="25"/>
  <c r="BP14" i="25"/>
  <c r="BP15" i="25"/>
  <c r="BK21" i="25"/>
  <c r="BS21" i="25" s="1"/>
  <c r="BP66" i="25"/>
  <c r="BP25" i="25"/>
  <c r="BJ89" i="25"/>
  <c r="BJ74" i="25"/>
  <c r="BJ58" i="25"/>
  <c r="BJ26" i="25"/>
  <c r="BJ35" i="25"/>
  <c r="BK40" i="25"/>
  <c r="BK75" i="25"/>
  <c r="BS75" i="25" s="1"/>
  <c r="BK69" i="25"/>
  <c r="BS69" i="25" s="1"/>
  <c r="BK42" i="25"/>
  <c r="BK41" i="25"/>
  <c r="BS41" i="25" s="1"/>
  <c r="BK63" i="25"/>
  <c r="BK84" i="25"/>
  <c r="BS84" i="25" s="1"/>
  <c r="BK78" i="25"/>
  <c r="BK56" i="25"/>
  <c r="BS56" i="25" s="1"/>
  <c r="BK22" i="25"/>
  <c r="BK54" i="25"/>
  <c r="BK70" i="25"/>
  <c r="BS70" i="25" s="1"/>
  <c r="BK77" i="25"/>
  <c r="BS77" i="25" s="1"/>
  <c r="BK29" i="25"/>
  <c r="BK35" i="25"/>
  <c r="BK26" i="25"/>
  <c r="BK55" i="25"/>
  <c r="BK72" i="25"/>
  <c r="BK81" i="25"/>
  <c r="BS81" i="25" s="1"/>
  <c r="BP52" i="25"/>
  <c r="BJ94" i="25"/>
  <c r="BJ64" i="25"/>
  <c r="BJ45" i="25"/>
  <c r="BJ49" i="25"/>
  <c r="BJ32" i="25"/>
  <c r="BP81" i="25"/>
  <c r="BP82" i="25"/>
  <c r="BP28" i="25"/>
  <c r="BP48" i="25"/>
  <c r="BP75" i="25"/>
  <c r="BP85" i="25"/>
  <c r="BP90" i="25"/>
  <c r="BP36" i="25"/>
  <c r="BP45" i="25"/>
  <c r="BP57" i="25"/>
  <c r="BP72" i="25"/>
  <c r="BP96" i="25"/>
  <c r="BJ28" i="25"/>
  <c r="BP62" i="25"/>
  <c r="BP41" i="25"/>
  <c r="BJ73" i="25"/>
  <c r="BJ85" i="25"/>
  <c r="BJ62" i="25"/>
  <c r="BJ46" i="25"/>
  <c r="BS85" i="25"/>
  <c r="BS47" i="25"/>
  <c r="BS59" i="25"/>
  <c r="BP58" i="25"/>
  <c r="BP31" i="25"/>
  <c r="BP33" i="25"/>
  <c r="BP78" i="25"/>
  <c r="BP64" i="25"/>
  <c r="BP29" i="25"/>
  <c r="BP86" i="25"/>
  <c r="BP26" i="25"/>
  <c r="BQ94" i="25"/>
  <c r="BQ93" i="25"/>
  <c r="BQ95" i="25"/>
  <c r="BQ74" i="25"/>
  <c r="BQ81" i="25"/>
  <c r="BQ91" i="25"/>
  <c r="BQ66" i="25"/>
  <c r="BQ83" i="25"/>
  <c r="BQ71" i="25"/>
  <c r="BQ65" i="25"/>
  <c r="BQ64" i="25"/>
  <c r="BQ54" i="25"/>
  <c r="BQ44" i="25"/>
  <c r="BQ24" i="25"/>
  <c r="BQ51" i="25"/>
  <c r="BQ30" i="25"/>
  <c r="BQ46" i="25"/>
  <c r="BQ45" i="25"/>
  <c r="BQ19" i="25"/>
  <c r="BQ8" i="25"/>
  <c r="BQ11" i="25"/>
  <c r="BQ37" i="25"/>
  <c r="BQ35" i="25"/>
  <c r="BQ88" i="25"/>
  <c r="BQ77" i="25"/>
  <c r="BQ79" i="25"/>
  <c r="BQ67" i="25"/>
  <c r="BQ89" i="25"/>
  <c r="BQ82" i="25"/>
  <c r="BQ87" i="25"/>
  <c r="BQ69" i="25"/>
  <c r="BQ59" i="25"/>
  <c r="BQ62" i="25"/>
  <c r="BQ56" i="25"/>
  <c r="BQ53" i="25"/>
  <c r="BQ50" i="25"/>
  <c r="BQ20" i="25"/>
  <c r="BQ41" i="25"/>
  <c r="BQ26" i="25"/>
  <c r="BQ29" i="25"/>
  <c r="BQ49" i="25"/>
  <c r="BQ9" i="25"/>
  <c r="BQ15" i="25"/>
  <c r="BQ38" i="25"/>
  <c r="BQ36" i="25"/>
  <c r="BQ32" i="25"/>
  <c r="BQ98" i="25"/>
  <c r="BQ76" i="25"/>
  <c r="BQ97" i="25"/>
  <c r="BQ80" i="25"/>
  <c r="BQ92" i="25"/>
  <c r="BQ72" i="25"/>
  <c r="BQ85" i="25"/>
  <c r="BQ78" i="25"/>
  <c r="BQ55" i="25"/>
  <c r="BQ58" i="25"/>
  <c r="BQ63" i="25"/>
  <c r="BQ57" i="25"/>
  <c r="BQ31" i="25"/>
  <c r="BQ47" i="25"/>
  <c r="BQ28" i="25"/>
  <c r="BQ22" i="25"/>
  <c r="BQ25" i="25"/>
  <c r="BQ18" i="25"/>
  <c r="BQ17" i="25"/>
  <c r="BQ16" i="25"/>
  <c r="BQ39" i="25"/>
  <c r="BQ34" i="25"/>
  <c r="BQ86" i="25"/>
  <c r="BQ70" i="25"/>
  <c r="BQ60" i="25"/>
  <c r="BQ43" i="25"/>
  <c r="BQ14" i="25"/>
  <c r="BQ33" i="25"/>
  <c r="BQ40" i="25"/>
  <c r="BJ93" i="25"/>
  <c r="BJ81" i="25"/>
  <c r="BJ68" i="25"/>
  <c r="BJ54" i="25"/>
  <c r="BJ30" i="25"/>
  <c r="BJ24" i="25"/>
  <c r="BJ33" i="25"/>
  <c r="BQ75" i="25"/>
  <c r="BQ73" i="25"/>
  <c r="BQ52" i="25"/>
  <c r="BQ21" i="25"/>
  <c r="BQ13" i="25"/>
  <c r="BJ92" i="25"/>
  <c r="BJ88" i="25"/>
  <c r="BJ96" i="25"/>
  <c r="BJ52" i="25"/>
  <c r="BJ42" i="25"/>
  <c r="BJ43" i="25"/>
  <c r="BJ36" i="25"/>
  <c r="BQ84" i="25"/>
  <c r="BQ68" i="25"/>
  <c r="BQ42" i="25"/>
  <c r="BQ48" i="25"/>
  <c r="BQ10" i="25"/>
  <c r="BQ96" i="25"/>
  <c r="BQ90" i="25"/>
  <c r="BQ61" i="25"/>
  <c r="BQ27" i="25"/>
  <c r="BQ23" i="25"/>
  <c r="BJ84" i="25"/>
  <c r="BJ71" i="25"/>
  <c r="BJ75" i="25"/>
  <c r="BJ56" i="25"/>
  <c r="BJ25" i="25"/>
  <c r="BJ40" i="25"/>
  <c r="BK32" i="25"/>
  <c r="BK10" i="25"/>
  <c r="BK19" i="25"/>
  <c r="BK8" i="25"/>
  <c r="BJ11" i="25"/>
  <c r="BJ9" i="25"/>
  <c r="BJ19" i="25"/>
  <c r="BP9" i="25"/>
  <c r="BP18" i="25"/>
  <c r="BP13" i="25"/>
  <c r="BP19" i="25"/>
  <c r="BP65" i="25"/>
  <c r="BP40" i="25"/>
  <c r="BJ82" i="25"/>
  <c r="BJ69" i="25"/>
  <c r="BJ53" i="25"/>
  <c r="BJ50" i="25"/>
  <c r="BK46" i="25"/>
  <c r="BK73" i="25"/>
  <c r="BK83" i="25"/>
  <c r="BK24" i="25"/>
  <c r="BK65" i="25"/>
  <c r="BS65" i="25" s="1"/>
  <c r="BK90" i="25"/>
  <c r="BS90" i="25" s="1"/>
  <c r="BK96" i="25"/>
  <c r="BK36" i="25"/>
  <c r="BK61" i="25"/>
  <c r="BK45" i="25"/>
  <c r="BK53" i="25"/>
  <c r="BK98" i="25"/>
  <c r="BS98" i="25" s="1"/>
  <c r="BK92" i="25"/>
  <c r="BK48" i="25"/>
  <c r="BS48" i="25" s="1"/>
  <c r="BK38" i="25"/>
  <c r="BK51" i="25"/>
  <c r="BS51" i="25" s="1"/>
  <c r="BK60" i="25"/>
  <c r="BK80" i="25"/>
  <c r="BK93" i="25"/>
  <c r="BP98" i="25"/>
  <c r="BP50" i="25"/>
  <c r="BJ79" i="25"/>
  <c r="BJ76" i="25"/>
  <c r="BJ60" i="25"/>
  <c r="BJ44" i="25"/>
  <c r="BJ38" i="25"/>
  <c r="BP79" i="25"/>
  <c r="BP95" i="25"/>
  <c r="BP24" i="25"/>
  <c r="BP56" i="25"/>
  <c r="BP94" i="25"/>
  <c r="BP68" i="25"/>
  <c r="BP23" i="25"/>
  <c r="BP22" i="25"/>
  <c r="BP54" i="25"/>
  <c r="BP88" i="25"/>
  <c r="BP84" i="25"/>
  <c r="BJ34" i="25"/>
  <c r="BP63" i="25"/>
  <c r="BP35" i="25"/>
  <c r="BJ91" i="25"/>
  <c r="BJ87" i="25"/>
  <c r="BJ48" i="25"/>
  <c r="BJ37" i="25"/>
  <c r="BS50" i="25"/>
  <c r="BS94" i="25"/>
  <c r="BS49" i="25"/>
  <c r="BS76" i="25"/>
  <c r="BS22" i="25"/>
  <c r="BS20" i="25"/>
  <c r="BG8" i="25"/>
  <c r="BU8" i="25" s="1"/>
  <c r="BS10" i="25"/>
  <c r="BG11" i="25"/>
  <c r="BU11" i="25" s="1"/>
  <c r="BS13" i="25"/>
  <c r="BG18" i="25"/>
  <c r="BU18" i="25" s="1"/>
  <c r="BG15" i="25"/>
  <c r="BU15" i="25" s="1"/>
  <c r="BG19" i="25"/>
  <c r="BU19" i="25" s="1"/>
  <c r="BG16" i="25"/>
  <c r="BU16" i="25" s="1"/>
  <c r="BG13" i="25"/>
  <c r="BU13" i="25" s="1"/>
  <c r="BS11" i="25"/>
  <c r="BG14" i="25"/>
  <c r="BU14" i="25" s="1"/>
  <c r="BG9" i="25"/>
  <c r="BU9" i="25" s="1"/>
  <c r="BG17" i="25"/>
  <c r="BU17" i="25" s="1"/>
  <c r="BG10" i="25"/>
  <c r="BU10" i="25" s="1"/>
  <c r="BJ12" i="25"/>
  <c r="BQ12" i="25"/>
  <c r="BK12" i="25"/>
  <c r="BG12" i="25"/>
  <c r="BU12" i="25" s="1"/>
  <c r="Z128" i="1"/>
  <c r="Z127" i="1"/>
  <c r="Z126" i="1"/>
  <c r="Z125" i="1"/>
  <c r="Z124" i="1"/>
  <c r="D148" i="25"/>
  <c r="D147" i="25"/>
  <c r="D146" i="25"/>
  <c r="D145" i="25"/>
  <c r="D144" i="25"/>
  <c r="D143" i="25"/>
  <c r="D142" i="25"/>
  <c r="D141" i="25"/>
  <c r="D140" i="25"/>
  <c r="D139" i="25"/>
  <c r="D138" i="25"/>
  <c r="D137" i="25"/>
  <c r="D136" i="25"/>
  <c r="D135" i="25"/>
  <c r="D134" i="25"/>
  <c r="D133" i="25"/>
  <c r="D132" i="25"/>
  <c r="D131" i="25"/>
  <c r="D130" i="25"/>
  <c r="D129" i="25"/>
  <c r="D128" i="25"/>
  <c r="D127" i="25"/>
  <c r="D126" i="25"/>
  <c r="D125" i="25"/>
  <c r="D124" i="25"/>
  <c r="D123" i="25"/>
  <c r="D122" i="25"/>
  <c r="D121" i="25"/>
  <c r="D120" i="25"/>
  <c r="D119" i="25"/>
  <c r="D118" i="25"/>
  <c r="D117" i="25"/>
  <c r="D116" i="25"/>
  <c r="D115" i="25"/>
  <c r="D114" i="25"/>
  <c r="D113" i="25"/>
  <c r="D112" i="25"/>
  <c r="D111" i="25"/>
  <c r="D110" i="25"/>
  <c r="D109" i="25"/>
  <c r="D108" i="25"/>
  <c r="D107" i="25"/>
  <c r="D106" i="25"/>
  <c r="D105" i="25"/>
  <c r="D104" i="25"/>
  <c r="D103" i="25"/>
  <c r="D102" i="25"/>
  <c r="D101" i="25"/>
  <c r="D100" i="25"/>
  <c r="D99" i="25"/>
  <c r="D98" i="25"/>
  <c r="D97" i="25"/>
  <c r="D96" i="25"/>
  <c r="D95" i="25"/>
  <c r="D94" i="25"/>
  <c r="D93" i="25"/>
  <c r="D92" i="25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BV125" i="1"/>
  <c r="BU125" i="1"/>
  <c r="BT125" i="1"/>
  <c r="BV124" i="1"/>
  <c r="BU124" i="1"/>
  <c r="BT124" i="1"/>
  <c r="BU118" i="1"/>
  <c r="BT118" i="1"/>
  <c r="BU117" i="1"/>
  <c r="BT117" i="1"/>
  <c r="BU116" i="1"/>
  <c r="BT116" i="1"/>
  <c r="BU115" i="1"/>
  <c r="BT115" i="1"/>
  <c r="BU114" i="1"/>
  <c r="BT114" i="1"/>
  <c r="BU113" i="1"/>
  <c r="BT113" i="1"/>
  <c r="BU112" i="1"/>
  <c r="BT112" i="1"/>
  <c r="BU104" i="1"/>
  <c r="BU103" i="1"/>
  <c r="BU102" i="1"/>
  <c r="BU101" i="1"/>
  <c r="BU100" i="1"/>
  <c r="BU99" i="1"/>
  <c r="BT104" i="1"/>
  <c r="BT103" i="1"/>
  <c r="BT102" i="1"/>
  <c r="BT101" i="1"/>
  <c r="BT100" i="1"/>
  <c r="BT99" i="1"/>
  <c r="BS134" i="25" l="1"/>
  <c r="BR23" i="25"/>
  <c r="BS113" i="25"/>
  <c r="BS140" i="25"/>
  <c r="BS124" i="25"/>
  <c r="BS111" i="25"/>
  <c r="BS112" i="25"/>
  <c r="BR113" i="25"/>
  <c r="BR117" i="25"/>
  <c r="BS71" i="25"/>
  <c r="BS43" i="25"/>
  <c r="Z130" i="1"/>
  <c r="Z129" i="1"/>
  <c r="BS72" i="25"/>
  <c r="BR100" i="25"/>
  <c r="BS120" i="25"/>
  <c r="BS110" i="25"/>
  <c r="BS95" i="25"/>
  <c r="BS91" i="25"/>
  <c r="BS67" i="25"/>
  <c r="BS55" i="25"/>
  <c r="BR133" i="25"/>
  <c r="BS136" i="25"/>
  <c r="BR144" i="25"/>
  <c r="BR130" i="25"/>
  <c r="BS130" i="25"/>
  <c r="BR137" i="25"/>
  <c r="BR115" i="25"/>
  <c r="BS115" i="25"/>
  <c r="BS145" i="25"/>
  <c r="BS135" i="25"/>
  <c r="BR136" i="25"/>
  <c r="BR125" i="25"/>
  <c r="BR124" i="25"/>
  <c r="BS26" i="25"/>
  <c r="BS126" i="25"/>
  <c r="BR134" i="25"/>
  <c r="BS132" i="25"/>
  <c r="BR139" i="25"/>
  <c r="BS144" i="25"/>
  <c r="BR145" i="25"/>
  <c r="BR138" i="25"/>
  <c r="BS142" i="25"/>
  <c r="BS133" i="25"/>
  <c r="BS102" i="25"/>
  <c r="BR142" i="25"/>
  <c r="BR131" i="25"/>
  <c r="BR135" i="25"/>
  <c r="BR141" i="25"/>
  <c r="BS141" i="25"/>
  <c r="BS138" i="25"/>
  <c r="BS9" i="25"/>
  <c r="BS127" i="25"/>
  <c r="BF128" i="25"/>
  <c r="BR126" i="25"/>
  <c r="BR148" i="25"/>
  <c r="BR146" i="25"/>
  <c r="BG128" i="25"/>
  <c r="BU128" i="25" s="1"/>
  <c r="BU127" i="25"/>
  <c r="BS148" i="25"/>
  <c r="BQ128" i="25"/>
  <c r="BR147" i="25"/>
  <c r="BS143" i="25"/>
  <c r="BS87" i="25"/>
  <c r="BS25" i="25"/>
  <c r="BK128" i="25"/>
  <c r="BS146" i="25"/>
  <c r="BR143" i="25"/>
  <c r="BS137" i="25"/>
  <c r="BR127" i="25"/>
  <c r="BE128" i="25"/>
  <c r="BR129" i="25"/>
  <c r="BS147" i="25"/>
  <c r="BS129" i="25"/>
  <c r="BR132" i="25"/>
  <c r="BP128" i="25"/>
  <c r="BS125" i="25"/>
  <c r="BS88" i="25"/>
  <c r="BR103" i="25"/>
  <c r="BR99" i="25"/>
  <c r="BS116" i="25"/>
  <c r="BR106" i="25"/>
  <c r="BR114" i="25"/>
  <c r="BS117" i="25"/>
  <c r="BR112" i="25"/>
  <c r="BR120" i="25"/>
  <c r="BR121" i="25"/>
  <c r="BR122" i="25"/>
  <c r="BS109" i="25"/>
  <c r="BR123" i="25"/>
  <c r="BR111" i="25"/>
  <c r="BR108" i="25"/>
  <c r="BS118" i="25"/>
  <c r="BR109" i="25"/>
  <c r="BS99" i="25"/>
  <c r="BR105" i="25"/>
  <c r="BR116" i="25"/>
  <c r="BS123" i="25"/>
  <c r="BR119" i="25"/>
  <c r="BS119" i="25"/>
  <c r="BR102" i="25"/>
  <c r="BR101" i="25"/>
  <c r="BR21" i="25"/>
  <c r="BR104" i="25"/>
  <c r="BR107" i="25"/>
  <c r="BR118" i="25"/>
  <c r="BS108" i="25"/>
  <c r="BR110" i="25"/>
  <c r="BS114" i="25"/>
  <c r="BR96" i="25"/>
  <c r="BS93" i="25"/>
  <c r="BS92" i="25"/>
  <c r="BS78" i="25"/>
  <c r="BS96" i="25"/>
  <c r="BS45" i="25"/>
  <c r="BR98" i="25"/>
  <c r="BR65" i="25"/>
  <c r="BR63" i="25"/>
  <c r="BS46" i="25"/>
  <c r="BS53" i="25"/>
  <c r="BR59" i="25"/>
  <c r="BR79" i="25"/>
  <c r="BR84" i="25"/>
  <c r="BR45" i="25"/>
  <c r="BR33" i="25"/>
  <c r="BR85" i="25"/>
  <c r="BR89" i="25"/>
  <c r="BR34" i="25"/>
  <c r="BR90" i="25"/>
  <c r="BS58" i="25"/>
  <c r="BR35" i="25"/>
  <c r="BR28" i="25"/>
  <c r="BR80" i="25"/>
  <c r="BR32" i="25"/>
  <c r="BS63" i="25"/>
  <c r="BR94" i="25"/>
  <c r="BR92" i="25"/>
  <c r="BR52" i="25"/>
  <c r="BS61" i="25"/>
  <c r="BS52" i="25"/>
  <c r="BS73" i="25"/>
  <c r="BR25" i="25"/>
  <c r="BR57" i="25"/>
  <c r="BR53" i="25"/>
  <c r="BR37" i="25"/>
  <c r="BR51" i="25"/>
  <c r="BR30" i="25"/>
  <c r="BR82" i="25"/>
  <c r="BR61" i="25"/>
  <c r="BS89" i="25"/>
  <c r="BR40" i="25"/>
  <c r="BR49" i="25"/>
  <c r="BR62" i="25"/>
  <c r="BR54" i="25"/>
  <c r="BR73" i="25"/>
  <c r="BS60" i="25"/>
  <c r="BS83" i="25"/>
  <c r="BR38" i="25"/>
  <c r="BR97" i="25"/>
  <c r="BR43" i="25"/>
  <c r="BR74" i="25"/>
  <c r="BR31" i="25"/>
  <c r="BR69" i="25"/>
  <c r="BR77" i="25"/>
  <c r="BR67" i="25"/>
  <c r="BR72" i="25"/>
  <c r="BR24" i="25"/>
  <c r="BR56" i="25"/>
  <c r="BR48" i="25"/>
  <c r="BR47" i="25"/>
  <c r="BR44" i="25"/>
  <c r="BR76" i="25"/>
  <c r="BR22" i="25"/>
  <c r="BR29" i="25"/>
  <c r="BR95" i="25"/>
  <c r="BR93" i="25"/>
  <c r="BR60" i="25"/>
  <c r="BR42" i="25"/>
  <c r="BR46" i="25"/>
  <c r="BR70" i="25"/>
  <c r="BR66" i="25"/>
  <c r="BR20" i="25"/>
  <c r="BS80" i="25"/>
  <c r="BS54" i="25"/>
  <c r="BR88" i="25"/>
  <c r="BR91" i="25"/>
  <c r="BS42" i="25"/>
  <c r="BR36" i="25"/>
  <c r="BR41" i="25"/>
  <c r="BR50" i="25"/>
  <c r="BR87" i="25"/>
  <c r="BR81" i="25"/>
  <c r="BR78" i="25"/>
  <c r="BR68" i="25"/>
  <c r="BR26" i="25"/>
  <c r="BR75" i="25"/>
  <c r="BR64" i="25"/>
  <c r="BR27" i="25"/>
  <c r="BR83" i="25"/>
  <c r="BR39" i="25"/>
  <c r="BR55" i="25"/>
  <c r="BR71" i="25"/>
  <c r="BR86" i="25"/>
  <c r="BR58" i="25"/>
  <c r="BS34" i="25"/>
  <c r="BR16" i="25"/>
  <c r="BR9" i="25"/>
  <c r="BR11" i="25"/>
  <c r="BR19" i="25"/>
  <c r="BR10" i="25"/>
  <c r="BR14" i="25"/>
  <c r="BR17" i="25"/>
  <c r="BR18" i="25"/>
  <c r="BR15" i="25"/>
  <c r="BR8" i="25"/>
  <c r="BS19" i="25"/>
  <c r="BS38" i="25"/>
  <c r="BS15" i="25"/>
  <c r="BS23" i="25"/>
  <c r="BS39" i="25"/>
  <c r="BR13" i="25"/>
  <c r="BS40" i="25"/>
  <c r="BS36" i="25"/>
  <c r="BS37" i="25"/>
  <c r="BS18" i="25"/>
  <c r="BS32" i="25"/>
  <c r="BR12" i="25"/>
  <c r="BS12" i="25"/>
  <c r="BS35" i="25"/>
  <c r="BS16" i="25"/>
  <c r="BS24" i="25"/>
  <c r="BW125" i="1"/>
  <c r="BW124" i="1"/>
  <c r="BR128" i="25" l="1"/>
  <c r="BS128" i="25"/>
  <c r="BD31" i="10" l="1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5" i="10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4" i="11"/>
  <c r="BC32" i="11"/>
  <c r="BV128" i="1" l="1"/>
  <c r="BV127" i="1"/>
  <c r="BU128" i="1"/>
  <c r="BT128" i="1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B33" i="10"/>
  <c r="A33" i="10"/>
  <c r="D32" i="10"/>
  <c r="C32" i="10"/>
  <c r="B32" i="10"/>
  <c r="A32" i="10"/>
  <c r="D31" i="10"/>
  <c r="A31" i="10"/>
  <c r="C31" i="10"/>
  <c r="B31" i="10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E13" i="11"/>
  <c r="AO31" i="11" s="1"/>
  <c r="E12" i="11"/>
  <c r="AO30" i="11" s="1"/>
  <c r="E11" i="11"/>
  <c r="AO29" i="11" s="1"/>
  <c r="E10" i="11"/>
  <c r="AO28" i="11" s="1"/>
  <c r="E9" i="11"/>
  <c r="AO27" i="11" s="1"/>
  <c r="E8" i="11"/>
  <c r="AO26" i="11" s="1"/>
  <c r="E7" i="11"/>
  <c r="AO25" i="11" s="1"/>
  <c r="AO32" i="10"/>
  <c r="AO31" i="10"/>
  <c r="AO30" i="10"/>
  <c r="AO29" i="10"/>
  <c r="AO28" i="10"/>
  <c r="AO27" i="10"/>
  <c r="AO26" i="10"/>
  <c r="F100" i="1"/>
  <c r="F99" i="1"/>
  <c r="F104" i="1"/>
  <c r="F103" i="1"/>
  <c r="F102" i="1"/>
  <c r="F101" i="1"/>
  <c r="F112" i="1"/>
  <c r="F118" i="1"/>
  <c r="F117" i="1"/>
  <c r="F116" i="1"/>
  <c r="F115" i="1"/>
  <c r="F114" i="1"/>
  <c r="F113" i="1"/>
  <c r="BW128" i="1"/>
  <c r="BW127" i="1"/>
  <c r="BW126" i="1"/>
  <c r="BW123" i="1"/>
  <c r="BW122" i="1"/>
  <c r="BW121" i="1"/>
  <c r="BW120" i="1"/>
  <c r="BW119" i="1"/>
  <c r="BW118" i="1"/>
  <c r="BW117" i="1"/>
  <c r="BW116" i="1"/>
  <c r="BW115" i="1"/>
  <c r="BW114" i="1"/>
  <c r="BW113" i="1"/>
  <c r="BW112" i="1"/>
  <c r="BW111" i="1"/>
  <c r="BW110" i="1"/>
  <c r="BW109" i="1"/>
  <c r="BW108" i="1"/>
  <c r="BW107" i="1"/>
  <c r="BW106" i="1"/>
  <c r="BW105" i="1"/>
  <c r="BW104" i="1"/>
  <c r="BW103" i="1"/>
  <c r="BW102" i="1"/>
  <c r="BW101" i="1"/>
  <c r="BW100" i="1"/>
  <c r="BW99" i="1"/>
  <c r="BW84" i="1"/>
  <c r="BW83" i="1"/>
  <c r="BW82" i="1"/>
  <c r="BW81" i="1"/>
  <c r="BW80" i="1"/>
  <c r="BW79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26" i="1"/>
  <c r="BW25" i="1"/>
  <c r="BW24" i="1"/>
  <c r="BW23" i="1"/>
  <c r="BW22" i="1"/>
  <c r="BW21" i="1"/>
  <c r="BW20" i="1"/>
  <c r="BW19" i="1"/>
  <c r="BW18" i="1"/>
  <c r="BW17" i="1"/>
  <c r="BW1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98" i="1"/>
  <c r="BW97" i="1"/>
  <c r="BW96" i="1"/>
  <c r="BW95" i="1"/>
  <c r="BW94" i="1"/>
  <c r="BW93" i="1"/>
  <c r="BW92" i="1"/>
  <c r="BW91" i="1"/>
  <c r="BW90" i="1"/>
  <c r="BW89" i="1"/>
  <c r="BW88" i="1"/>
  <c r="BW87" i="1"/>
  <c r="BW86" i="1"/>
  <c r="BW85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15" i="1"/>
  <c r="BW14" i="1"/>
  <c r="BW13" i="1"/>
  <c r="BW12" i="1"/>
  <c r="BW11" i="1"/>
  <c r="BW10" i="1"/>
  <c r="BW9" i="1"/>
  <c r="BW8" i="1"/>
  <c r="BW7" i="1"/>
  <c r="BK22" i="6"/>
  <c r="BK21" i="6"/>
  <c r="BK20" i="6"/>
  <c r="BK19" i="6"/>
  <c r="BK18" i="6"/>
  <c r="BK17" i="6"/>
  <c r="BK16" i="6"/>
  <c r="BK15" i="6"/>
  <c r="BK14" i="6"/>
  <c r="BK13" i="6"/>
  <c r="BK12" i="6"/>
  <c r="BK11" i="6"/>
  <c r="BK10" i="6"/>
  <c r="BK9" i="6"/>
  <c r="BK8" i="6"/>
  <c r="BK7" i="6"/>
  <c r="BV6" i="1"/>
  <c r="ET6" i="1" s="1"/>
  <c r="BT120" i="1"/>
  <c r="BT119" i="1"/>
  <c r="BT108" i="1"/>
  <c r="BT107" i="1"/>
  <c r="BT106" i="1"/>
  <c r="BT105" i="1"/>
  <c r="BT88" i="1"/>
  <c r="BT87" i="1"/>
  <c r="BT86" i="1"/>
  <c r="BT85" i="1"/>
  <c r="BT84" i="1"/>
  <c r="BT83" i="1"/>
  <c r="BT76" i="1"/>
  <c r="BT75" i="1"/>
  <c r="BT74" i="1"/>
  <c r="BT73" i="1"/>
  <c r="BT65" i="1"/>
  <c r="BT64" i="1"/>
  <c r="BT63" i="1"/>
  <c r="BT62" i="1"/>
  <c r="BT61" i="1"/>
  <c r="BT53" i="1"/>
  <c r="BT52" i="1"/>
  <c r="BT51" i="1"/>
  <c r="BT50" i="1"/>
  <c r="BT49" i="1"/>
  <c r="BT39" i="1"/>
  <c r="BT38" i="1"/>
  <c r="BT37" i="1"/>
  <c r="BT36" i="1"/>
  <c r="BT35" i="1"/>
  <c r="BT26" i="1"/>
  <c r="BT25" i="1"/>
  <c r="BT24" i="1"/>
  <c r="BT23" i="1"/>
  <c r="BT22" i="1"/>
  <c r="BT12" i="1"/>
  <c r="BT11" i="1"/>
  <c r="BT10" i="1"/>
  <c r="BT9" i="1"/>
  <c r="BT8" i="1"/>
  <c r="BT123" i="1"/>
  <c r="BT122" i="1"/>
  <c r="BT121" i="1"/>
  <c r="BT111" i="1"/>
  <c r="BT110" i="1"/>
  <c r="BT109" i="1"/>
  <c r="BT77" i="1"/>
  <c r="BT72" i="1"/>
  <c r="BT98" i="1"/>
  <c r="BT97" i="1"/>
  <c r="BT96" i="1"/>
  <c r="BT95" i="1"/>
  <c r="BT94" i="1"/>
  <c r="BT40" i="1"/>
  <c r="BT15" i="1"/>
  <c r="BT14" i="1"/>
  <c r="BT13" i="1"/>
  <c r="BT60" i="1"/>
  <c r="BT127" i="1"/>
  <c r="BT126" i="1"/>
  <c r="BT82" i="1"/>
  <c r="BT81" i="1"/>
  <c r="BT80" i="1"/>
  <c r="BT79" i="1"/>
  <c r="BT78" i="1"/>
  <c r="BT71" i="1"/>
  <c r="BT70" i="1"/>
  <c r="BT69" i="1"/>
  <c r="BT68" i="1"/>
  <c r="BT67" i="1"/>
  <c r="BT66" i="1"/>
  <c r="BT21" i="1"/>
  <c r="BT20" i="1"/>
  <c r="BT19" i="1"/>
  <c r="BT18" i="1"/>
  <c r="BT17" i="1"/>
  <c r="BT16" i="1"/>
  <c r="BT59" i="1"/>
  <c r="BT58" i="1"/>
  <c r="BT57" i="1"/>
  <c r="BT56" i="1"/>
  <c r="BT55" i="1"/>
  <c r="BT54" i="1"/>
  <c r="BT93" i="1"/>
  <c r="BT92" i="1"/>
  <c r="BT91" i="1"/>
  <c r="BT90" i="1"/>
  <c r="BT89" i="1"/>
  <c r="BT48" i="1"/>
  <c r="BT47" i="1"/>
  <c r="BT46" i="1"/>
  <c r="BT45" i="1"/>
  <c r="BT44" i="1"/>
  <c r="BT43" i="1"/>
  <c r="BT42" i="1"/>
  <c r="BT41" i="1"/>
  <c r="BT34" i="1"/>
  <c r="BT33" i="1"/>
  <c r="BT32" i="1"/>
  <c r="BT31" i="1"/>
  <c r="BT30" i="1"/>
  <c r="BT29" i="1"/>
  <c r="BT28" i="1"/>
  <c r="BT27" i="1"/>
  <c r="BT7" i="1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B30" i="7"/>
  <c r="C30" i="7"/>
  <c r="A30" i="7"/>
  <c r="D30" i="7"/>
  <c r="D37" i="14"/>
  <c r="C37" i="14"/>
  <c r="B37" i="14"/>
  <c r="A37" i="14"/>
  <c r="D36" i="14"/>
  <c r="C36" i="14"/>
  <c r="B36" i="14"/>
  <c r="A36" i="14"/>
  <c r="D35" i="14"/>
  <c r="C35" i="14"/>
  <c r="B35" i="14"/>
  <c r="A35" i="14"/>
  <c r="D34" i="14"/>
  <c r="C34" i="14"/>
  <c r="B34" i="14"/>
  <c r="A34" i="14"/>
  <c r="D33" i="14"/>
  <c r="C33" i="14"/>
  <c r="B33" i="14"/>
  <c r="A33" i="14"/>
  <c r="D32" i="14"/>
  <c r="C32" i="14"/>
  <c r="B32" i="14"/>
  <c r="A32" i="14"/>
  <c r="D31" i="14"/>
  <c r="C31" i="14"/>
  <c r="B31" i="14"/>
  <c r="A31" i="14"/>
  <c r="D30" i="14"/>
  <c r="C30" i="14"/>
  <c r="B30" i="14"/>
  <c r="A30" i="14"/>
  <c r="D29" i="14"/>
  <c r="C29" i="14"/>
  <c r="B29" i="14"/>
  <c r="A29" i="14"/>
  <c r="D28" i="14"/>
  <c r="C28" i="14"/>
  <c r="B28" i="14"/>
  <c r="A28" i="14"/>
  <c r="D37" i="13"/>
  <c r="C37" i="13"/>
  <c r="B37" i="13"/>
  <c r="A37" i="13"/>
  <c r="D36" i="13"/>
  <c r="C36" i="13"/>
  <c r="B36" i="13"/>
  <c r="A36" i="13"/>
  <c r="D35" i="13"/>
  <c r="C35" i="13"/>
  <c r="B35" i="13"/>
  <c r="A35" i="13"/>
  <c r="D34" i="13"/>
  <c r="C34" i="13"/>
  <c r="B34" i="13"/>
  <c r="A34" i="13"/>
  <c r="D33" i="13"/>
  <c r="C33" i="13"/>
  <c r="B33" i="13"/>
  <c r="A33" i="13"/>
  <c r="D32" i="13"/>
  <c r="C32" i="13"/>
  <c r="B32" i="13"/>
  <c r="A32" i="13"/>
  <c r="D31" i="13"/>
  <c r="C31" i="13"/>
  <c r="B31" i="13"/>
  <c r="A31" i="13"/>
  <c r="D30" i="13"/>
  <c r="C30" i="13"/>
  <c r="B30" i="13"/>
  <c r="A30" i="13"/>
  <c r="D29" i="13"/>
  <c r="C29" i="13"/>
  <c r="B29" i="13"/>
  <c r="A29" i="13"/>
  <c r="D28" i="13"/>
  <c r="C28" i="13"/>
  <c r="B28" i="13"/>
  <c r="A28" i="13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B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B28" i="6"/>
  <c r="A28" i="6"/>
  <c r="D29" i="12"/>
  <c r="C29" i="12"/>
  <c r="B29" i="12"/>
  <c r="A29" i="12"/>
  <c r="D28" i="12"/>
  <c r="C28" i="12"/>
  <c r="B28" i="12"/>
  <c r="A28" i="12"/>
  <c r="D27" i="12"/>
  <c r="C27" i="12"/>
  <c r="B27" i="12"/>
  <c r="A27" i="12"/>
  <c r="D26" i="12"/>
  <c r="C26" i="12"/>
  <c r="B26" i="12"/>
  <c r="A26" i="12"/>
  <c r="D25" i="12"/>
  <c r="C25" i="12"/>
  <c r="B25" i="12"/>
  <c r="A25" i="12"/>
  <c r="D24" i="12"/>
  <c r="C24" i="12"/>
  <c r="B24" i="12"/>
  <c r="A24" i="12"/>
  <c r="D23" i="12"/>
  <c r="C23" i="12"/>
  <c r="B23" i="12"/>
  <c r="A23" i="12"/>
  <c r="D22" i="12"/>
  <c r="C22" i="12"/>
  <c r="B22" i="12"/>
  <c r="A22" i="12"/>
  <c r="D21" i="12"/>
  <c r="C21" i="12"/>
  <c r="B21" i="12"/>
  <c r="A21" i="12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E8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E9" i="7"/>
  <c r="AO27" i="7" s="1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E10" i="7"/>
  <c r="AO28" i="7" s="1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E11" i="7"/>
  <c r="AO29" i="7" s="1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E12" i="7"/>
  <c r="AO30" i="7" s="1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U127" i="1"/>
  <c r="BU126" i="1"/>
  <c r="BV126" i="1"/>
  <c r="F123" i="1"/>
  <c r="F122" i="1"/>
  <c r="F121" i="1"/>
  <c r="F120" i="1"/>
  <c r="F119" i="1"/>
  <c r="F111" i="1"/>
  <c r="F110" i="1"/>
  <c r="F109" i="1"/>
  <c r="F108" i="1"/>
  <c r="F107" i="1"/>
  <c r="F106" i="1"/>
  <c r="F10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26" i="1"/>
  <c r="C26" i="1" s="1"/>
  <c r="EV26" i="1" s="1"/>
  <c r="F25" i="1"/>
  <c r="C25" i="1" s="1"/>
  <c r="EV25" i="1" s="1"/>
  <c r="F24" i="1"/>
  <c r="C24" i="1" s="1"/>
  <c r="EV24" i="1" s="1"/>
  <c r="F23" i="1"/>
  <c r="C23" i="1" s="1"/>
  <c r="EV23" i="1" s="1"/>
  <c r="F22" i="1"/>
  <c r="C22" i="1" s="1"/>
  <c r="EV22" i="1" s="1"/>
  <c r="F21" i="1"/>
  <c r="C21" i="1" s="1"/>
  <c r="EV21" i="1" s="1"/>
  <c r="F20" i="1"/>
  <c r="C20" i="1" s="1"/>
  <c r="EV20" i="1" s="1"/>
  <c r="F19" i="1"/>
  <c r="C19" i="1" s="1"/>
  <c r="EV19" i="1" s="1"/>
  <c r="F18" i="1"/>
  <c r="C18" i="1" s="1"/>
  <c r="EV18" i="1" s="1"/>
  <c r="F17" i="1"/>
  <c r="C17" i="1" s="1"/>
  <c r="EV17" i="1" s="1"/>
  <c r="F16" i="1"/>
  <c r="C16" i="1" s="1"/>
  <c r="EV16" i="1" s="1"/>
  <c r="F65" i="1"/>
  <c r="F64" i="1"/>
  <c r="F63" i="1"/>
  <c r="F62" i="1"/>
  <c r="F61" i="1"/>
  <c r="F60" i="1"/>
  <c r="F59" i="1"/>
  <c r="F58" i="1"/>
  <c r="F57" i="1"/>
  <c r="F56" i="1"/>
  <c r="F55" i="1"/>
  <c r="F54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15" i="1"/>
  <c r="C15" i="1" s="1"/>
  <c r="EV15" i="1" s="1"/>
  <c r="F14" i="1"/>
  <c r="C14" i="1" s="1"/>
  <c r="EV14" i="1" s="1"/>
  <c r="F13" i="1"/>
  <c r="C13" i="1" s="1"/>
  <c r="EV13" i="1" s="1"/>
  <c r="F12" i="1"/>
  <c r="C12" i="1" s="1"/>
  <c r="EV12" i="1" s="1"/>
  <c r="F11" i="1"/>
  <c r="C11" i="1" s="1"/>
  <c r="EV11" i="1" s="1"/>
  <c r="F10" i="1"/>
  <c r="C10" i="1" s="1"/>
  <c r="EV10" i="1" s="1"/>
  <c r="F9" i="1"/>
  <c r="C9" i="1" s="1"/>
  <c r="EV9" i="1" s="1"/>
  <c r="F8" i="1"/>
  <c r="C8" i="1" s="1"/>
  <c r="EV8" i="1" s="1"/>
  <c r="BV3" i="1"/>
  <c r="BV4" i="1"/>
  <c r="F7" i="1"/>
  <c r="C7" i="1" s="1"/>
  <c r="EV7" i="1" s="1"/>
  <c r="AO28" i="14"/>
  <c r="AO27" i="14"/>
  <c r="AO26" i="14"/>
  <c r="AO25" i="14"/>
  <c r="AO24" i="14"/>
  <c r="AO23" i="14"/>
  <c r="AO22" i="14"/>
  <c r="AO21" i="14"/>
  <c r="BD28" i="14"/>
  <c r="BD27" i="14"/>
  <c r="BD26" i="14"/>
  <c r="BD25" i="14"/>
  <c r="BD24" i="14"/>
  <c r="BD23" i="14"/>
  <c r="BD22" i="14"/>
  <c r="BD21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7" i="13"/>
  <c r="AO26" i="13"/>
  <c r="AO25" i="13"/>
  <c r="AO24" i="13"/>
  <c r="AO23" i="13"/>
  <c r="AO22" i="13"/>
  <c r="AO21" i="13"/>
  <c r="AO20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BD34" i="8"/>
  <c r="BD33" i="8"/>
  <c r="BD32" i="8"/>
  <c r="BD31" i="8"/>
  <c r="BD30" i="8"/>
  <c r="BD29" i="8"/>
  <c r="BD28" i="8"/>
  <c r="BD27" i="8"/>
  <c r="BD26" i="8"/>
  <c r="BD25" i="8"/>
  <c r="BD24" i="8"/>
  <c r="BD30" i="3"/>
  <c r="BD29" i="3"/>
  <c r="BD28" i="3"/>
  <c r="BD27" i="3"/>
  <c r="BD26" i="3"/>
  <c r="BD25" i="3"/>
  <c r="BD24" i="3"/>
  <c r="BD23" i="3"/>
  <c r="BD22" i="3"/>
  <c r="BD40" i="4"/>
  <c r="BD39" i="4"/>
  <c r="BD38" i="4"/>
  <c r="BD37" i="4"/>
  <c r="BD36" i="4"/>
  <c r="BD35" i="4"/>
  <c r="BD34" i="4"/>
  <c r="BD33" i="4"/>
  <c r="BD32" i="4"/>
  <c r="BD31" i="4"/>
  <c r="BD30" i="4"/>
  <c r="BD29" i="4"/>
  <c r="BD28" i="4"/>
  <c r="BD27" i="4"/>
  <c r="BD35" i="5"/>
  <c r="BD34" i="5"/>
  <c r="BD33" i="5"/>
  <c r="BD32" i="5"/>
  <c r="BD31" i="5"/>
  <c r="BD30" i="5"/>
  <c r="BD29" i="5"/>
  <c r="BD28" i="5"/>
  <c r="BD27" i="5"/>
  <c r="BD26" i="5"/>
  <c r="BD25" i="5"/>
  <c r="BD26" i="12"/>
  <c r="BD25" i="12"/>
  <c r="BD24" i="12"/>
  <c r="BD23" i="12"/>
  <c r="BD22" i="12"/>
  <c r="BD21" i="12"/>
  <c r="BD20" i="12"/>
  <c r="BD36" i="9"/>
  <c r="BD35" i="9"/>
  <c r="BD34" i="9"/>
  <c r="BD33" i="9"/>
  <c r="BD32" i="9"/>
  <c r="BD31" i="9"/>
  <c r="BD30" i="9"/>
  <c r="BD29" i="9"/>
  <c r="BD28" i="9"/>
  <c r="BD27" i="9"/>
  <c r="BD26" i="9"/>
  <c r="BD38" i="10"/>
  <c r="BD37" i="10"/>
  <c r="BD36" i="10"/>
  <c r="BD35" i="10"/>
  <c r="BD34" i="10"/>
  <c r="BD33" i="10"/>
  <c r="BD32" i="10"/>
  <c r="BD36" i="11"/>
  <c r="BD35" i="11"/>
  <c r="BD34" i="11"/>
  <c r="BD33" i="11"/>
  <c r="BD32" i="11"/>
  <c r="BU123" i="1"/>
  <c r="BU122" i="1"/>
  <c r="BU121" i="1"/>
  <c r="BU120" i="1"/>
  <c r="BU119" i="1"/>
  <c r="BU111" i="1"/>
  <c r="BU110" i="1"/>
  <c r="BU109" i="1"/>
  <c r="BU108" i="1"/>
  <c r="BU107" i="1"/>
  <c r="BU106" i="1"/>
  <c r="BU105" i="1"/>
  <c r="BU84" i="1"/>
  <c r="BU83" i="1"/>
  <c r="BU82" i="1"/>
  <c r="BU81" i="1"/>
  <c r="BU80" i="1"/>
  <c r="BU79" i="1"/>
  <c r="BU78" i="1"/>
  <c r="BU77" i="1"/>
  <c r="BU76" i="1"/>
  <c r="BU75" i="1"/>
  <c r="BU74" i="1"/>
  <c r="BU73" i="1"/>
  <c r="BU72" i="1"/>
  <c r="BU71" i="1"/>
  <c r="BU70" i="1"/>
  <c r="BU69" i="1"/>
  <c r="BU68" i="1"/>
  <c r="BU67" i="1"/>
  <c r="BU66" i="1"/>
  <c r="BU26" i="1"/>
  <c r="BU25" i="1"/>
  <c r="BU24" i="1"/>
  <c r="BU23" i="1"/>
  <c r="BU22" i="1"/>
  <c r="BU21" i="1"/>
  <c r="BU20" i="1"/>
  <c r="BU19" i="1"/>
  <c r="BU18" i="1"/>
  <c r="BU17" i="1"/>
  <c r="BU16" i="1"/>
  <c r="BU65" i="1"/>
  <c r="BU64" i="1"/>
  <c r="BU63" i="1"/>
  <c r="BU62" i="1"/>
  <c r="BU61" i="1"/>
  <c r="BU60" i="1"/>
  <c r="BU59" i="1"/>
  <c r="BU58" i="1"/>
  <c r="BU57" i="1"/>
  <c r="BU56" i="1"/>
  <c r="BU55" i="1"/>
  <c r="BU54" i="1"/>
  <c r="BU98" i="1"/>
  <c r="BU97" i="1"/>
  <c r="BU96" i="1"/>
  <c r="BU95" i="1"/>
  <c r="BU94" i="1"/>
  <c r="BU93" i="1"/>
  <c r="BU92" i="1"/>
  <c r="BU91" i="1"/>
  <c r="BU90" i="1"/>
  <c r="BU89" i="1"/>
  <c r="BU88" i="1"/>
  <c r="BU87" i="1"/>
  <c r="BU86" i="1"/>
  <c r="BU85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15" i="1"/>
  <c r="BU14" i="1"/>
  <c r="BU13" i="1"/>
  <c r="BU12" i="1"/>
  <c r="BU11" i="1"/>
  <c r="BU10" i="1"/>
  <c r="BU9" i="1"/>
  <c r="BU8" i="1"/>
  <c r="BU7" i="1"/>
  <c r="E17" i="8"/>
  <c r="AO34" i="8" s="1"/>
  <c r="E16" i="8"/>
  <c r="AO33" i="8" s="1"/>
  <c r="E15" i="8"/>
  <c r="AO32" i="8" s="1"/>
  <c r="E14" i="8"/>
  <c r="AO31" i="8" s="1"/>
  <c r="E13" i="8"/>
  <c r="AO30" i="8" s="1"/>
  <c r="E12" i="8"/>
  <c r="AO29" i="8" s="1"/>
  <c r="E11" i="8"/>
  <c r="AO28" i="8" s="1"/>
  <c r="E10" i="8"/>
  <c r="AO27" i="8" s="1"/>
  <c r="E9" i="8"/>
  <c r="AO26" i="8" s="1"/>
  <c r="E8" i="8"/>
  <c r="AO25" i="8" s="1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E15" i="3"/>
  <c r="E14" i="3"/>
  <c r="E13" i="3"/>
  <c r="E12" i="3"/>
  <c r="BL12" i="3" s="1"/>
  <c r="E11" i="3"/>
  <c r="E10" i="3"/>
  <c r="E9" i="3"/>
  <c r="E8" i="3"/>
  <c r="BL8" i="3" s="1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E20" i="4"/>
  <c r="AO40" i="4" s="1"/>
  <c r="E19" i="4"/>
  <c r="AO39" i="4" s="1"/>
  <c r="E18" i="4"/>
  <c r="AO38" i="4" s="1"/>
  <c r="E17" i="4"/>
  <c r="AO37" i="4" s="1"/>
  <c r="E16" i="4"/>
  <c r="AO36" i="4" s="1"/>
  <c r="E15" i="4"/>
  <c r="AO35" i="4" s="1"/>
  <c r="E14" i="4"/>
  <c r="AO34" i="4" s="1"/>
  <c r="E13" i="4"/>
  <c r="AO33" i="4" s="1"/>
  <c r="E12" i="4"/>
  <c r="AO32" i="4" s="1"/>
  <c r="E11" i="4"/>
  <c r="AO31" i="4" s="1"/>
  <c r="E10" i="4"/>
  <c r="AO30" i="4" s="1"/>
  <c r="E9" i="4"/>
  <c r="AO29" i="4" s="1"/>
  <c r="E8" i="4"/>
  <c r="AO28" i="4" s="1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BE40" i="4" s="1"/>
  <c r="AP40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BE39" i="4" s="1"/>
  <c r="AP39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BE38" i="4" s="1"/>
  <c r="AP38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BE36" i="4" s="1"/>
  <c r="AP36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BE35" i="4" s="1"/>
  <c r="AP35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BE32" i="4" s="1"/>
  <c r="AP32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BE31" i="4" s="1"/>
  <c r="AP31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BE30" i="4" s="1"/>
  <c r="AP30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BE28" i="4" s="1"/>
  <c r="AP28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E20" i="6"/>
  <c r="AO40" i="6" s="1"/>
  <c r="E19" i="6"/>
  <c r="AO39" i="6" s="1"/>
  <c r="E18" i="6"/>
  <c r="AO38" i="6" s="1"/>
  <c r="E17" i="6"/>
  <c r="AO37" i="6" s="1"/>
  <c r="E16" i="6"/>
  <c r="AO36" i="6" s="1"/>
  <c r="E15" i="6"/>
  <c r="AO35" i="6" s="1"/>
  <c r="E14" i="6"/>
  <c r="AO34" i="6" s="1"/>
  <c r="E13" i="6"/>
  <c r="AO33" i="6" s="1"/>
  <c r="E12" i="6"/>
  <c r="AO32" i="6" s="1"/>
  <c r="E11" i="6"/>
  <c r="AO31" i="6" s="1"/>
  <c r="E10" i="6"/>
  <c r="AO30" i="6" s="1"/>
  <c r="E9" i="6"/>
  <c r="AO29" i="6" s="1"/>
  <c r="E8" i="6"/>
  <c r="AO28" i="6" s="1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E13" i="12"/>
  <c r="AO26" i="12" s="1"/>
  <c r="E12" i="12"/>
  <c r="AO25" i="12" s="1"/>
  <c r="E11" i="12"/>
  <c r="AO24" i="12" s="1"/>
  <c r="E10" i="12"/>
  <c r="AO23" i="12" s="1"/>
  <c r="E9" i="12"/>
  <c r="AO22" i="12"/>
  <c r="E8" i="12"/>
  <c r="AO21" i="12" s="1"/>
  <c r="E7" i="12"/>
  <c r="AO20" i="12" s="1"/>
  <c r="E18" i="7"/>
  <c r="AO36" i="7" s="1"/>
  <c r="E17" i="7"/>
  <c r="AO35" i="7" s="1"/>
  <c r="E16" i="7"/>
  <c r="AO34" i="7" s="1"/>
  <c r="E15" i="7"/>
  <c r="AO33" i="7" s="1"/>
  <c r="E14" i="7"/>
  <c r="AO32" i="7" s="1"/>
  <c r="E13" i="7"/>
  <c r="AO31" i="7"/>
  <c r="E18" i="9"/>
  <c r="AO36" i="9" s="1"/>
  <c r="E17" i="9"/>
  <c r="AO35" i="9" s="1"/>
  <c r="E16" i="9"/>
  <c r="AO34" i="9" s="1"/>
  <c r="E15" i="9"/>
  <c r="AO33" i="9" s="1"/>
  <c r="E14" i="9"/>
  <c r="AO32" i="9" s="1"/>
  <c r="E13" i="9"/>
  <c r="AO31" i="9" s="1"/>
  <c r="E12" i="9"/>
  <c r="AO30" i="9" s="1"/>
  <c r="E11" i="9"/>
  <c r="AO29" i="9" s="1"/>
  <c r="E10" i="9"/>
  <c r="AO28" i="9" s="1"/>
  <c r="E9" i="9"/>
  <c r="AO27" i="9" s="1"/>
  <c r="E8" i="9"/>
  <c r="AO26" i="9" s="1"/>
  <c r="AO38" i="10"/>
  <c r="AO37" i="10"/>
  <c r="AO36" i="10"/>
  <c r="AO35" i="10"/>
  <c r="AO34" i="10"/>
  <c r="AO33" i="10"/>
  <c r="E18" i="11"/>
  <c r="AO36" i="11" s="1"/>
  <c r="E17" i="11"/>
  <c r="AO35" i="11" s="1"/>
  <c r="E16" i="11"/>
  <c r="AO34" i="11" s="1"/>
  <c r="E15" i="11"/>
  <c r="AO33" i="11" s="1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BC36" i="9"/>
  <c r="BB36" i="9"/>
  <c r="BA36" i="9"/>
  <c r="AZ36" i="9"/>
  <c r="AY36" i="9"/>
  <c r="AX36" i="9"/>
  <c r="AW36" i="9"/>
  <c r="AV36" i="9"/>
  <c r="AU36" i="9"/>
  <c r="BK36" i="9" s="1"/>
  <c r="AT36" i="9"/>
  <c r="AS36" i="9"/>
  <c r="AR36" i="9"/>
  <c r="AQ36" i="9"/>
  <c r="AP36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BC28" i="9"/>
  <c r="BB28" i="9"/>
  <c r="BA28" i="9"/>
  <c r="AZ28" i="9"/>
  <c r="AY28" i="9"/>
  <c r="AX28" i="9"/>
  <c r="AW28" i="9"/>
  <c r="AV28" i="9"/>
  <c r="AU28" i="9"/>
  <c r="BK28" i="9" s="1"/>
  <c r="AT28" i="9"/>
  <c r="AS28" i="9"/>
  <c r="AR28" i="9"/>
  <c r="AQ28" i="9"/>
  <c r="AP28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8" i="10"/>
  <c r="AP37" i="10"/>
  <c r="AP36" i="10"/>
  <c r="AP35" i="10"/>
  <c r="AP34" i="10"/>
  <c r="AP33" i="10"/>
  <c r="AP32" i="10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6" i="11"/>
  <c r="AP35" i="11"/>
  <c r="AP34" i="11"/>
  <c r="AP33" i="11"/>
  <c r="AP32" i="11"/>
  <c r="E14" i="11"/>
  <c r="AO32" i="11" s="1"/>
  <c r="E7" i="9"/>
  <c r="AO25" i="9" s="1"/>
  <c r="E7" i="7"/>
  <c r="AO25" i="7" s="1"/>
  <c r="E7" i="6"/>
  <c r="AO27" i="6" s="1"/>
  <c r="E19" i="5"/>
  <c r="AO36" i="5" s="1"/>
  <c r="E18" i="5"/>
  <c r="AO35" i="5" s="1"/>
  <c r="E17" i="5"/>
  <c r="AO34" i="5" s="1"/>
  <c r="E16" i="5"/>
  <c r="AO33" i="5" s="1"/>
  <c r="E15" i="5"/>
  <c r="AO32" i="5" s="1"/>
  <c r="E14" i="5"/>
  <c r="AO31" i="5" s="1"/>
  <c r="E13" i="5"/>
  <c r="AO30" i="5" s="1"/>
  <c r="E12" i="5"/>
  <c r="AO29" i="5" s="1"/>
  <c r="E11" i="5"/>
  <c r="AO28" i="5" s="1"/>
  <c r="E10" i="5"/>
  <c r="AO27" i="5" s="1"/>
  <c r="E9" i="5"/>
  <c r="AO26" i="5" s="1"/>
  <c r="E8" i="5"/>
  <c r="AO25" i="5" s="1"/>
  <c r="E7" i="5"/>
  <c r="AO24" i="5" s="1"/>
  <c r="E7" i="4"/>
  <c r="AO27" i="4" s="1"/>
  <c r="E7" i="8"/>
  <c r="AO24" i="8" s="1"/>
  <c r="E7" i="3"/>
  <c r="BK32" i="9" l="1"/>
  <c r="BE30" i="9"/>
  <c r="BS30" i="9"/>
  <c r="BR30" i="9"/>
  <c r="BQ30" i="9"/>
  <c r="BP30" i="9"/>
  <c r="BO30" i="9"/>
  <c r="BS29" i="9"/>
  <c r="BR29" i="9"/>
  <c r="BQ29" i="9"/>
  <c r="BP29" i="9"/>
  <c r="BO29" i="9"/>
  <c r="BE29" i="9"/>
  <c r="BK31" i="9"/>
  <c r="BS28" i="9"/>
  <c r="BR28" i="9"/>
  <c r="BQ28" i="9"/>
  <c r="BP28" i="9"/>
  <c r="BO28" i="9"/>
  <c r="BE28" i="9"/>
  <c r="BK30" i="9"/>
  <c r="BP36" i="9"/>
  <c r="BO36" i="9"/>
  <c r="BE36" i="9"/>
  <c r="BS36" i="9"/>
  <c r="BR36" i="9"/>
  <c r="BQ36" i="9"/>
  <c r="BS31" i="9"/>
  <c r="BR31" i="9"/>
  <c r="BQ31" i="9"/>
  <c r="BP31" i="9"/>
  <c r="BE31" i="9"/>
  <c r="BO31" i="9"/>
  <c r="BK29" i="9"/>
  <c r="BS35" i="9"/>
  <c r="BR35" i="9"/>
  <c r="BQ35" i="9"/>
  <c r="BP35" i="9"/>
  <c r="BE35" i="9"/>
  <c r="BO35" i="9"/>
  <c r="BK25" i="9"/>
  <c r="BR26" i="9"/>
  <c r="BQ26" i="9"/>
  <c r="BP26" i="9"/>
  <c r="BO26" i="9"/>
  <c r="BE26" i="9"/>
  <c r="BS26" i="9"/>
  <c r="BE34" i="9"/>
  <c r="BS34" i="9"/>
  <c r="BR34" i="9"/>
  <c r="BQ34" i="9"/>
  <c r="BP34" i="9"/>
  <c r="BO34" i="9"/>
  <c r="BK33" i="9"/>
  <c r="BS25" i="9"/>
  <c r="BR25" i="9"/>
  <c r="BQ25" i="9"/>
  <c r="BP25" i="9"/>
  <c r="BO25" i="9"/>
  <c r="BE25" i="9"/>
  <c r="BK27" i="9"/>
  <c r="BO33" i="9"/>
  <c r="BE33" i="9"/>
  <c r="BS33" i="9"/>
  <c r="BR33" i="9"/>
  <c r="BQ33" i="9"/>
  <c r="BP33" i="9"/>
  <c r="BK35" i="9"/>
  <c r="BS27" i="9"/>
  <c r="BR27" i="9"/>
  <c r="BQ27" i="9"/>
  <c r="BP27" i="9"/>
  <c r="BE27" i="9"/>
  <c r="BO27" i="9"/>
  <c r="BK26" i="9"/>
  <c r="BS32" i="9"/>
  <c r="BR32" i="9"/>
  <c r="BQ32" i="9"/>
  <c r="BP32" i="9"/>
  <c r="BO32" i="9"/>
  <c r="BE32" i="9"/>
  <c r="BK34" i="9"/>
  <c r="BV42" i="1"/>
  <c r="ET42" i="1" s="1"/>
  <c r="C42" i="1"/>
  <c r="EV42" i="1" s="1"/>
  <c r="BV89" i="1"/>
  <c r="ET89" i="1" s="1"/>
  <c r="C89" i="1"/>
  <c r="EV89" i="1" s="1"/>
  <c r="BV60" i="1"/>
  <c r="ET60" i="1" s="1"/>
  <c r="C60" i="1"/>
  <c r="EV60" i="1" s="1"/>
  <c r="BV81" i="1"/>
  <c r="ET81" i="1" s="1"/>
  <c r="C81" i="1"/>
  <c r="EV81" i="1" s="1"/>
  <c r="BV27" i="1"/>
  <c r="ET27" i="1" s="1"/>
  <c r="C27" i="1"/>
  <c r="EV27" i="1" s="1"/>
  <c r="BV43" i="1"/>
  <c r="ET43" i="1" s="1"/>
  <c r="C43" i="1"/>
  <c r="EV43" i="1" s="1"/>
  <c r="BV90" i="1"/>
  <c r="ET90" i="1" s="1"/>
  <c r="C90" i="1"/>
  <c r="EV90" i="1" s="1"/>
  <c r="BV61" i="1"/>
  <c r="ET61" i="1" s="1"/>
  <c r="C61" i="1"/>
  <c r="EV61" i="1" s="1"/>
  <c r="BV66" i="1"/>
  <c r="ET66" i="1" s="1"/>
  <c r="C66" i="1"/>
  <c r="EV66" i="1" s="1"/>
  <c r="BV82" i="1"/>
  <c r="ET82" i="1" s="1"/>
  <c r="C82" i="1"/>
  <c r="EV82" i="1" s="1"/>
  <c r="BV28" i="1"/>
  <c r="ET28" i="1" s="1"/>
  <c r="C28" i="1"/>
  <c r="EV28" i="1" s="1"/>
  <c r="BV44" i="1"/>
  <c r="ET44" i="1" s="1"/>
  <c r="C44" i="1"/>
  <c r="EV44" i="1" s="1"/>
  <c r="BV91" i="1"/>
  <c r="ET91" i="1" s="1"/>
  <c r="C91" i="1"/>
  <c r="EV91" i="1" s="1"/>
  <c r="BV62" i="1"/>
  <c r="ET62" i="1" s="1"/>
  <c r="C62" i="1"/>
  <c r="EV62" i="1" s="1"/>
  <c r="BV67" i="1"/>
  <c r="ET67" i="1" s="1"/>
  <c r="C67" i="1"/>
  <c r="EV67" i="1" s="1"/>
  <c r="BV83" i="1"/>
  <c r="ET83" i="1" s="1"/>
  <c r="C83" i="1"/>
  <c r="EV83" i="1" s="1"/>
  <c r="BV113" i="1"/>
  <c r="ET113" i="1" s="1"/>
  <c r="C113" i="1"/>
  <c r="EV113" i="1" s="1"/>
  <c r="BV29" i="1"/>
  <c r="ET29" i="1" s="1"/>
  <c r="C29" i="1"/>
  <c r="EV29" i="1" s="1"/>
  <c r="BV45" i="1"/>
  <c r="ET45" i="1" s="1"/>
  <c r="C45" i="1"/>
  <c r="EV45" i="1" s="1"/>
  <c r="BV92" i="1"/>
  <c r="ET92" i="1" s="1"/>
  <c r="C92" i="1"/>
  <c r="EV92" i="1" s="1"/>
  <c r="BV63" i="1"/>
  <c r="ET63" i="1" s="1"/>
  <c r="C63" i="1"/>
  <c r="EV63" i="1" s="1"/>
  <c r="BV68" i="1"/>
  <c r="ET68" i="1" s="1"/>
  <c r="C68" i="1"/>
  <c r="EV68" i="1" s="1"/>
  <c r="BV84" i="1"/>
  <c r="ET84" i="1" s="1"/>
  <c r="C84" i="1"/>
  <c r="EV84" i="1" s="1"/>
  <c r="BV114" i="1"/>
  <c r="ET114" i="1" s="1"/>
  <c r="C114" i="1"/>
  <c r="EV114" i="1" s="1"/>
  <c r="BE29" i="4"/>
  <c r="BE37" i="4"/>
  <c r="BV30" i="1"/>
  <c r="ET30" i="1" s="1"/>
  <c r="C30" i="1"/>
  <c r="EV30" i="1" s="1"/>
  <c r="BV46" i="1"/>
  <c r="ET46" i="1" s="1"/>
  <c r="C46" i="1"/>
  <c r="EV46" i="1" s="1"/>
  <c r="BV93" i="1"/>
  <c r="ET93" i="1" s="1"/>
  <c r="C93" i="1"/>
  <c r="EV93" i="1" s="1"/>
  <c r="BV64" i="1"/>
  <c r="ET64" i="1" s="1"/>
  <c r="C64" i="1"/>
  <c r="EV64" i="1" s="1"/>
  <c r="BV69" i="1"/>
  <c r="ET69" i="1" s="1"/>
  <c r="C69" i="1"/>
  <c r="EV69" i="1" s="1"/>
  <c r="BV105" i="1"/>
  <c r="ET105" i="1" s="1"/>
  <c r="C105" i="1"/>
  <c r="EV105" i="1" s="1"/>
  <c r="BV115" i="1"/>
  <c r="ET115" i="1" s="1"/>
  <c r="C115" i="1"/>
  <c r="EV115" i="1" s="1"/>
  <c r="BV31" i="1"/>
  <c r="ET31" i="1" s="1"/>
  <c r="C31" i="1"/>
  <c r="EV31" i="1" s="1"/>
  <c r="BV47" i="1"/>
  <c r="ET47" i="1" s="1"/>
  <c r="C47" i="1"/>
  <c r="EV47" i="1" s="1"/>
  <c r="BV94" i="1"/>
  <c r="ET94" i="1" s="1"/>
  <c r="C94" i="1"/>
  <c r="EV94" i="1" s="1"/>
  <c r="BV65" i="1"/>
  <c r="ET65" i="1" s="1"/>
  <c r="C65" i="1"/>
  <c r="EV65" i="1" s="1"/>
  <c r="BV70" i="1"/>
  <c r="ET70" i="1" s="1"/>
  <c r="C70" i="1"/>
  <c r="EV70" i="1" s="1"/>
  <c r="BV106" i="1"/>
  <c r="ET106" i="1" s="1"/>
  <c r="C106" i="1"/>
  <c r="EV106" i="1" s="1"/>
  <c r="BV116" i="1"/>
  <c r="ET116" i="1" s="1"/>
  <c r="C116" i="1"/>
  <c r="EV116" i="1" s="1"/>
  <c r="BV32" i="1"/>
  <c r="ET32" i="1" s="1"/>
  <c r="C32" i="1"/>
  <c r="EV32" i="1" s="1"/>
  <c r="BV48" i="1"/>
  <c r="ET48" i="1" s="1"/>
  <c r="C48" i="1"/>
  <c r="EV48" i="1" s="1"/>
  <c r="BV95" i="1"/>
  <c r="ET95" i="1" s="1"/>
  <c r="C95" i="1"/>
  <c r="EV95" i="1" s="1"/>
  <c r="BV71" i="1"/>
  <c r="ET71" i="1" s="1"/>
  <c r="C71" i="1"/>
  <c r="EV71" i="1" s="1"/>
  <c r="BV107" i="1"/>
  <c r="ET107" i="1" s="1"/>
  <c r="C107" i="1"/>
  <c r="EV107" i="1" s="1"/>
  <c r="BV117" i="1"/>
  <c r="ET117" i="1" s="1"/>
  <c r="C117" i="1"/>
  <c r="EV117" i="1" s="1"/>
  <c r="BV33" i="1"/>
  <c r="ET33" i="1" s="1"/>
  <c r="C33" i="1"/>
  <c r="EV33" i="1" s="1"/>
  <c r="BV49" i="1"/>
  <c r="ET49" i="1" s="1"/>
  <c r="C49" i="1"/>
  <c r="EV49" i="1" s="1"/>
  <c r="BV96" i="1"/>
  <c r="ET96" i="1" s="1"/>
  <c r="C96" i="1"/>
  <c r="EV96" i="1" s="1"/>
  <c r="BV72" i="1"/>
  <c r="ET72" i="1" s="1"/>
  <c r="C72" i="1"/>
  <c r="EV72" i="1" s="1"/>
  <c r="BV108" i="1"/>
  <c r="ET108" i="1" s="1"/>
  <c r="C108" i="1"/>
  <c r="EV108" i="1" s="1"/>
  <c r="BV118" i="1"/>
  <c r="ET118" i="1" s="1"/>
  <c r="C118" i="1"/>
  <c r="EV118" i="1" s="1"/>
  <c r="BV34" i="1"/>
  <c r="ET34" i="1" s="1"/>
  <c r="C34" i="1"/>
  <c r="EV34" i="1" s="1"/>
  <c r="BV50" i="1"/>
  <c r="ET50" i="1" s="1"/>
  <c r="C50" i="1"/>
  <c r="EV50" i="1" s="1"/>
  <c r="BV97" i="1"/>
  <c r="ET97" i="1" s="1"/>
  <c r="C97" i="1"/>
  <c r="EV97" i="1" s="1"/>
  <c r="BV73" i="1"/>
  <c r="ET73" i="1" s="1"/>
  <c r="C73" i="1"/>
  <c r="EV73" i="1" s="1"/>
  <c r="BV109" i="1"/>
  <c r="ET109" i="1" s="1"/>
  <c r="C109" i="1"/>
  <c r="EV109" i="1" s="1"/>
  <c r="BV112" i="1"/>
  <c r="ET112" i="1" s="1"/>
  <c r="C112" i="1"/>
  <c r="EV112" i="1" s="1"/>
  <c r="BV35" i="1"/>
  <c r="ET35" i="1" s="1"/>
  <c r="C35" i="1"/>
  <c r="EV35" i="1" s="1"/>
  <c r="BV51" i="1"/>
  <c r="ET51" i="1" s="1"/>
  <c r="C51" i="1"/>
  <c r="EV51" i="1" s="1"/>
  <c r="BV98" i="1"/>
  <c r="ET98" i="1" s="1"/>
  <c r="C98" i="1"/>
  <c r="EV98" i="1" s="1"/>
  <c r="BV74" i="1"/>
  <c r="ET74" i="1" s="1"/>
  <c r="C74" i="1"/>
  <c r="EV74" i="1" s="1"/>
  <c r="BV110" i="1"/>
  <c r="ET110" i="1" s="1"/>
  <c r="C110" i="1"/>
  <c r="EV110" i="1" s="1"/>
  <c r="BV101" i="1"/>
  <c r="ET101" i="1" s="1"/>
  <c r="C101" i="1"/>
  <c r="EV101" i="1" s="1"/>
  <c r="BE34" i="4"/>
  <c r="BV36" i="1"/>
  <c r="ET36" i="1" s="1"/>
  <c r="C36" i="1"/>
  <c r="EV36" i="1" s="1"/>
  <c r="BV52" i="1"/>
  <c r="ET52" i="1" s="1"/>
  <c r="C52" i="1"/>
  <c r="EV52" i="1" s="1"/>
  <c r="BV54" i="1"/>
  <c r="ET54" i="1" s="1"/>
  <c r="C54" i="1"/>
  <c r="EV54" i="1" s="1"/>
  <c r="BV75" i="1"/>
  <c r="ET75" i="1" s="1"/>
  <c r="C75" i="1"/>
  <c r="EV75" i="1" s="1"/>
  <c r="BV111" i="1"/>
  <c r="ET111" i="1" s="1"/>
  <c r="C111" i="1"/>
  <c r="EV111" i="1" s="1"/>
  <c r="BV102" i="1"/>
  <c r="ET102" i="1" s="1"/>
  <c r="C102" i="1"/>
  <c r="EV102" i="1" s="1"/>
  <c r="BV37" i="1"/>
  <c r="ET37" i="1" s="1"/>
  <c r="C37" i="1"/>
  <c r="EV37" i="1" s="1"/>
  <c r="BV53" i="1"/>
  <c r="ET53" i="1" s="1"/>
  <c r="C53" i="1"/>
  <c r="EV53" i="1" s="1"/>
  <c r="BV55" i="1"/>
  <c r="ET55" i="1" s="1"/>
  <c r="C55" i="1"/>
  <c r="EV55" i="1" s="1"/>
  <c r="BV76" i="1"/>
  <c r="ET76" i="1" s="1"/>
  <c r="C76" i="1"/>
  <c r="EV76" i="1" s="1"/>
  <c r="BV119" i="1"/>
  <c r="ET119" i="1" s="1"/>
  <c r="C119" i="1"/>
  <c r="EV119" i="1" s="1"/>
  <c r="BV103" i="1"/>
  <c r="ET103" i="1" s="1"/>
  <c r="C103" i="1"/>
  <c r="EV103" i="1" s="1"/>
  <c r="BE33" i="4"/>
  <c r="BV38" i="1"/>
  <c r="ET38" i="1" s="1"/>
  <c r="C38" i="1"/>
  <c r="EV38" i="1" s="1"/>
  <c r="BV85" i="1"/>
  <c r="ET85" i="1" s="1"/>
  <c r="C85" i="1"/>
  <c r="EV85" i="1" s="1"/>
  <c r="BV56" i="1"/>
  <c r="ET56" i="1" s="1"/>
  <c r="C56" i="1"/>
  <c r="EV56" i="1" s="1"/>
  <c r="BV77" i="1"/>
  <c r="ET77" i="1" s="1"/>
  <c r="C77" i="1"/>
  <c r="EV77" i="1" s="1"/>
  <c r="BV120" i="1"/>
  <c r="ET120" i="1" s="1"/>
  <c r="C120" i="1"/>
  <c r="EV120" i="1" s="1"/>
  <c r="BV104" i="1"/>
  <c r="ET104" i="1" s="1"/>
  <c r="C104" i="1"/>
  <c r="EV104" i="1" s="1"/>
  <c r="BV39" i="1"/>
  <c r="ET39" i="1" s="1"/>
  <c r="C39" i="1"/>
  <c r="EV39" i="1" s="1"/>
  <c r="BV86" i="1"/>
  <c r="ET86" i="1" s="1"/>
  <c r="C86" i="1"/>
  <c r="EV86" i="1" s="1"/>
  <c r="BV57" i="1"/>
  <c r="ET57" i="1" s="1"/>
  <c r="C57" i="1"/>
  <c r="EV57" i="1" s="1"/>
  <c r="BV78" i="1"/>
  <c r="ET78" i="1" s="1"/>
  <c r="C78" i="1"/>
  <c r="EV78" i="1" s="1"/>
  <c r="BV121" i="1"/>
  <c r="ET121" i="1" s="1"/>
  <c r="C121" i="1"/>
  <c r="EV121" i="1" s="1"/>
  <c r="BV99" i="1"/>
  <c r="ET99" i="1" s="1"/>
  <c r="C99" i="1"/>
  <c r="EV99" i="1" s="1"/>
  <c r="BV40" i="1"/>
  <c r="ET40" i="1" s="1"/>
  <c r="C40" i="1"/>
  <c r="EV40" i="1" s="1"/>
  <c r="BV87" i="1"/>
  <c r="ET87" i="1" s="1"/>
  <c r="C87" i="1"/>
  <c r="EV87" i="1" s="1"/>
  <c r="BV58" i="1"/>
  <c r="ET58" i="1" s="1"/>
  <c r="C58" i="1"/>
  <c r="EV58" i="1" s="1"/>
  <c r="BV79" i="1"/>
  <c r="ET79" i="1" s="1"/>
  <c r="C79" i="1"/>
  <c r="EV79" i="1" s="1"/>
  <c r="BV122" i="1"/>
  <c r="ET122" i="1" s="1"/>
  <c r="C122" i="1"/>
  <c r="EV122" i="1" s="1"/>
  <c r="BV100" i="1"/>
  <c r="ET100" i="1" s="1"/>
  <c r="C100" i="1"/>
  <c r="EV100" i="1" s="1"/>
  <c r="BV41" i="1"/>
  <c r="ET41" i="1" s="1"/>
  <c r="C41" i="1"/>
  <c r="EV41" i="1" s="1"/>
  <c r="BV88" i="1"/>
  <c r="ET88" i="1" s="1"/>
  <c r="C88" i="1"/>
  <c r="EV88" i="1" s="1"/>
  <c r="BV59" i="1"/>
  <c r="ET59" i="1" s="1"/>
  <c r="C59" i="1"/>
  <c r="EV59" i="1" s="1"/>
  <c r="BV80" i="1"/>
  <c r="ET80" i="1" s="1"/>
  <c r="C80" i="1"/>
  <c r="EV80" i="1" s="1"/>
  <c r="BV123" i="1"/>
  <c r="ET123" i="1" s="1"/>
  <c r="C123" i="1"/>
  <c r="EV123" i="1" s="1"/>
  <c r="BV130" i="1"/>
  <c r="BV129" i="1"/>
  <c r="BT130" i="1"/>
  <c r="BT129" i="1"/>
  <c r="BU130" i="1"/>
  <c r="BU129" i="1"/>
  <c r="E34" i="10"/>
  <c r="E42" i="10"/>
  <c r="E45" i="10"/>
  <c r="AO27" i="3"/>
  <c r="BW129" i="1"/>
  <c r="BW130" i="1"/>
  <c r="BV15" i="1"/>
  <c r="ET15" i="1" s="1"/>
  <c r="BV18" i="1"/>
  <c r="ET18" i="1" s="1"/>
  <c r="BV26" i="1"/>
  <c r="ET26" i="1" s="1"/>
  <c r="AO30" i="3"/>
  <c r="BL15" i="3"/>
  <c r="BV7" i="1"/>
  <c r="ET7" i="1" s="1"/>
  <c r="BV9" i="1"/>
  <c r="ET9" i="1" s="1"/>
  <c r="BV13" i="1"/>
  <c r="ET13" i="1" s="1"/>
  <c r="BV16" i="1"/>
  <c r="ET16" i="1" s="1"/>
  <c r="BV20" i="1"/>
  <c r="ET20" i="1" s="1"/>
  <c r="BV24" i="1"/>
  <c r="ET24" i="1" s="1"/>
  <c r="AO25" i="3"/>
  <c r="BL10" i="3"/>
  <c r="BV11" i="1"/>
  <c r="ET11" i="1" s="1"/>
  <c r="AO24" i="3"/>
  <c r="BL9" i="3"/>
  <c r="BV10" i="1"/>
  <c r="ET10" i="1" s="1"/>
  <c r="BV14" i="1"/>
  <c r="ET14" i="1" s="1"/>
  <c r="BV17" i="1"/>
  <c r="ET17" i="1" s="1"/>
  <c r="BV21" i="1"/>
  <c r="ET21" i="1" s="1"/>
  <c r="BV25" i="1"/>
  <c r="ET25" i="1" s="1"/>
  <c r="AO28" i="3"/>
  <c r="BL13" i="3"/>
  <c r="BV22" i="1"/>
  <c r="ET22" i="1" s="1"/>
  <c r="AO22" i="3"/>
  <c r="BL7" i="3"/>
  <c r="AO23" i="3"/>
  <c r="AO26" i="3"/>
  <c r="BL11" i="3"/>
  <c r="AO29" i="3"/>
  <c r="BL14" i="3"/>
  <c r="BV8" i="1"/>
  <c r="ET8" i="1" s="1"/>
  <c r="BV12" i="1"/>
  <c r="ET12" i="1" s="1"/>
  <c r="BV19" i="1"/>
  <c r="ET19" i="1" s="1"/>
  <c r="BV23" i="1"/>
  <c r="ET23" i="1" s="1"/>
  <c r="E31" i="10"/>
  <c r="E38" i="10"/>
  <c r="E32" i="10"/>
  <c r="E33" i="10"/>
  <c r="E35" i="10"/>
  <c r="E36" i="10"/>
  <c r="E37" i="10"/>
  <c r="E39" i="10"/>
  <c r="E40" i="10"/>
  <c r="E41" i="10"/>
  <c r="E43" i="10"/>
  <c r="E44" i="10"/>
  <c r="AM22" i="3"/>
  <c r="AM24" i="5"/>
  <c r="AM20" i="12"/>
  <c r="AM24" i="12"/>
  <c r="AM23" i="12"/>
  <c r="AM25" i="12"/>
  <c r="AM22" i="12"/>
  <c r="AM26" i="12"/>
  <c r="AM21" i="12"/>
  <c r="AM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5" authorId="0" shapeId="0" xr:uid="{4FC9EBE9-59E9-DA40-8C9A-5DCD5CDF2282}">
      <text>
        <r>
          <rPr>
            <sz val="10"/>
            <color rgb="FF000000"/>
            <rFont val="Arial"/>
            <family val="2"/>
          </rPr>
          <t>disagreement about depths for this profile - see alternate numbers to right of IGSN column
	-Will Cook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5" authorId="0" shapeId="0" xr:uid="{00000000-0006-0000-0100-000001000000}">
      <text>
        <r>
          <rPr>
            <sz val="10"/>
            <color rgb="FF000000"/>
            <rFont val="Arial"/>
            <family val="2"/>
          </rPr>
          <t>disagreement about depths for this profile - see alternate numbers to right of IGSN column
	-Will Cook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0" authorId="0" shapeId="0" xr:uid="{C3C9E200-714D-BE49-8325-B7FD627D4A62}">
      <text>
        <r>
          <rPr>
            <sz val="10"/>
            <color rgb="FF000000"/>
            <rFont val="Arial"/>
            <family val="2"/>
          </rPr>
          <t>disagreement about depths for this profile - see alternate numbers to right of IGSN column
	-Will Cook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700-000001000000}">
      <text>
        <r>
          <rPr>
            <sz val="10"/>
            <color rgb="FF000000"/>
            <rFont val="Arial"/>
            <family val="2"/>
          </rPr>
          <t>disagreement about depths for this profile - see alternate numbers to right of IGSN column
	-Will Cook</t>
        </r>
      </text>
    </comment>
  </commentList>
</comments>
</file>

<file path=xl/sharedStrings.xml><?xml version="1.0" encoding="utf-8"?>
<sst xmlns="http://schemas.openxmlformats.org/spreadsheetml/2006/main" count="8384" uniqueCount="671">
  <si>
    <t>Report Number: A16-13854</t>
  </si>
  <si>
    <t>Report Date: 7/2/2017</t>
  </si>
  <si>
    <t>Analyte Symbol</t>
  </si>
  <si>
    <t>SiO2</t>
  </si>
  <si>
    <t>Al2O3</t>
  </si>
  <si>
    <t>Fe2O3(T)</t>
  </si>
  <si>
    <t>MnO</t>
  </si>
  <si>
    <t>MgO</t>
  </si>
  <si>
    <t>CaO</t>
  </si>
  <si>
    <t>Na2O</t>
  </si>
  <si>
    <t>K2O</t>
  </si>
  <si>
    <t>TiO2</t>
  </si>
  <si>
    <t>P2O5</t>
  </si>
  <si>
    <t>LOI</t>
  </si>
  <si>
    <t>Total</t>
  </si>
  <si>
    <t>Sc</t>
  </si>
  <si>
    <t>Be</t>
  </si>
  <si>
    <t>V</t>
  </si>
  <si>
    <t>Cr</t>
  </si>
  <si>
    <t>Co</t>
  </si>
  <si>
    <t>Ni</t>
  </si>
  <si>
    <t>Cu</t>
  </si>
  <si>
    <t>Zn</t>
  </si>
  <si>
    <t>Ga</t>
  </si>
  <si>
    <t>Ge</t>
  </si>
  <si>
    <t>As</t>
  </si>
  <si>
    <t>Rb</t>
  </si>
  <si>
    <t>Sr</t>
  </si>
  <si>
    <t>Y</t>
  </si>
  <si>
    <t>Zr</t>
  </si>
  <si>
    <t>Nb</t>
  </si>
  <si>
    <t>Mo</t>
  </si>
  <si>
    <t>Ag</t>
  </si>
  <si>
    <t>In</t>
  </si>
  <si>
    <t>Sn</t>
  </si>
  <si>
    <t>Sb</t>
  </si>
  <si>
    <t>Cs</t>
  </si>
  <si>
    <t>Ba</t>
  </si>
  <si>
    <t>Bi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</si>
  <si>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</si>
  <si>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</si>
  <si>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</si>
  <si>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</si>
  <si>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</si>
  <si>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</si>
  <si>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</si>
  <si>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</si>
  <si>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</si>
  <si>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</si>
  <si>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</si>
  <si>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</si>
  <si>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</si>
  <si>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</si>
  <si>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</si>
  <si>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</si>
  <si>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</si>
  <si>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Tl</t>
  </si>
  <si>
    <t>Pb</t>
  </si>
  <si>
    <t>Th</t>
  </si>
  <si>
    <t>U</t>
  </si>
  <si>
    <t>Unit Symbol</t>
  </si>
  <si>
    <t>%</t>
  </si>
  <si>
    <t>ppm</t>
  </si>
  <si>
    <t>Detection Limit</t>
  </si>
  <si>
    <t>Analysis Method</t>
  </si>
  <si>
    <t>FUS-ICP</t>
  </si>
  <si>
    <t>FUS-MS</t>
  </si>
  <si>
    <t xml:space="preserve">R1C2EA01 </t>
  </si>
  <si>
    <t>&lt; 1</t>
  </si>
  <si>
    <t>&lt; 20</t>
  </si>
  <si>
    <t>&lt; 30</t>
  </si>
  <si>
    <t>&lt; 5</t>
  </si>
  <si>
    <t>&lt; 2</t>
  </si>
  <si>
    <t>&lt; 0.2</t>
  </si>
  <si>
    <t>&lt; 0.5</t>
  </si>
  <si>
    <t>&lt; 0.4</t>
  </si>
  <si>
    <t xml:space="preserve">R1C2EA02 </t>
  </si>
  <si>
    <t xml:space="preserve">R1C2EA03 </t>
  </si>
  <si>
    <t xml:space="preserve">R1C2EA04 </t>
  </si>
  <si>
    <t>&lt; 0.1</t>
  </si>
  <si>
    <t xml:space="preserve">R1C2EA05 </t>
  </si>
  <si>
    <t xml:space="preserve">R1C2EA06 </t>
  </si>
  <si>
    <t xml:space="preserve">R1C2EA07 </t>
  </si>
  <si>
    <t xml:space="preserve">R1C2EA08 </t>
  </si>
  <si>
    <t xml:space="preserve">R1C2EA09 </t>
  </si>
  <si>
    <t xml:space="preserve">R2H1EA01 </t>
  </si>
  <si>
    <t xml:space="preserve">R2H1EA02 </t>
  </si>
  <si>
    <t xml:space="preserve">R2H1EA03 </t>
  </si>
  <si>
    <t xml:space="preserve">R2H1EA04 </t>
  </si>
  <si>
    <t xml:space="preserve">R2H1EA05 </t>
  </si>
  <si>
    <t xml:space="preserve">R2H1EA06 </t>
  </si>
  <si>
    <t xml:space="preserve">R2H1EA07 </t>
  </si>
  <si>
    <t xml:space="preserve">R2H1EA08 </t>
  </si>
  <si>
    <t xml:space="preserve">R2H1EA09 </t>
  </si>
  <si>
    <t>&lt; 0.01</t>
  </si>
  <si>
    <t xml:space="preserve">R2H1EA10 </t>
  </si>
  <si>
    <t xml:space="preserve">R2H1EA11 </t>
  </si>
  <si>
    <t xml:space="preserve">R2H1EA12 </t>
  </si>
  <si>
    <t xml:space="preserve">R2H1EA13 </t>
  </si>
  <si>
    <t xml:space="preserve">R2H1EA14 </t>
  </si>
  <si>
    <t xml:space="preserve">R2P1EA01 </t>
  </si>
  <si>
    <t xml:space="preserve">R2P1EA02 </t>
  </si>
  <si>
    <t xml:space="preserve">R2P1EA03 </t>
  </si>
  <si>
    <t xml:space="preserve">R2P1EA04 </t>
  </si>
  <si>
    <t xml:space="preserve">R2P1EA05 </t>
  </si>
  <si>
    <t xml:space="preserve">R2P1EA06 </t>
  </si>
  <si>
    <t xml:space="preserve">R2P1EA07 </t>
  </si>
  <si>
    <t xml:space="preserve">R2P1EA08 </t>
  </si>
  <si>
    <t xml:space="preserve">R2P1EA09 </t>
  </si>
  <si>
    <t xml:space="preserve">R2P1EA10 </t>
  </si>
  <si>
    <t xml:space="preserve">R2P1EA11 </t>
  </si>
  <si>
    <t xml:space="preserve">R2P1EA12 </t>
  </si>
  <si>
    <t xml:space="preserve">R2P1EA13 </t>
  </si>
  <si>
    <t xml:space="preserve">R7P2EA01 </t>
  </si>
  <si>
    <t>&lt; 10</t>
  </si>
  <si>
    <t xml:space="preserve">R7P2EA02 </t>
  </si>
  <si>
    <t xml:space="preserve">R7P2EA03 </t>
  </si>
  <si>
    <t xml:space="preserve">R7P2EA04 </t>
  </si>
  <si>
    <t xml:space="preserve">R7P2EA05 </t>
  </si>
  <si>
    <t xml:space="preserve">R7P2EA06 </t>
  </si>
  <si>
    <t xml:space="preserve">R7P2EA07 </t>
  </si>
  <si>
    <t xml:space="preserve">R7P2EA08 </t>
  </si>
  <si>
    <t xml:space="preserve">R7P2EA09 </t>
  </si>
  <si>
    <t xml:space="preserve">R7P2EA10 </t>
  </si>
  <si>
    <t xml:space="preserve">R7P2EA11 </t>
  </si>
  <si>
    <t xml:space="preserve">R7P2EA12 </t>
  </si>
  <si>
    <t xml:space="preserve">R7P2EA13 </t>
  </si>
  <si>
    <t xml:space="preserve">R7P2EA14 </t>
  </si>
  <si>
    <t xml:space="preserve">R7H1EA01 </t>
  </si>
  <si>
    <t xml:space="preserve">R7H1EA02 </t>
  </si>
  <si>
    <t xml:space="preserve">R7H1EA03 </t>
  </si>
  <si>
    <t xml:space="preserve">R7H1EA04 </t>
  </si>
  <si>
    <t xml:space="preserve">R7H1EA05 </t>
  </si>
  <si>
    <t xml:space="preserve">R7H1EA06 </t>
  </si>
  <si>
    <t xml:space="preserve">R7H1EA07 </t>
  </si>
  <si>
    <t xml:space="preserve">R7H1EA08 </t>
  </si>
  <si>
    <t xml:space="preserve">R7H1EA09 </t>
  </si>
  <si>
    <t xml:space="preserve">R7H1EA10 </t>
  </si>
  <si>
    <t xml:space="preserve">R7H1EA11 </t>
  </si>
  <si>
    <t xml:space="preserve">R7H1EA12 </t>
  </si>
  <si>
    <t xml:space="preserve">R1C3EA01 </t>
  </si>
  <si>
    <t xml:space="preserve">R1C3EA02 </t>
  </si>
  <si>
    <t xml:space="preserve">R1C3EA03 </t>
  </si>
  <si>
    <t xml:space="preserve">R1C3EA04 </t>
  </si>
  <si>
    <t xml:space="preserve">R1C3EA05 </t>
  </si>
  <si>
    <t xml:space="preserve">R1C3EA06 </t>
  </si>
  <si>
    <t xml:space="preserve">R1C3EA07 </t>
  </si>
  <si>
    <t xml:space="preserve">R1C3EA08 </t>
  </si>
  <si>
    <t xml:space="preserve">R1C3EA09 </t>
  </si>
  <si>
    <t xml:space="preserve">R1C3EA10 </t>
  </si>
  <si>
    <t xml:space="preserve">R1C3EA11 </t>
  </si>
  <si>
    <t xml:space="preserve">R7H2EA01 </t>
  </si>
  <si>
    <t xml:space="preserve">R7H2EA02 </t>
  </si>
  <si>
    <t xml:space="preserve">R7H2EA03 </t>
  </si>
  <si>
    <t xml:space="preserve">R7H2EA04 </t>
  </si>
  <si>
    <t xml:space="preserve">R7H2EA05 </t>
  </si>
  <si>
    <t xml:space="preserve">R7H2EA06 </t>
  </si>
  <si>
    <t xml:space="preserve">R7H2EA07 </t>
  </si>
  <si>
    <t xml:space="preserve">R7H2EA08 </t>
  </si>
  <si>
    <t xml:space="preserve">R7H2EA09 </t>
  </si>
  <si>
    <t xml:space="preserve">R7H2EA10 </t>
  </si>
  <si>
    <t xml:space="preserve">R7H2EA11 </t>
  </si>
  <si>
    <t xml:space="preserve">R7H2EA12 </t>
  </si>
  <si>
    <t xml:space="preserve">R7P1EA01 </t>
  </si>
  <si>
    <t xml:space="preserve">R7P1EA02 </t>
  </si>
  <si>
    <t xml:space="preserve">R7P1EA03 </t>
  </si>
  <si>
    <t xml:space="preserve">R7P1EA04 </t>
  </si>
  <si>
    <t xml:space="preserve">R7P1EA05 </t>
  </si>
  <si>
    <t xml:space="preserve">R7P1EA06 </t>
  </si>
  <si>
    <t xml:space="preserve">R7P1EA07 </t>
  </si>
  <si>
    <t xml:space="preserve">R8H1EA07 </t>
  </si>
  <si>
    <t xml:space="preserve">R8H1EA08 </t>
  </si>
  <si>
    <t xml:space="preserve">R8H1EA09 </t>
  </si>
  <si>
    <t xml:space="preserve">R8H1EA10 </t>
  </si>
  <si>
    <t xml:space="preserve">R8H1EA11 </t>
  </si>
  <si>
    <t xml:space="preserve">R8H1EA12 </t>
  </si>
  <si>
    <t xml:space="preserve">R8H1EA13 </t>
  </si>
  <si>
    <t xml:space="preserve">R8P1EA08 </t>
  </si>
  <si>
    <t xml:space="preserve">R8P1EA09 </t>
  </si>
  <si>
    <t xml:space="preserve">R8P1EA10 </t>
  </si>
  <si>
    <t xml:space="preserve">R8P1EA11 </t>
  </si>
  <si>
    <t xml:space="preserve">R8P1EA12 </t>
  </si>
  <si>
    <t xml:space="preserve">NIST 694 Meas </t>
  </si>
  <si>
    <t xml:space="preserve">NIST 694 Cert </t>
  </si>
  <si>
    <t xml:space="preserve">DNC-1 Meas </t>
  </si>
  <si>
    <t xml:space="preserve">DNC-1 Cert </t>
  </si>
  <si>
    <t xml:space="preserve">     47.15</t>
  </si>
  <si>
    <t xml:space="preserve">     18.34</t>
  </si>
  <si>
    <t xml:space="preserve">      9.97</t>
  </si>
  <si>
    <t xml:space="preserve">     0.150</t>
  </si>
  <si>
    <t xml:space="preserve">     10.13</t>
  </si>
  <si>
    <t xml:space="preserve">     11.49</t>
  </si>
  <si>
    <t xml:space="preserve">     1.890</t>
  </si>
  <si>
    <t xml:space="preserve">     0.234</t>
  </si>
  <si>
    <t xml:space="preserve">     0.480</t>
  </si>
  <si>
    <t xml:space="preserve">     0.070</t>
  </si>
  <si>
    <t xml:space="preserve">        31</t>
  </si>
  <si>
    <t xml:space="preserve">       270</t>
  </si>
  <si>
    <t xml:space="preserve">        57</t>
  </si>
  <si>
    <t xml:space="preserve">       247</t>
  </si>
  <si>
    <t xml:space="preserve">       100</t>
  </si>
  <si>
    <t xml:space="preserve">        70</t>
  </si>
  <si>
    <t xml:space="preserve">        15</t>
  </si>
  <si>
    <t xml:space="preserve">         5</t>
  </si>
  <si>
    <t xml:space="preserve">     144.0</t>
  </si>
  <si>
    <t xml:space="preserve">      18.0</t>
  </si>
  <si>
    <t xml:space="preserve">       118</t>
  </si>
  <si>
    <t xml:space="preserve">       3.6</t>
  </si>
  <si>
    <t xml:space="preserve">      5.20</t>
  </si>
  <si>
    <t xml:space="preserve">      0.59</t>
  </si>
  <si>
    <t xml:space="preserve">       2.0</t>
  </si>
  <si>
    <t xml:space="preserve">       6.3</t>
  </si>
  <si>
    <t xml:space="preserve">GBW 07113 Meas </t>
  </si>
  <si>
    <t xml:space="preserve">GBW 07113 Cert </t>
  </si>
  <si>
    <t xml:space="preserve">LKSD-3 Meas </t>
  </si>
  <si>
    <t xml:space="preserve">LKSD-3 Cert </t>
  </si>
  <si>
    <t xml:space="preserve">W-2a Meas </t>
  </si>
  <si>
    <t xml:space="preserve">W-2a Cert </t>
  </si>
  <si>
    <t xml:space="preserve">SY-4 Meas </t>
  </si>
  <si>
    <t xml:space="preserve">SY-4 Cert </t>
  </si>
  <si>
    <t xml:space="preserve">      49.9</t>
  </si>
  <si>
    <t xml:space="preserve">     20.69</t>
  </si>
  <si>
    <t xml:space="preserve">      6.21</t>
  </si>
  <si>
    <t xml:space="preserve">     0.108</t>
  </si>
  <si>
    <t xml:space="preserve">      0.54</t>
  </si>
  <si>
    <t xml:space="preserve">      8.05</t>
  </si>
  <si>
    <t xml:space="preserve">      7.10</t>
  </si>
  <si>
    <t xml:space="preserve">      1.66</t>
  </si>
  <si>
    <t xml:space="preserve">     0.287</t>
  </si>
  <si>
    <t xml:space="preserve">     0.131</t>
  </si>
  <si>
    <t xml:space="preserve">       1.1</t>
  </si>
  <si>
    <t xml:space="preserve">       2.6</t>
  </si>
  <si>
    <t xml:space="preserve">       8.0</t>
  </si>
  <si>
    <t xml:space="preserve">      1191</t>
  </si>
  <si>
    <t xml:space="preserve">       119</t>
  </si>
  <si>
    <t xml:space="preserve">       517</t>
  </si>
  <si>
    <t xml:space="preserve">       340</t>
  </si>
  <si>
    <t xml:space="preserve">CTA-AC-1 Meas </t>
  </si>
  <si>
    <t xml:space="preserve">CTA-AC-1 Cert </t>
  </si>
  <si>
    <t xml:space="preserve">      54.0</t>
  </si>
  <si>
    <t xml:space="preserve">      2176</t>
  </si>
  <si>
    <t xml:space="preserve">      3326</t>
  </si>
  <si>
    <t xml:space="preserve">      1087</t>
  </si>
  <si>
    <t xml:space="preserve">       162</t>
  </si>
  <si>
    <t xml:space="preserve">      46.7</t>
  </si>
  <si>
    <t xml:space="preserve">       124</t>
  </si>
  <si>
    <t xml:space="preserve">      13.9</t>
  </si>
  <si>
    <t xml:space="preserve">      11.4</t>
  </si>
  <si>
    <t xml:space="preserve">      1.08</t>
  </si>
  <si>
    <t xml:space="preserve">      2.65</t>
  </si>
  <si>
    <t xml:space="preserve">      21.8</t>
  </si>
  <si>
    <t xml:space="preserve">       4.4</t>
  </si>
  <si>
    <t xml:space="preserve">BIR-1a Meas </t>
  </si>
  <si>
    <t xml:space="preserve">BIR-1a Cert </t>
  </si>
  <si>
    <t xml:space="preserve">     47.96</t>
  </si>
  <si>
    <t xml:space="preserve">     15.50</t>
  </si>
  <si>
    <t xml:space="preserve">     11.30</t>
  </si>
  <si>
    <t xml:space="preserve">     0.175</t>
  </si>
  <si>
    <t xml:space="preserve">     9.700</t>
  </si>
  <si>
    <t xml:space="preserve">     13.30</t>
  </si>
  <si>
    <t xml:space="preserve">      1.82</t>
  </si>
  <si>
    <t xml:space="preserve">     0.030</t>
  </si>
  <si>
    <t xml:space="preserve">      0.96</t>
  </si>
  <si>
    <t xml:space="preserve">     0.021</t>
  </si>
  <si>
    <t xml:space="preserve">        44</t>
  </si>
  <si>
    <t xml:space="preserve">      0.58</t>
  </si>
  <si>
    <t xml:space="preserve">       370</t>
  </si>
  <si>
    <t xml:space="preserve">        52</t>
  </si>
  <si>
    <t xml:space="preserve">       170</t>
  </si>
  <si>
    <t xml:space="preserve">       125</t>
  </si>
  <si>
    <t xml:space="preserve">        16</t>
  </si>
  <si>
    <t xml:space="preserve">       110</t>
  </si>
  <si>
    <t xml:space="preserve">         6</t>
  </si>
  <si>
    <t xml:space="preserve">      0.63</t>
  </si>
  <si>
    <t xml:space="preserve">       2.5</t>
  </si>
  <si>
    <t xml:space="preserve">      0.55</t>
  </si>
  <si>
    <t xml:space="preserve">       1.7</t>
  </si>
  <si>
    <t xml:space="preserve">      0.60</t>
  </si>
  <si>
    <t xml:space="preserve">         3</t>
  </si>
  <si>
    <t xml:space="preserve">NCS DC86312 Meas </t>
  </si>
  <si>
    <t xml:space="preserve">NCS DC86312 Cert </t>
  </si>
  <si>
    <t xml:space="preserve">      2360</t>
  </si>
  <si>
    <t xml:space="preserve">       190</t>
  </si>
  <si>
    <t xml:space="preserve">      1600</t>
  </si>
  <si>
    <t xml:space="preserve">     225.0</t>
  </si>
  <si>
    <t xml:space="preserve">      34.6</t>
  </si>
  <si>
    <t xml:space="preserve">       183</t>
  </si>
  <si>
    <t xml:space="preserve">        36</t>
  </si>
  <si>
    <t xml:space="preserve">      96.2</t>
  </si>
  <si>
    <t xml:space="preserve">      15.1</t>
  </si>
  <si>
    <t xml:space="preserve">     87.79</t>
  </si>
  <si>
    <t xml:space="preserve">     11.96</t>
  </si>
  <si>
    <t xml:space="preserve">      23.6</t>
  </si>
  <si>
    <t xml:space="preserve">NCS DC70009 (GBW07241) Meas </t>
  </si>
  <si>
    <t xml:space="preserve">NCS DC70009 (GBW07241) Cert </t>
  </si>
  <si>
    <t xml:space="preserve">       2.8</t>
  </si>
  <si>
    <t xml:space="preserve">       960</t>
  </si>
  <si>
    <t xml:space="preserve">      16.5</t>
  </si>
  <si>
    <t xml:space="preserve">      11.2</t>
  </si>
  <si>
    <t xml:space="preserve">      69.9</t>
  </si>
  <si>
    <t xml:space="preserve">       500</t>
  </si>
  <si>
    <t xml:space="preserve">       1.8</t>
  </si>
  <si>
    <t xml:space="preserve">       1.3</t>
  </si>
  <si>
    <t xml:space="preserve">      1701</t>
  </si>
  <si>
    <t xml:space="preserve">       3.1</t>
  </si>
  <si>
    <t xml:space="preserve">        41</t>
  </si>
  <si>
    <t xml:space="preserve">      23.7</t>
  </si>
  <si>
    <t xml:space="preserve">      60.3</t>
  </si>
  <si>
    <t xml:space="preserve">       7.9</t>
  </si>
  <si>
    <t xml:space="preserve">      32.9</t>
  </si>
  <si>
    <t xml:space="preserve">      12.5</t>
  </si>
  <si>
    <t xml:space="preserve">      14.8</t>
  </si>
  <si>
    <t xml:space="preserve">       3.3</t>
  </si>
  <si>
    <t xml:space="preserve">      20.7</t>
  </si>
  <si>
    <t xml:space="preserve">       4.5</t>
  </si>
  <si>
    <t xml:space="preserve">      13.4</t>
  </si>
  <si>
    <t xml:space="preserve">       2.2</t>
  </si>
  <si>
    <t xml:space="preserve">      14.9</t>
  </si>
  <si>
    <t xml:space="preserve">       2.4</t>
  </si>
  <si>
    <t xml:space="preserve">      2200</t>
  </si>
  <si>
    <t xml:space="preserve">      28.3</t>
  </si>
  <si>
    <t xml:space="preserve">OREAS 100a (Fusion) Meas </t>
  </si>
  <si>
    <t xml:space="preserve">OREAS 100a (Fusion) Cert </t>
  </si>
  <si>
    <t xml:space="preserve">      18.1</t>
  </si>
  <si>
    <t xml:space="preserve">       169</t>
  </si>
  <si>
    <t xml:space="preserve">      24.1</t>
  </si>
  <si>
    <t xml:space="preserve">       260</t>
  </si>
  <si>
    <t xml:space="preserve">       463</t>
  </si>
  <si>
    <t xml:space="preserve">      47.1</t>
  </si>
  <si>
    <t xml:space="preserve">       152</t>
  </si>
  <si>
    <t xml:space="preserve">      3.71</t>
  </si>
  <si>
    <t xml:space="preserve">      3.80</t>
  </si>
  <si>
    <t xml:space="preserve">      23.2</t>
  </si>
  <si>
    <t xml:space="preserve">      4.81</t>
  </si>
  <si>
    <t xml:space="preserve">      2.31</t>
  </si>
  <si>
    <t xml:space="preserve">      2.26</t>
  </si>
  <si>
    <t xml:space="preserve">      51.6</t>
  </si>
  <si>
    <t xml:space="preserve">       135</t>
  </si>
  <si>
    <t xml:space="preserve">OREAS 101a (Fusion) Meas </t>
  </si>
  <si>
    <t xml:space="preserve">OREAS 101a (Fusion) Cert </t>
  </si>
  <si>
    <t xml:space="preserve">      48.8</t>
  </si>
  <si>
    <t xml:space="preserve">       434</t>
  </si>
  <si>
    <t xml:space="preserve">      21.9</t>
  </si>
  <si>
    <t xml:space="preserve">       816</t>
  </si>
  <si>
    <t xml:space="preserve">      1396</t>
  </si>
  <si>
    <t xml:space="preserve">       134</t>
  </si>
  <si>
    <t xml:space="preserve">       403</t>
  </si>
  <si>
    <t xml:space="preserve">      8.06</t>
  </si>
  <si>
    <t xml:space="preserve">      33.3</t>
  </si>
  <si>
    <t xml:space="preserve">      6.46</t>
  </si>
  <si>
    <t xml:space="preserve">      19.5</t>
  </si>
  <si>
    <t xml:space="preserve">      2.90</t>
  </si>
  <si>
    <t xml:space="preserve">      17.5</t>
  </si>
  <si>
    <t xml:space="preserve">      2.66</t>
  </si>
  <si>
    <t xml:space="preserve">      36.6</t>
  </si>
  <si>
    <t xml:space="preserve">       422</t>
  </si>
  <si>
    <t xml:space="preserve">JR-1 Meas </t>
  </si>
  <si>
    <t xml:space="preserve">JR-1 Cert </t>
  </si>
  <si>
    <t xml:space="preserve">      1.67</t>
  </si>
  <si>
    <t xml:space="preserve">      16.1</t>
  </si>
  <si>
    <t xml:space="preserve">      1.88</t>
  </si>
  <si>
    <t xml:space="preserve">      16.3</t>
  </si>
  <si>
    <t xml:space="preserve">       257</t>
  </si>
  <si>
    <t xml:space="preserve">      15.2</t>
  </si>
  <si>
    <t xml:space="preserve">      3.25</t>
  </si>
  <si>
    <t xml:space="preserve">     0.028</t>
  </si>
  <si>
    <t xml:space="preserve">      2.86</t>
  </si>
  <si>
    <t xml:space="preserve">      1.19</t>
  </si>
  <si>
    <t xml:space="preserve">      20.8</t>
  </si>
  <si>
    <t xml:space="preserve">      0.56</t>
  </si>
  <si>
    <t xml:space="preserve">      19.7</t>
  </si>
  <si>
    <t xml:space="preserve">      47.2</t>
  </si>
  <si>
    <t xml:space="preserve">      5.58</t>
  </si>
  <si>
    <t xml:space="preserve">      23.3</t>
  </si>
  <si>
    <t xml:space="preserve">      6.03</t>
  </si>
  <si>
    <t xml:space="preserve">      0.30</t>
  </si>
  <si>
    <t xml:space="preserve">      1.01</t>
  </si>
  <si>
    <t xml:space="preserve">      0.67</t>
  </si>
  <si>
    <t xml:space="preserve">      4.55</t>
  </si>
  <si>
    <t xml:space="preserve">      0.71</t>
  </si>
  <si>
    <t xml:space="preserve">      4.51</t>
  </si>
  <si>
    <t xml:space="preserve">      1.59</t>
  </si>
  <si>
    <t xml:space="preserve">      1.56</t>
  </si>
  <si>
    <t xml:space="preserve">      19.3</t>
  </si>
  <si>
    <t xml:space="preserve">      26.7</t>
  </si>
  <si>
    <t xml:space="preserve">      8.88</t>
  </si>
  <si>
    <t xml:space="preserve">NCS DC86318 Meas </t>
  </si>
  <si>
    <t xml:space="preserve">NCS DC86318 Cert </t>
  </si>
  <si>
    <t xml:space="preserve">    369.42</t>
  </si>
  <si>
    <t xml:space="preserve">     10.28</t>
  </si>
  <si>
    <t xml:space="preserve">       740</t>
  </si>
  <si>
    <t xml:space="preserve">      1720</t>
  </si>
  <si>
    <t xml:space="preserve">     18.91</t>
  </si>
  <si>
    <t xml:space="preserve">      2095</t>
  </si>
  <si>
    <t xml:space="preserve">       470</t>
  </si>
  <si>
    <t xml:space="preserve">      3220</t>
  </si>
  <si>
    <t xml:space="preserve">       560</t>
  </si>
  <si>
    <t xml:space="preserve">      1750</t>
  </si>
  <si>
    <t xml:space="preserve">     260.0</t>
  </si>
  <si>
    <t xml:space="preserve">      67.0</t>
  </si>
  <si>
    <t xml:space="preserve">R2H1EA06 Orig </t>
  </si>
  <si>
    <t xml:space="preserve">R2H1EA06 Dup </t>
  </si>
  <si>
    <t xml:space="preserve">R2P1EA09 Orig </t>
  </si>
  <si>
    <t xml:space="preserve">R2P1EA09 Dup </t>
  </si>
  <si>
    <t xml:space="preserve">R7H1EA09 Orig </t>
  </si>
  <si>
    <t xml:space="preserve">R7H1EA09 Dup </t>
  </si>
  <si>
    <t xml:space="preserve">R7H2EA03 Orig </t>
  </si>
  <si>
    <t xml:space="preserve">R7H2EA03 Dup </t>
  </si>
  <si>
    <t xml:space="preserve">R8P1EA12 Orig </t>
  </si>
  <si>
    <t xml:space="preserve">R8P1EA12 Dup </t>
  </si>
  <si>
    <t xml:space="preserve">Method Blank </t>
  </si>
  <si>
    <t>&lt; 0.001</t>
  </si>
  <si>
    <t>&lt; 4</t>
  </si>
  <si>
    <t>&lt; 0.05</t>
  </si>
  <si>
    <t>&lt; 0.04</t>
  </si>
  <si>
    <t>&lt; 3</t>
  </si>
  <si>
    <t>Report Number: A16-13854  This data set was generated from the efforts of Jay Austin and Paul Schroeder. Appropriate attribution is requested.</t>
  </si>
  <si>
    <t>Ap</t>
  </si>
  <si>
    <t>Bt1</t>
  </si>
  <si>
    <t>Bt2</t>
  </si>
  <si>
    <t>B</t>
  </si>
  <si>
    <t>C</t>
  </si>
  <si>
    <t>Horizon</t>
  </si>
  <si>
    <t>Upper (cm)</t>
  </si>
  <si>
    <t>Lower (cm)</t>
  </si>
  <si>
    <t>cm</t>
  </si>
  <si>
    <t>Depth</t>
  </si>
  <si>
    <t>Average (cm)</t>
  </si>
  <si>
    <t>A</t>
  </si>
  <si>
    <t>Bt3</t>
  </si>
  <si>
    <t>BC</t>
  </si>
  <si>
    <t>E</t>
  </si>
  <si>
    <t>EB</t>
  </si>
  <si>
    <t>BE</t>
  </si>
  <si>
    <t>Bt</t>
  </si>
  <si>
    <t>CB</t>
  </si>
  <si>
    <t>Bt4</t>
  </si>
  <si>
    <t>Bt5</t>
  </si>
  <si>
    <t>BA</t>
  </si>
  <si>
    <t>AB</t>
  </si>
  <si>
    <t>chondrite</t>
  </si>
  <si>
    <t>Sum REE</t>
  </si>
  <si>
    <t>Report Number: A16-09820</t>
  </si>
  <si>
    <t>Report Date: 20/10/2016</t>
  </si>
  <si>
    <t xml:space="preserve">RHP 16-007 </t>
  </si>
  <si>
    <t xml:space="preserve">RHP 16-012 </t>
  </si>
  <si>
    <t xml:space="preserve">RHP 16-017 </t>
  </si>
  <si>
    <t xml:space="preserve">RHP 16-023 </t>
  </si>
  <si>
    <t xml:space="preserve">RHP 16-028 </t>
  </si>
  <si>
    <t xml:space="preserve">RHH 16-007 </t>
  </si>
  <si>
    <t xml:space="preserve">RHH 16-012 </t>
  </si>
  <si>
    <t xml:space="preserve">RHH 16-017 </t>
  </si>
  <si>
    <t xml:space="preserve">RHH 16-023 </t>
  </si>
  <si>
    <t xml:space="preserve">RHH 16-028 </t>
  </si>
  <si>
    <t xml:space="preserve">CZO-GNEISS </t>
  </si>
  <si>
    <t xml:space="preserve">_MLG </t>
  </si>
  <si>
    <t xml:space="preserve">_CZO-GNEISS </t>
  </si>
  <si>
    <t xml:space="preserve">RHH 16-002 </t>
  </si>
  <si>
    <t xml:space="preserve">RHH 16-034 </t>
  </si>
  <si>
    <t xml:space="preserve">RHP 16-002 </t>
  </si>
  <si>
    <t xml:space="preserve">RHP 16-035 </t>
  </si>
  <si>
    <t>H</t>
  </si>
  <si>
    <t>P</t>
  </si>
  <si>
    <t xml:space="preserve">Cover </t>
  </si>
  <si>
    <t>Rock</t>
  </si>
  <si>
    <t xml:space="preserve">_Mary Lou Gneiss </t>
  </si>
  <si>
    <t>CWI</t>
  </si>
  <si>
    <t>CIA</t>
  </si>
  <si>
    <t>WI</t>
  </si>
  <si>
    <t>ID</t>
  </si>
  <si>
    <t>R</t>
  </si>
  <si>
    <t>Ce=/La+Ce</t>
  </si>
  <si>
    <t xml:space="preserve">R8P1EA01 </t>
  </si>
  <si>
    <t>R8P1EA02</t>
  </si>
  <si>
    <t xml:space="preserve">R8P1EA03 </t>
  </si>
  <si>
    <t xml:space="preserve">R8P1EA04 </t>
  </si>
  <si>
    <t xml:space="preserve">R8P1EA05 </t>
  </si>
  <si>
    <t>R8P1EA06</t>
  </si>
  <si>
    <t>R8P1EA07</t>
  </si>
  <si>
    <t>R8P1EA01</t>
  </si>
  <si>
    <t xml:space="preserve">R8P1EA02 </t>
  </si>
  <si>
    <t>R8P1EA05</t>
  </si>
  <si>
    <t>R8H1EA01</t>
  </si>
  <si>
    <t>R8H1EA02</t>
  </si>
  <si>
    <t xml:space="preserve">R8H1EA03 </t>
  </si>
  <si>
    <t xml:space="preserve">R8H1EA04 </t>
  </si>
  <si>
    <t xml:space="preserve">R8H1EA05 </t>
  </si>
  <si>
    <t xml:space="preserve">R8H1EA06 </t>
  </si>
  <si>
    <t>Gneiss</t>
  </si>
  <si>
    <t>CAI</t>
  </si>
  <si>
    <t>AE</t>
  </si>
  <si>
    <t>BC1</t>
  </si>
  <si>
    <t>BC2</t>
  </si>
  <si>
    <t>BC3</t>
  </si>
  <si>
    <t>100*CIA/CWI</t>
  </si>
  <si>
    <t>34.59072428, -81.65418181</t>
  </si>
  <si>
    <t>34.58868336, -81.65763242</t>
  </si>
  <si>
    <t>34.54244469, -81.75571705</t>
  </si>
  <si>
    <t>34.54195654, -81.75493520</t>
  </si>
  <si>
    <t>34.54124522, -81.75412241</t>
  </si>
  <si>
    <t>34.54140481, -81.75534694</t>
  </si>
  <si>
    <t>34.64748149, -81.73291812</t>
  </si>
  <si>
    <t>34.64520633, -81.73274504</t>
  </si>
  <si>
    <t>34.61142085, -81.72791816</t>
  </si>
  <si>
    <t>34.60916588, -81.72797703</t>
  </si>
  <si>
    <t>G</t>
  </si>
  <si>
    <t>5YR 4/6</t>
  </si>
  <si>
    <t>2.5YR 4/6</t>
  </si>
  <si>
    <t>7.5YR 5/6</t>
  </si>
  <si>
    <t>10YR 4/3</t>
  </si>
  <si>
    <t>10YR 4/2</t>
  </si>
  <si>
    <t>5YR 4/4</t>
  </si>
  <si>
    <t>10R 4/6</t>
  </si>
  <si>
    <t>7.5YR 4/6</t>
  </si>
  <si>
    <t>7.5YR 4/4</t>
  </si>
  <si>
    <t>10YR 4/4</t>
  </si>
  <si>
    <t>10YR 5/4</t>
  </si>
  <si>
    <t>5YR 5/6</t>
  </si>
  <si>
    <t>2.5YR 4/8</t>
  </si>
  <si>
    <t>5YR 5/8</t>
  </si>
  <si>
    <t>10YR 5/3</t>
  </si>
  <si>
    <t>n/a</t>
  </si>
  <si>
    <t>2.5YR 5/8</t>
  </si>
  <si>
    <t>7.5YR 5/8</t>
  </si>
  <si>
    <t>7.5YR 5/4</t>
  </si>
  <si>
    <t>2.5YR 4/4</t>
  </si>
  <si>
    <t>7.5YR 3/4</t>
  </si>
  <si>
    <t>7.5YR 2.5/2</t>
  </si>
  <si>
    <t>2.5YR 3/6</t>
  </si>
  <si>
    <t>2.5Y 5/4</t>
  </si>
  <si>
    <t>2.5</t>
  </si>
  <si>
    <t>Munsell</t>
  </si>
  <si>
    <t xml:space="preserve">R6H1 16-002 </t>
  </si>
  <si>
    <t xml:space="preserve">R6H1 16-007 </t>
  </si>
  <si>
    <t xml:space="preserve">R6H1 16-012 </t>
  </si>
  <si>
    <t xml:space="preserve">R6H1 16-017 </t>
  </si>
  <si>
    <t xml:space="preserve">R6H1 16-023 </t>
  </si>
  <si>
    <t xml:space="preserve">R6H1 16-028 </t>
  </si>
  <si>
    <t xml:space="preserve">R6H1 16-034 </t>
  </si>
  <si>
    <t xml:space="preserve">R6P1 16-002 </t>
  </si>
  <si>
    <t xml:space="preserve">R6P1 16-007 </t>
  </si>
  <si>
    <t xml:space="preserve">R6P1 16-012 </t>
  </si>
  <si>
    <t xml:space="preserve">R6P1 16-017 </t>
  </si>
  <si>
    <t xml:space="preserve">R6P1 16-023 </t>
  </si>
  <si>
    <t xml:space="preserve">R6P1 16-028 </t>
  </si>
  <si>
    <t xml:space="preserve">R6P1 16-035 </t>
  </si>
  <si>
    <t>zincite</t>
  </si>
  <si>
    <t>corundum</t>
  </si>
  <si>
    <t>quartz</t>
  </si>
  <si>
    <t>orthoclase</t>
  </si>
  <si>
    <t>anorthite</t>
  </si>
  <si>
    <t>albite</t>
  </si>
  <si>
    <t>hematite</t>
  </si>
  <si>
    <t>goethite</t>
  </si>
  <si>
    <t>gibbsite</t>
  </si>
  <si>
    <t>dolomite</t>
  </si>
  <si>
    <t>kaolin wc</t>
  </si>
  <si>
    <t>kaolin pc</t>
  </si>
  <si>
    <t>HIV</t>
  </si>
  <si>
    <t>biotite wc</t>
  </si>
  <si>
    <t>biotite pc</t>
  </si>
  <si>
    <t>smectite</t>
  </si>
  <si>
    <t>epidote</t>
  </si>
  <si>
    <t>amphibole</t>
  </si>
  <si>
    <t>BR02</t>
  </si>
  <si>
    <t>HC02</t>
  </si>
  <si>
    <t xml:space="preserve"> This data set was generated from the efforts of Jay Austin and Paul Schroeder. Appropriate attribution is requested.</t>
  </si>
  <si>
    <t>Wt %</t>
  </si>
  <si>
    <t>phengite</t>
  </si>
  <si>
    <r>
      <t>Al(OH)</t>
    </r>
    <r>
      <rPr>
        <vertAlign val="subscript"/>
        <sz val="11"/>
        <color rgb="FF000000"/>
        <rFont val="Calibri"/>
        <family val="2"/>
      </rPr>
      <t>3</t>
    </r>
  </si>
  <si>
    <t>H2O LOI</t>
  </si>
  <si>
    <r>
      <t>CO</t>
    </r>
    <r>
      <rPr>
        <vertAlign val="subscript"/>
        <sz val="11"/>
        <color rgb="FF000000"/>
        <rFont val="Calibri"/>
        <family val="2"/>
      </rPr>
      <t>2</t>
    </r>
  </si>
  <si>
    <r>
      <t>Ca</t>
    </r>
    <r>
      <rPr>
        <sz val="11"/>
        <color rgb="FF000000"/>
        <rFont val="Calibri"/>
        <family val="2"/>
      </rPr>
      <t>Mg(CO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)</t>
    </r>
    <r>
      <rPr>
        <vertAlign val="subscript"/>
        <sz val="11"/>
        <color rgb="FF000000"/>
        <rFont val="Calibri"/>
        <family val="2"/>
      </rPr>
      <t>2</t>
    </r>
  </si>
  <si>
    <r>
      <t>Al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Si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4</t>
    </r>
  </si>
  <si>
    <r>
      <t>(Fe</t>
    </r>
    <r>
      <rPr>
        <vertAlign val="subscript"/>
        <sz val="11"/>
        <color rgb="FF000000"/>
        <rFont val="Calibri"/>
        <family val="2"/>
      </rPr>
      <t>0.9</t>
    </r>
    <r>
      <rPr>
        <sz val="11"/>
        <color rgb="FF000000"/>
        <rFont val="Calibri"/>
        <family val="2"/>
      </rPr>
      <t xml:space="preserve"> Al</t>
    </r>
    <r>
      <rPr>
        <vertAlign val="subscript"/>
        <sz val="11"/>
        <color rgb="FF000000"/>
        <rFont val="Calibri"/>
        <family val="2"/>
      </rPr>
      <t>0.1</t>
    </r>
    <r>
      <rPr>
        <sz val="11"/>
        <color rgb="FF000000"/>
        <rFont val="Calibri"/>
        <family val="2"/>
      </rPr>
      <t>)OOH</t>
    </r>
  </si>
  <si>
    <r>
      <t>Fe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3</t>
    </r>
  </si>
  <si>
    <r>
      <t>Al</t>
    </r>
    <r>
      <rPr>
        <vertAlign val="subscript"/>
        <sz val="11"/>
        <color rgb="FF000000"/>
        <rFont val="Calibri"/>
        <family val="2"/>
      </rPr>
      <t>1.95</t>
    </r>
    <r>
      <rPr>
        <sz val="11"/>
        <color rgb="FF000000"/>
        <rFont val="Calibri"/>
        <family val="2"/>
      </rPr>
      <t>Fe</t>
    </r>
    <r>
      <rPr>
        <vertAlign val="superscript"/>
        <sz val="11"/>
        <color rgb="FF000000"/>
        <rFont val="Calibri"/>
        <family val="2"/>
      </rPr>
      <t>3+</t>
    </r>
    <r>
      <rPr>
        <vertAlign val="subscript"/>
        <sz val="11"/>
        <color rgb="FF000000"/>
        <rFont val="Calibri"/>
        <family val="2"/>
      </rPr>
      <t>0.05</t>
    </r>
    <r>
      <rPr>
        <sz val="11"/>
        <color rgb="FF000000"/>
        <rFont val="Calibri"/>
        <family val="2"/>
      </rPr>
      <t>Si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4</t>
    </r>
  </si>
  <si>
    <r>
      <t>KMg</t>
    </r>
    <r>
      <rPr>
        <vertAlign val="subscript"/>
        <sz val="11"/>
        <color rgb="FF000000"/>
        <rFont val="Calibri"/>
        <family val="2"/>
      </rPr>
      <t>0.25</t>
    </r>
    <r>
      <rPr>
        <sz val="11"/>
        <color rgb="FF000000"/>
        <rFont val="Calibri"/>
        <family val="2"/>
      </rPr>
      <t>Fe</t>
    </r>
    <r>
      <rPr>
        <vertAlign val="superscript"/>
        <sz val="11"/>
        <color rgb="FF000000"/>
        <rFont val="Calibri"/>
        <family val="2"/>
      </rPr>
      <t>2+</t>
    </r>
    <r>
      <rPr>
        <vertAlign val="subscript"/>
        <sz val="11"/>
        <color rgb="FF000000"/>
        <rFont val="Calibri"/>
        <family val="2"/>
      </rPr>
      <t>0.25</t>
    </r>
    <r>
      <rPr>
        <sz val="11"/>
        <color rgb="FF000000"/>
        <rFont val="Calibri"/>
        <family val="2"/>
      </rPr>
      <t>Al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Si</t>
    </r>
    <r>
      <rPr>
        <vertAlign val="subscript"/>
        <sz val="11"/>
        <color rgb="FF000000"/>
        <rFont val="Calibri"/>
        <family val="2"/>
      </rPr>
      <t>3.5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10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2</t>
    </r>
  </si>
  <si>
    <r>
      <t>K</t>
    </r>
    <r>
      <rPr>
        <vertAlign val="subscript"/>
        <sz val="11"/>
        <color rgb="FF000000"/>
        <rFont val="Calibri"/>
        <family val="2"/>
      </rPr>
      <t>0.47</t>
    </r>
    <r>
      <rPr>
        <sz val="11"/>
        <color rgb="FF000000"/>
        <rFont val="Calibri"/>
        <family val="2"/>
      </rPr>
      <t>Ca</t>
    </r>
    <r>
      <rPr>
        <vertAlign val="subscript"/>
        <sz val="11"/>
        <color rgb="FF000000"/>
        <rFont val="Calibri"/>
        <family val="2"/>
      </rPr>
      <t>0.01</t>
    </r>
    <r>
      <rPr>
        <sz val="11"/>
        <color rgb="FF000000"/>
        <rFont val="Calibri"/>
        <family val="2"/>
      </rPr>
      <t>Fe</t>
    </r>
    <r>
      <rPr>
        <vertAlign val="superscript"/>
        <sz val="11"/>
        <color rgb="FF000000"/>
        <rFont val="Calibri"/>
        <family val="2"/>
      </rPr>
      <t>2+</t>
    </r>
    <r>
      <rPr>
        <vertAlign val="subscript"/>
        <sz val="11"/>
        <color rgb="FF000000"/>
        <rFont val="Calibri"/>
        <family val="2"/>
      </rPr>
      <t>0.87</t>
    </r>
    <r>
      <rPr>
        <sz val="11"/>
        <color rgb="FF000000"/>
        <rFont val="Calibri"/>
        <family val="2"/>
      </rPr>
      <t>Mg</t>
    </r>
    <r>
      <rPr>
        <vertAlign val="subscript"/>
        <sz val="11"/>
        <color rgb="FF000000"/>
        <rFont val="Calibri"/>
        <family val="2"/>
      </rPr>
      <t>0.56</t>
    </r>
    <r>
      <rPr>
        <sz val="11"/>
        <color rgb="FF000000"/>
        <rFont val="Calibri"/>
        <family val="2"/>
      </rPr>
      <t>Ti</t>
    </r>
    <r>
      <rPr>
        <vertAlign val="subscript"/>
        <sz val="11"/>
        <color rgb="FF000000"/>
        <rFont val="Calibri"/>
        <family val="2"/>
      </rPr>
      <t>0.11</t>
    </r>
    <r>
      <rPr>
        <sz val="11"/>
        <color rgb="FF000000"/>
        <rFont val="Calibri"/>
        <family val="2"/>
      </rPr>
      <t>Al</t>
    </r>
    <r>
      <rPr>
        <vertAlign val="subscript"/>
        <sz val="11"/>
        <color rgb="FF000000"/>
        <rFont val="Calibri"/>
        <family val="2"/>
      </rPr>
      <t>2.03</t>
    </r>
    <r>
      <rPr>
        <sz val="11"/>
        <color rgb="FF000000"/>
        <rFont val="Calibri"/>
        <family val="2"/>
      </rPr>
      <t>Si</t>
    </r>
    <r>
      <rPr>
        <vertAlign val="subscript"/>
        <sz val="11"/>
        <color rgb="FF000000"/>
        <rFont val="Calibri"/>
        <family val="2"/>
      </rPr>
      <t>2.80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10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2</t>
    </r>
  </si>
  <si>
    <r>
      <t>K</t>
    </r>
    <r>
      <rPr>
        <vertAlign val="subscript"/>
        <sz val="11"/>
        <color rgb="FF000000"/>
        <rFont val="Calibri"/>
        <family val="2"/>
      </rPr>
      <t>0.35</t>
    </r>
    <r>
      <rPr>
        <sz val="11"/>
        <color rgb="FF000000"/>
        <rFont val="Calibri"/>
        <family val="2"/>
      </rPr>
      <t>Mg</t>
    </r>
    <r>
      <rPr>
        <vertAlign val="subscript"/>
        <sz val="11"/>
        <color rgb="FF000000"/>
        <rFont val="Calibri"/>
        <family val="2"/>
      </rPr>
      <t>1.21</t>
    </r>
    <r>
      <rPr>
        <sz val="11"/>
        <color rgb="FF000000"/>
        <rFont val="Calibri"/>
        <family val="2"/>
      </rPr>
      <t>Ti</t>
    </r>
    <r>
      <rPr>
        <vertAlign val="subscript"/>
        <sz val="11"/>
        <color rgb="FF000000"/>
        <rFont val="Calibri"/>
        <family val="2"/>
      </rPr>
      <t>0.09</t>
    </r>
    <r>
      <rPr>
        <sz val="11"/>
        <color rgb="FF000000"/>
        <rFont val="Calibri"/>
        <family val="2"/>
      </rPr>
      <t>Fe</t>
    </r>
    <r>
      <rPr>
        <vertAlign val="superscript"/>
        <sz val="11"/>
        <color rgb="FF000000"/>
        <rFont val="Calibri"/>
        <family val="2"/>
      </rPr>
      <t>3+</t>
    </r>
    <r>
      <rPr>
        <vertAlign val="subscript"/>
        <sz val="11"/>
        <color rgb="FF000000"/>
        <rFont val="Calibri"/>
        <family val="2"/>
      </rPr>
      <t>0.31</t>
    </r>
    <r>
      <rPr>
        <sz val="11"/>
        <color rgb="FF000000"/>
        <rFont val="Calibri"/>
        <family val="2"/>
      </rPr>
      <t>Fe</t>
    </r>
    <r>
      <rPr>
        <vertAlign val="superscript"/>
        <sz val="11"/>
        <color rgb="FF000000"/>
        <rFont val="Calibri"/>
        <family val="2"/>
      </rPr>
      <t>2+</t>
    </r>
    <r>
      <rPr>
        <vertAlign val="subscript"/>
        <sz val="11"/>
        <color rgb="FF000000"/>
        <rFont val="Calibri"/>
        <family val="2"/>
      </rPr>
      <t>0.63</t>
    </r>
    <r>
      <rPr>
        <sz val="11"/>
        <color rgb="FF000000"/>
        <rFont val="Calibri"/>
        <family val="2"/>
      </rPr>
      <t>Al</t>
    </r>
    <r>
      <rPr>
        <vertAlign val="subscript"/>
        <sz val="11"/>
        <color rgb="FF000000"/>
        <rFont val="Calibri"/>
        <family val="2"/>
      </rPr>
      <t>1.40</t>
    </r>
    <r>
      <rPr>
        <sz val="11"/>
        <color rgb="FF000000"/>
        <rFont val="Calibri"/>
        <family val="2"/>
      </rPr>
      <t>Si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10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2</t>
    </r>
  </si>
  <si>
    <t>ZnO</t>
  </si>
  <si>
    <r>
      <t>SiO</t>
    </r>
    <r>
      <rPr>
        <vertAlign val="subscript"/>
        <sz val="11"/>
        <color rgb="FF000000"/>
        <rFont val="Calibri"/>
        <family val="2"/>
      </rPr>
      <t>2</t>
    </r>
  </si>
  <si>
    <r>
      <t>KAlSi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8</t>
    </r>
  </si>
  <si>
    <r>
      <t>NaAlSi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8</t>
    </r>
  </si>
  <si>
    <r>
      <t>CaAl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Si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8</t>
    </r>
  </si>
  <si>
    <r>
      <t>Ca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Fe</t>
    </r>
    <r>
      <rPr>
        <vertAlign val="superscript"/>
        <sz val="11"/>
        <color rgb="FF000000"/>
        <rFont val="Calibri"/>
        <family val="2"/>
      </rPr>
      <t>2+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Mg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AlSi</t>
    </r>
    <r>
      <rPr>
        <vertAlign val="subscript"/>
        <sz val="11"/>
        <color rgb="FF000000"/>
        <rFont val="Calibri"/>
        <family val="2"/>
      </rPr>
      <t>7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22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2</t>
    </r>
  </si>
  <si>
    <r>
      <t>CaFe</t>
    </r>
    <r>
      <rPr>
        <vertAlign val="superscript"/>
        <sz val="11"/>
        <color rgb="FF000000"/>
        <rFont val="Calibri"/>
        <family val="2"/>
      </rPr>
      <t>3+</t>
    </r>
    <r>
      <rPr>
        <vertAlign val="subscript"/>
        <sz val="11"/>
        <color rgb="FF000000"/>
        <rFont val="Calibri"/>
        <family val="2"/>
      </rPr>
      <t>2.25</t>
    </r>
    <r>
      <rPr>
        <sz val="11"/>
        <color rgb="FF000000"/>
        <rFont val="Calibri"/>
        <family val="2"/>
      </rPr>
      <t>Al</t>
    </r>
    <r>
      <rPr>
        <vertAlign val="subscript"/>
        <sz val="11"/>
        <color rgb="FF000000"/>
        <rFont val="Calibri"/>
        <family val="2"/>
      </rPr>
      <t>0.75</t>
    </r>
    <r>
      <rPr>
        <sz val="11"/>
        <color rgb="FF000000"/>
        <rFont val="Calibri"/>
        <family val="2"/>
      </rPr>
      <t>(SiO</t>
    </r>
    <r>
      <rPr>
        <vertAlign val="sub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>)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(OH)</t>
    </r>
  </si>
  <si>
    <r>
      <t>Al</t>
    </r>
    <r>
      <rPr>
        <vertAlign val="subscript"/>
        <sz val="11"/>
        <color theme="0" tint="-0.34998626667073579"/>
        <rFont val="Calibri"/>
        <family val="2"/>
      </rPr>
      <t>2</t>
    </r>
    <r>
      <rPr>
        <sz val="11"/>
        <color theme="0" tint="-0.34998626667073579"/>
        <rFont val="Calibri"/>
        <family val="2"/>
      </rPr>
      <t>O</t>
    </r>
    <r>
      <rPr>
        <vertAlign val="subscript"/>
        <sz val="11"/>
        <color theme="0" tint="-0.34998626667073579"/>
        <rFont val="Calibri"/>
        <family val="2"/>
      </rPr>
      <t>3</t>
    </r>
  </si>
  <si>
    <t>FeO</t>
  </si>
  <si>
    <t>normalized</t>
  </si>
  <si>
    <r>
      <t>KFe</t>
    </r>
    <r>
      <rPr>
        <vertAlign val="superscript"/>
        <sz val="11"/>
        <color rgb="FF000000"/>
        <rFont val="Calibri"/>
        <family val="2"/>
      </rPr>
      <t>2+</t>
    </r>
    <r>
      <rPr>
        <vertAlign val="subscript"/>
        <sz val="11"/>
        <color rgb="FF000000"/>
        <rFont val="Calibri"/>
        <family val="2"/>
      </rPr>
      <t>0.39</t>
    </r>
    <r>
      <rPr>
        <sz val="11"/>
        <color rgb="FF000000"/>
        <rFont val="Calibri"/>
        <family val="2"/>
      </rPr>
      <t>Mg</t>
    </r>
    <r>
      <rPr>
        <vertAlign val="subscript"/>
        <sz val="11"/>
        <color rgb="FF000000"/>
        <rFont val="Calibri"/>
        <family val="2"/>
      </rPr>
      <t>0.23</t>
    </r>
    <r>
      <rPr>
        <sz val="11"/>
        <color rgb="FF000000"/>
        <rFont val="Calibri"/>
        <family val="2"/>
      </rPr>
      <t>Ti</t>
    </r>
    <r>
      <rPr>
        <vertAlign val="subscript"/>
        <sz val="11"/>
        <color rgb="FF000000"/>
        <rFont val="Calibri"/>
        <family val="2"/>
      </rPr>
      <t>0.03</t>
    </r>
    <r>
      <rPr>
        <sz val="11"/>
        <color rgb="FF000000"/>
        <rFont val="Calibri"/>
        <family val="2"/>
      </rPr>
      <t>Al</t>
    </r>
    <r>
      <rPr>
        <vertAlign val="subscript"/>
        <sz val="11"/>
        <color rgb="FF000000"/>
        <rFont val="Calibri"/>
        <family val="2"/>
      </rPr>
      <t>2.62</t>
    </r>
    <r>
      <rPr>
        <sz val="11"/>
        <color rgb="FF000000"/>
        <rFont val="Calibri"/>
        <family val="2"/>
      </rPr>
      <t>Si</t>
    </r>
    <r>
      <rPr>
        <vertAlign val="subscript"/>
        <sz val="11"/>
        <color rgb="FF000000"/>
        <rFont val="Calibri"/>
        <family val="2"/>
      </rPr>
      <t>3.47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10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2</t>
    </r>
  </si>
  <si>
    <t>Oxides from mineralogy</t>
  </si>
  <si>
    <t>FW</t>
  </si>
  <si>
    <t>sum</t>
  </si>
  <si>
    <t>Wt%</t>
  </si>
  <si>
    <t>Sum</t>
  </si>
  <si>
    <t>Fe2O3</t>
  </si>
  <si>
    <t xml:space="preserve">mineral C </t>
  </si>
  <si>
    <t>mineral D</t>
  </si>
  <si>
    <t>mineral E</t>
  </si>
  <si>
    <t>mineral F</t>
  </si>
  <si>
    <t>mineral G</t>
  </si>
  <si>
    <t>test</t>
  </si>
  <si>
    <t>sample</t>
  </si>
  <si>
    <r>
      <t>K</t>
    </r>
    <r>
      <rPr>
        <vertAlign val="subscript"/>
        <sz val="11"/>
        <color rgb="FF000000"/>
        <rFont val="Calibri"/>
        <family val="2"/>
      </rPr>
      <t>0.41</t>
    </r>
    <r>
      <rPr>
        <sz val="11"/>
        <color rgb="FF000000"/>
        <rFont val="Calibri"/>
        <family val="2"/>
      </rPr>
      <t>Ca</t>
    </r>
    <r>
      <rPr>
        <vertAlign val="subscript"/>
        <sz val="11"/>
        <color rgb="FF000000"/>
        <rFont val="Calibri"/>
        <family val="2"/>
      </rPr>
      <t>0.08</t>
    </r>
    <r>
      <rPr>
        <sz val="11"/>
        <color rgb="FF000000"/>
        <rFont val="Calibri"/>
        <family val="2"/>
      </rPr>
      <t>(Si</t>
    </r>
    <r>
      <rPr>
        <vertAlign val="subscript"/>
        <sz val="11"/>
        <color rgb="FF000000"/>
        <rFont val="Calibri"/>
        <family val="2"/>
      </rPr>
      <t>3.24</t>
    </r>
    <r>
      <rPr>
        <sz val="11"/>
        <color rgb="FF000000"/>
        <rFont val="Calibri"/>
        <family val="2"/>
      </rPr>
      <t>Al</t>
    </r>
    <r>
      <rPr>
        <vertAlign val="subscript"/>
        <sz val="11"/>
        <color rgb="FF000000"/>
        <rFont val="Calibri"/>
        <family val="2"/>
      </rPr>
      <t>0.76</t>
    </r>
    <r>
      <rPr>
        <sz val="11"/>
        <color rgb="FF000000"/>
        <rFont val="Calibri"/>
        <family val="2"/>
      </rPr>
      <t>)(Al</t>
    </r>
    <r>
      <rPr>
        <vertAlign val="subscript"/>
        <sz val="11"/>
        <color rgb="FF000000"/>
        <rFont val="Calibri"/>
        <family val="2"/>
      </rPr>
      <t>1.56</t>
    </r>
    <r>
      <rPr>
        <sz val="11"/>
        <color rgb="FF000000"/>
        <rFont val="Calibri"/>
        <family val="2"/>
      </rPr>
      <t>Fe</t>
    </r>
    <r>
      <rPr>
        <vertAlign val="subscript"/>
        <sz val="11"/>
        <color rgb="FF000000"/>
        <rFont val="Calibri"/>
        <family val="2"/>
      </rPr>
      <t>0.24</t>
    </r>
    <r>
      <rPr>
        <sz val="11"/>
        <color rgb="FF000000"/>
        <rFont val="Calibri"/>
        <family val="2"/>
      </rPr>
      <t>Mg</t>
    </r>
    <r>
      <rPr>
        <vertAlign val="subscript"/>
        <sz val="11"/>
        <color rgb="FF000000"/>
        <rFont val="Calibri"/>
        <family val="2"/>
      </rPr>
      <t>0.2</t>
    </r>
    <r>
      <rPr>
        <sz val="11"/>
        <color rgb="FF000000"/>
        <rFont val="Calibri"/>
        <family val="2"/>
      </rPr>
      <t>)[Al</t>
    </r>
    <r>
      <rPr>
        <vertAlign val="subscript"/>
        <sz val="11"/>
        <color rgb="FF000000"/>
        <rFont val="Calibri"/>
        <family val="2"/>
      </rPr>
      <t>1.45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3.79</t>
    </r>
    <r>
      <rPr>
        <sz val="11"/>
        <color rgb="FF000000"/>
        <rFont val="Calibri"/>
        <family val="2"/>
      </rPr>
      <t>]O</t>
    </r>
    <r>
      <rPr>
        <vertAlign val="subscript"/>
        <sz val="11"/>
        <color rgb="FF000000"/>
        <rFont val="Calibri"/>
        <family val="2"/>
      </rPr>
      <t>10</t>
    </r>
    <r>
      <rPr>
        <sz val="11"/>
        <color rgb="FF000000"/>
        <rFont val="Calibri"/>
        <family val="2"/>
      </rPr>
      <t>(OH)</t>
    </r>
    <r>
      <rPr>
        <vertAlign val="subscript"/>
        <sz val="11"/>
        <color rgb="FF000000"/>
        <rFont val="Calibri"/>
        <family val="2"/>
      </rPr>
      <t>2</t>
    </r>
  </si>
  <si>
    <t>sillimanite</t>
  </si>
  <si>
    <r>
      <t>Al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SiO</t>
    </r>
    <r>
      <rPr>
        <vertAlign val="subscript"/>
        <sz val="11"/>
        <color rgb="FF000000"/>
        <rFont val="Calibri"/>
        <family val="2"/>
      </rPr>
      <t>5</t>
    </r>
  </si>
  <si>
    <r>
      <t>KAlSi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8</t>
    </r>
  </si>
  <si>
    <t>microcline</t>
  </si>
  <si>
    <t>line = ideal 11.8% Na2O in pure albite</t>
  </si>
  <si>
    <t>10</t>
  </si>
  <si>
    <t>a*</t>
  </si>
  <si>
    <t>b*</t>
  </si>
  <si>
    <t xml:space="preserve">L* </t>
  </si>
  <si>
    <t>C1931</t>
  </si>
  <si>
    <t>illuminant</t>
  </si>
  <si>
    <t>41.22</t>
  </si>
  <si>
    <t>RI</t>
  </si>
  <si>
    <t>Elevation (m)</t>
  </si>
  <si>
    <t>XRD CIA</t>
  </si>
  <si>
    <r>
      <rPr>
        <sz val="11"/>
        <color rgb="FF000000"/>
        <rFont val="Symbol"/>
        <charset val="2"/>
      </rPr>
      <t>t</t>
    </r>
    <r>
      <rPr>
        <sz val="11"/>
        <color rgb="FF000000"/>
        <rFont val="Calibri"/>
        <family val="2"/>
      </rPr>
      <t xml:space="preserve"> -MnO</t>
    </r>
  </si>
  <si>
    <r>
      <rPr>
        <sz val="11"/>
        <color rgb="FF000000"/>
        <rFont val="Symbol"/>
        <charset val="2"/>
      </rPr>
      <t>t</t>
    </r>
    <r>
      <rPr>
        <sz val="11"/>
        <color rgb="FF000000"/>
        <rFont val="Calibri"/>
        <family val="2"/>
      </rPr>
      <t xml:space="preserve"> -P2O5</t>
    </r>
  </si>
  <si>
    <r>
      <rPr>
        <sz val="11"/>
        <color rgb="FF000000"/>
        <rFont val="Calibri"/>
        <family val="2"/>
      </rPr>
      <t>SiO</t>
    </r>
    <r>
      <rPr>
        <vertAlign val="subscript"/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</si>
  <si>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A</t>
    </r>
    <r>
      <rPr>
        <vertAlign val="subscript"/>
        <sz val="11"/>
        <color rgb="FF000000"/>
        <rFont val="Calibri"/>
        <family val="2"/>
      </rPr>
      <t>l2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3</t>
    </r>
  </si>
  <si>
    <t xml:space="preserve"> H2O</t>
  </si>
  <si>
    <t>Ce/Ce+La</t>
  </si>
  <si>
    <t>Al+Fe+LOI</t>
  </si>
  <si>
    <t>Ce/(Ce+La)</t>
  </si>
  <si>
    <t>MIA</t>
  </si>
  <si>
    <t>100*(kao+gib+goe+hem+smc/(kao+gib+goe+hem+smc+feld+mica+amp))</t>
  </si>
  <si>
    <t>PH</t>
  </si>
  <si>
    <t>R1DW01</t>
  </si>
  <si>
    <t>R1DW02</t>
  </si>
  <si>
    <t>R1DW03</t>
  </si>
  <si>
    <t>R1DW04</t>
  </si>
  <si>
    <t>R1DW05</t>
  </si>
  <si>
    <t>R1DW06</t>
  </si>
  <si>
    <t>R1DW06-7</t>
  </si>
  <si>
    <t>R1DW07</t>
  </si>
  <si>
    <t>Eu/(Eu+Nd)</t>
  </si>
  <si>
    <t>Eu*/Ce*</t>
  </si>
  <si>
    <t>elevation (m)</t>
  </si>
  <si>
    <t>Chondrite-Cl {Anders, 1989 #764}</t>
  </si>
  <si>
    <t>Ce/Pr</t>
  </si>
  <si>
    <t>Eu/Eu*</t>
  </si>
  <si>
    <t>Eu-anom/[Ce/Pr]</t>
  </si>
  <si>
    <t>Ce/Ce*</t>
  </si>
  <si>
    <t>Ce/[Ce+La]</t>
  </si>
  <si>
    <t>3Ce/(2La+Nd)</t>
  </si>
  <si>
    <t>2Ce/[La+Pr]</t>
  </si>
  <si>
    <t>Ce/(Pr^2/Nd)</t>
  </si>
  <si>
    <t>chond</t>
  </si>
  <si>
    <t>NORMALIZED RATIOS</t>
  </si>
  <si>
    <t>UnNORMALIZED RATIOS</t>
  </si>
  <si>
    <t>R7H2E Cerium Anomolies</t>
  </si>
  <si>
    <t>Eu/(0.67Sm + .33Tb)</t>
  </si>
  <si>
    <t>2Eu/(Sm+Gd)</t>
  </si>
  <si>
    <t>Y/Ho</t>
  </si>
  <si>
    <t>Eu/(Sm*Gd)^.5</t>
  </si>
  <si>
    <t>DEPTH</t>
  </si>
  <si>
    <t>Y norm</t>
  </si>
  <si>
    <t>Ho (anders chondrite)</t>
  </si>
  <si>
    <t>Eu/Eu* profile averages</t>
  </si>
  <si>
    <t>R1</t>
  </si>
  <si>
    <t>R1 both</t>
  </si>
  <si>
    <t>R2</t>
  </si>
  <si>
    <t>R2 both</t>
  </si>
  <si>
    <t>R7</t>
  </si>
  <si>
    <t>R8</t>
  </si>
  <si>
    <t>R8 both</t>
  </si>
  <si>
    <t>R7 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</si>
</sst>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47" x14ac:knownFonts="1">
    <font>
      <sz val="11"/>
      <color rgb="FF000000"/>
      <name val="Calibri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</font>
    <font>
      <sz val="11"/>
      <color rgb="FF008000"/>
      <name val="Calibri"/>
      <family val="2"/>
    </font>
    <font>
      <sz val="11"/>
      <color rgb="FF3366FF"/>
      <name val="Calibri"/>
      <family val="2"/>
    </font>
    <font>
      <sz val="10"/>
      <color rgb="FF000000"/>
      <name val="Calibri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9"/>
      <color rgb="FF008000"/>
      <name val="Arial"/>
      <family val="2"/>
    </font>
    <font>
      <sz val="10"/>
      <color rgb="FF008000"/>
      <name val="Arial"/>
      <family val="2"/>
    </font>
    <font>
      <sz val="9"/>
      <color rgb="FF660066"/>
      <name val="Arial"/>
      <family val="2"/>
    </font>
    <font>
      <sz val="10"/>
      <color rgb="FF660066"/>
      <name val="Arial"/>
      <family val="2"/>
    </font>
    <font>
      <sz val="11"/>
      <color rgb="FF660066"/>
      <name val="Calibri"/>
      <family val="2"/>
    </font>
    <font>
      <sz val="9"/>
      <color theme="9" tint="-0.499984740745262"/>
      <name val="Arial"/>
      <family val="2"/>
    </font>
    <font>
      <sz val="11"/>
      <color theme="9" tint="-0.499984740745262"/>
      <name val="Calibri"/>
      <family val="2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theme="0" tint="-0.34998626667073579"/>
      <name val="Calibri"/>
      <family val="2"/>
    </font>
    <font>
      <vertAlign val="subscript"/>
      <sz val="11"/>
      <color theme="0" tint="-0.34998626667073579"/>
      <name val="Calibri"/>
      <family val="2"/>
    </font>
    <font>
      <b/>
      <sz val="11"/>
      <color rgb="FFFF0000"/>
      <name val="Calibri"/>
      <family val="2"/>
    </font>
    <font>
      <sz val="11"/>
      <color rgb="FF0070C0"/>
      <name val="Calibri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Calibri"/>
      <family val="2"/>
    </font>
    <font>
      <sz val="11"/>
      <color theme="1"/>
      <name val="Calibri"/>
      <family val="2"/>
    </font>
    <font>
      <sz val="11"/>
      <color rgb="FF7030A0"/>
      <name val="Calibri"/>
      <family val="2"/>
    </font>
    <font>
      <sz val="11"/>
      <color theme="6"/>
      <name val="Calibri"/>
      <family val="2"/>
    </font>
    <font>
      <sz val="9"/>
      <color rgb="FF7030A0"/>
      <name val="Arial"/>
      <family val="2"/>
    </font>
    <font>
      <sz val="10"/>
      <color rgb="FF7030A0"/>
      <name val="Arial"/>
      <family val="2"/>
    </font>
    <font>
      <sz val="11"/>
      <color rgb="FF000000"/>
      <name val="Symbol"/>
      <charset val="2"/>
    </font>
    <font>
      <sz val="11"/>
      <color rgb="FF000000"/>
      <name val="Calibri"/>
      <family val="2"/>
      <charset val="2"/>
    </font>
    <font>
      <sz val="12"/>
      <color rgb="FF000000"/>
      <name val="Calibri"/>
      <family val="2"/>
    </font>
    <font>
      <sz val="10"/>
      <name val="Geneva"/>
      <family val="2"/>
      <charset val="1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0" fillId="0" borderId="2" xfId="0" applyBorder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1" fillId="0" borderId="0" xfId="0" applyFon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3" xfId="0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2" fontId="0" fillId="2" borderId="3" xfId="0" applyNumberFormat="1" applyFill="1" applyBorder="1"/>
    <xf numFmtId="0" fontId="0" fillId="2" borderId="3" xfId="0" applyFill="1" applyBorder="1"/>
    <xf numFmtId="0" fontId="4" fillId="2" borderId="3" xfId="0" applyFont="1" applyFill="1" applyBorder="1" applyAlignment="1">
      <alignment horizontal="right"/>
    </xf>
    <xf numFmtId="0" fontId="4" fillId="0" borderId="3" xfId="0" applyFont="1" applyBorder="1" applyAlignment="1"/>
    <xf numFmtId="0" fontId="1" fillId="0" borderId="0" xfId="0" applyFont="1" applyFill="1" applyBorder="1" applyAlignment="1">
      <alignment horizontal="right"/>
    </xf>
    <xf numFmtId="165" fontId="0" fillId="0" borderId="0" xfId="0" applyNumberFormat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10" fillId="2" borderId="3" xfId="0" applyFont="1" applyFill="1" applyBorder="1"/>
    <xf numFmtId="0" fontId="18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19" fillId="2" borderId="3" xfId="0" applyFont="1" applyFill="1" applyBorder="1" applyAlignment="1"/>
    <xf numFmtId="0" fontId="18" fillId="2" borderId="3" xfId="0" applyFont="1" applyFill="1" applyBorder="1" applyAlignment="1">
      <alignment horizontal="right"/>
    </xf>
    <xf numFmtId="2" fontId="11" fillId="2" borderId="3" xfId="0" applyNumberFormat="1" applyFont="1" applyFill="1" applyBorder="1"/>
    <xf numFmtId="0" fontId="11" fillId="2" borderId="3" xfId="0" applyFont="1" applyFill="1" applyBorder="1"/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right"/>
    </xf>
    <xf numFmtId="2" fontId="15" fillId="2" borderId="3" xfId="0" applyNumberFormat="1" applyFont="1" applyFill="1" applyBorder="1"/>
    <xf numFmtId="0" fontId="15" fillId="2" borderId="3" xfId="0" applyFont="1" applyFill="1" applyBorder="1"/>
    <xf numFmtId="165" fontId="15" fillId="2" borderId="3" xfId="0" applyNumberFormat="1" applyFont="1" applyFill="1" applyBorder="1"/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7" fillId="2" borderId="3" xfId="0" applyFont="1" applyFill="1" applyBorder="1" applyAlignment="1"/>
    <xf numFmtId="0" fontId="16" fillId="2" borderId="3" xfId="0" applyFont="1" applyFill="1" applyBorder="1" applyAlignment="1">
      <alignment horizontal="right"/>
    </xf>
    <xf numFmtId="2" fontId="10" fillId="2" borderId="3" xfId="0" applyNumberFormat="1" applyFont="1" applyFill="1" applyBorder="1"/>
    <xf numFmtId="165" fontId="10" fillId="2" borderId="3" xfId="0" applyNumberFormat="1" applyFont="1" applyFill="1" applyBorder="1"/>
    <xf numFmtId="165" fontId="11" fillId="2" borderId="3" xfId="0" applyNumberFormat="1" applyFont="1" applyFill="1" applyBorder="1"/>
    <xf numFmtId="0" fontId="20" fillId="2" borderId="3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center"/>
    </xf>
    <xf numFmtId="0" fontId="21" fillId="2" borderId="3" xfId="0" applyFont="1" applyFill="1" applyBorder="1" applyAlignment="1"/>
    <xf numFmtId="0" fontId="20" fillId="2" borderId="3" xfId="0" applyFont="1" applyFill="1" applyBorder="1" applyAlignment="1">
      <alignment horizontal="right"/>
    </xf>
    <xf numFmtId="2" fontId="22" fillId="2" borderId="3" xfId="0" applyNumberFormat="1" applyFont="1" applyFill="1" applyBorder="1"/>
    <xf numFmtId="0" fontId="22" fillId="2" borderId="3" xfId="0" applyFont="1" applyFill="1" applyBorder="1"/>
    <xf numFmtId="165" fontId="22" fillId="2" borderId="3" xfId="0" applyNumberFormat="1" applyFont="1" applyFill="1" applyBorder="1"/>
    <xf numFmtId="165" fontId="0" fillId="2" borderId="3" xfId="0" applyNumberFormat="1" applyFill="1" applyBorder="1"/>
    <xf numFmtId="0" fontId="0" fillId="2" borderId="3" xfId="0" applyFill="1" applyBorder="1" applyAlignment="1">
      <alignment horizontal="left"/>
    </xf>
    <xf numFmtId="165" fontId="0" fillId="2" borderId="3" xfId="0" applyNumberFormat="1" applyFill="1" applyBorder="1" applyAlignment="1">
      <alignment horizontal="right"/>
    </xf>
    <xf numFmtId="0" fontId="17" fillId="2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right"/>
    </xf>
    <xf numFmtId="165" fontId="14" fillId="2" borderId="3" xfId="0" applyNumberFormat="1" applyFont="1" applyFill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2" fontId="9" fillId="0" borderId="0" xfId="0" applyNumberFormat="1" applyFont="1"/>
    <xf numFmtId="2" fontId="11" fillId="0" borderId="0" xfId="0" applyNumberFormat="1" applyFont="1"/>
    <xf numFmtId="0" fontId="23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right"/>
    </xf>
    <xf numFmtId="2" fontId="24" fillId="2" borderId="3" xfId="0" applyNumberFormat="1" applyFont="1" applyFill="1" applyBorder="1"/>
    <xf numFmtId="0" fontId="24" fillId="2" borderId="3" xfId="0" applyFont="1" applyFill="1" applyBorder="1"/>
    <xf numFmtId="165" fontId="15" fillId="2" borderId="3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right" wrapText="1"/>
    </xf>
    <xf numFmtId="0" fontId="0" fillId="2" borderId="3" xfId="0" applyFill="1" applyBorder="1" applyAlignment="1">
      <alignment wrapText="1"/>
    </xf>
    <xf numFmtId="0" fontId="25" fillId="2" borderId="3" xfId="0" applyFont="1" applyFill="1" applyBorder="1" applyAlignment="1">
      <alignment wrapText="1"/>
    </xf>
    <xf numFmtId="0" fontId="25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/>
    </xf>
    <xf numFmtId="2" fontId="25" fillId="2" borderId="3" xfId="0" applyNumberFormat="1" applyFont="1" applyFill="1" applyBorder="1"/>
    <xf numFmtId="0" fontId="29" fillId="2" borderId="3" xfId="0" applyFont="1" applyFill="1" applyBorder="1" applyAlignment="1">
      <alignment horizontal="center"/>
    </xf>
    <xf numFmtId="2" fontId="29" fillId="2" borderId="3" xfId="0" applyNumberFormat="1" applyFont="1" applyFill="1" applyBorder="1"/>
    <xf numFmtId="0" fontId="29" fillId="2" borderId="3" xfId="0" applyFont="1" applyFill="1" applyBorder="1" applyAlignment="1">
      <alignment wrapText="1"/>
    </xf>
    <xf numFmtId="0" fontId="29" fillId="2" borderId="3" xfId="0" applyFont="1" applyFill="1" applyBorder="1"/>
    <xf numFmtId="0" fontId="25" fillId="5" borderId="3" xfId="0" applyFont="1" applyFill="1" applyBorder="1" applyAlignment="1">
      <alignment horizontal="center"/>
    </xf>
    <xf numFmtId="2" fontId="0" fillId="5" borderId="3" xfId="0" applyNumberFormat="1" applyFill="1" applyBorder="1"/>
    <xf numFmtId="0" fontId="0" fillId="5" borderId="3" xfId="0" applyFill="1" applyBorder="1" applyAlignment="1">
      <alignment wrapText="1"/>
    </xf>
    <xf numFmtId="0" fontId="0" fillId="5" borderId="3" xfId="0" applyFill="1" applyBorder="1"/>
    <xf numFmtId="0" fontId="24" fillId="5" borderId="3" xfId="0" applyFont="1" applyFill="1" applyBorder="1"/>
    <xf numFmtId="0" fontId="15" fillId="5" borderId="3" xfId="0" applyFont="1" applyFill="1" applyBorder="1"/>
    <xf numFmtId="0" fontId="6" fillId="2" borderId="3" xfId="0" applyFont="1" applyFill="1" applyBorder="1" applyAlignment="1"/>
    <xf numFmtId="1" fontId="15" fillId="2" borderId="3" xfId="0" applyNumberFormat="1" applyFont="1" applyFill="1" applyBorder="1"/>
    <xf numFmtId="1" fontId="10" fillId="2" borderId="3" xfId="0" applyNumberFormat="1" applyFont="1" applyFill="1" applyBorder="1"/>
    <xf numFmtId="0" fontId="32" fillId="2" borderId="3" xfId="0" applyFont="1" applyFill="1" applyBorder="1"/>
    <xf numFmtId="0" fontId="33" fillId="2" borderId="3" xfId="0" applyFont="1" applyFill="1" applyBorder="1" applyAlignment="1"/>
    <xf numFmtId="2" fontId="34" fillId="2" borderId="3" xfId="0" applyNumberFormat="1" applyFont="1" applyFill="1" applyBorder="1"/>
    <xf numFmtId="0" fontId="34" fillId="2" borderId="3" xfId="0" applyFont="1" applyFill="1" applyBorder="1"/>
    <xf numFmtId="1" fontId="34" fillId="2" borderId="3" xfId="637" applyNumberFormat="1" applyFont="1" applyFill="1" applyBorder="1"/>
    <xf numFmtId="0" fontId="33" fillId="2" borderId="4" xfId="0" applyFont="1" applyFill="1" applyBorder="1" applyAlignment="1"/>
    <xf numFmtId="2" fontId="29" fillId="2" borderId="4" xfId="0" applyNumberFormat="1" applyFont="1" applyFill="1" applyBorder="1"/>
    <xf numFmtId="2" fontId="34" fillId="2" borderId="4" xfId="0" applyNumberFormat="1" applyFont="1" applyFill="1" applyBorder="1"/>
    <xf numFmtId="1" fontId="34" fillId="2" borderId="4" xfId="637" applyNumberFormat="1" applyFont="1" applyFill="1" applyBorder="1"/>
    <xf numFmtId="0" fontId="34" fillId="2" borderId="4" xfId="0" applyFont="1" applyFill="1" applyBorder="1"/>
    <xf numFmtId="0" fontId="17" fillId="2" borderId="4" xfId="0" applyFont="1" applyFill="1" applyBorder="1" applyAlignment="1"/>
    <xf numFmtId="2" fontId="10" fillId="2" borderId="4" xfId="0" applyNumberFormat="1" applyFont="1" applyFill="1" applyBorder="1"/>
    <xf numFmtId="1" fontId="10" fillId="2" borderId="4" xfId="0" applyNumberFormat="1" applyFont="1" applyFill="1" applyBorder="1"/>
    <xf numFmtId="0" fontId="32" fillId="2" borderId="4" xfId="0" applyFont="1" applyFill="1" applyBorder="1"/>
    <xf numFmtId="0" fontId="10" fillId="2" borderId="4" xfId="0" applyFont="1" applyFill="1" applyBorder="1"/>
    <xf numFmtId="0" fontId="17" fillId="2" borderId="5" xfId="0" applyFont="1" applyFill="1" applyBorder="1" applyAlignment="1"/>
    <xf numFmtId="2" fontId="29" fillId="2" borderId="5" xfId="0" applyNumberFormat="1" applyFont="1" applyFill="1" applyBorder="1"/>
    <xf numFmtId="2" fontId="10" fillId="2" borderId="5" xfId="0" applyNumberFormat="1" applyFont="1" applyFill="1" applyBorder="1"/>
    <xf numFmtId="1" fontId="10" fillId="2" borderId="5" xfId="0" applyNumberFormat="1" applyFont="1" applyFill="1" applyBorder="1"/>
    <xf numFmtId="0" fontId="32" fillId="2" borderId="5" xfId="0" applyFont="1" applyFill="1" applyBorder="1"/>
    <xf numFmtId="0" fontId="10" fillId="2" borderId="5" xfId="0" applyFont="1" applyFill="1" applyBorder="1"/>
    <xf numFmtId="0" fontId="16" fillId="2" borderId="5" xfId="0" applyFont="1" applyFill="1" applyBorder="1" applyAlignment="1">
      <alignment horizontal="right"/>
    </xf>
    <xf numFmtId="0" fontId="33" fillId="2" borderId="5" xfId="0" applyFont="1" applyFill="1" applyBorder="1" applyAlignment="1"/>
    <xf numFmtId="2" fontId="34" fillId="2" borderId="5" xfId="0" applyNumberFormat="1" applyFont="1" applyFill="1" applyBorder="1"/>
    <xf numFmtId="1" fontId="34" fillId="2" borderId="5" xfId="637" applyNumberFormat="1" applyFont="1" applyFill="1" applyBorder="1"/>
    <xf numFmtId="0" fontId="34" fillId="2" borderId="5" xfId="0" applyFont="1" applyFill="1" applyBorder="1"/>
    <xf numFmtId="0" fontId="16" fillId="2" borderId="4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left"/>
    </xf>
    <xf numFmtId="0" fontId="6" fillId="2" borderId="5" xfId="0" applyFont="1" applyFill="1" applyBorder="1" applyAlignment="1"/>
    <xf numFmtId="0" fontId="29" fillId="2" borderId="5" xfId="0" applyFont="1" applyFill="1" applyBorder="1"/>
    <xf numFmtId="0" fontId="15" fillId="2" borderId="5" xfId="0" applyFont="1" applyFill="1" applyBorder="1"/>
    <xf numFmtId="1" fontId="15" fillId="2" borderId="5" xfId="0" applyNumberFormat="1" applyFont="1" applyFill="1" applyBorder="1"/>
    <xf numFmtId="0" fontId="4" fillId="2" borderId="4" xfId="0" applyFont="1" applyFill="1" applyBorder="1" applyAlignment="1"/>
    <xf numFmtId="0" fontId="1" fillId="2" borderId="4" xfId="0" applyFont="1" applyFill="1" applyBorder="1" applyAlignment="1">
      <alignment horizontal="right"/>
    </xf>
    <xf numFmtId="2" fontId="0" fillId="2" borderId="4" xfId="0" applyNumberFormat="1" applyFill="1" applyBorder="1"/>
    <xf numFmtId="0" fontId="0" fillId="2" borderId="4" xfId="0" applyFill="1" applyBorder="1"/>
    <xf numFmtId="0" fontId="4" fillId="2" borderId="5" xfId="0" applyFont="1" applyFill="1" applyBorder="1" applyAlignment="1"/>
    <xf numFmtId="0" fontId="1" fillId="2" borderId="5" xfId="0" applyFont="1" applyFill="1" applyBorder="1" applyAlignment="1">
      <alignment horizontal="right"/>
    </xf>
    <xf numFmtId="2" fontId="0" fillId="2" borderId="5" xfId="0" applyNumberFormat="1" applyFill="1" applyBorder="1"/>
    <xf numFmtId="0" fontId="0" fillId="2" borderId="5" xfId="0" applyFill="1" applyBorder="1"/>
    <xf numFmtId="0" fontId="23" fillId="2" borderId="4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right"/>
    </xf>
    <xf numFmtId="2" fontId="24" fillId="2" borderId="4" xfId="0" applyNumberFormat="1" applyFont="1" applyFill="1" applyBorder="1"/>
    <xf numFmtId="0" fontId="24" fillId="2" borderId="4" xfId="0" applyFont="1" applyFill="1" applyBorder="1"/>
    <xf numFmtId="0" fontId="24" fillId="5" borderId="4" xfId="0" applyFont="1" applyFill="1" applyBorder="1"/>
    <xf numFmtId="0" fontId="4" fillId="2" borderId="5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left"/>
    </xf>
    <xf numFmtId="0" fontId="23" fillId="2" borderId="5" xfId="0" applyFont="1" applyFill="1" applyBorder="1" applyAlignment="1">
      <alignment horizontal="right"/>
    </xf>
    <xf numFmtId="2" fontId="24" fillId="2" borderId="5" xfId="0" applyNumberFormat="1" applyFont="1" applyFill="1" applyBorder="1"/>
    <xf numFmtId="0" fontId="24" fillId="2" borderId="5" xfId="0" applyFont="1" applyFill="1" applyBorder="1"/>
    <xf numFmtId="0" fontId="24" fillId="5" borderId="5" xfId="0" applyFont="1" applyFill="1" applyBorder="1"/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right"/>
    </xf>
    <xf numFmtId="2" fontId="15" fillId="2" borderId="4" xfId="0" applyNumberFormat="1" applyFont="1" applyFill="1" applyBorder="1"/>
    <xf numFmtId="0" fontId="15" fillId="2" borderId="4" xfId="0" applyFont="1" applyFill="1" applyBorder="1"/>
    <xf numFmtId="0" fontId="15" fillId="5" borderId="4" xfId="0" applyFont="1" applyFill="1" applyBorder="1"/>
    <xf numFmtId="2" fontId="36" fillId="2" borderId="4" xfId="0" applyNumberFormat="1" applyFont="1" applyFill="1" applyBorder="1"/>
    <xf numFmtId="2" fontId="36" fillId="2" borderId="3" xfId="0" applyNumberFormat="1" applyFont="1" applyFill="1" applyBorder="1"/>
    <xf numFmtId="2" fontId="36" fillId="2" borderId="5" xfId="0" applyNumberFormat="1" applyFont="1" applyFill="1" applyBorder="1"/>
    <xf numFmtId="1" fontId="25" fillId="4" borderId="3" xfId="0" applyNumberFormat="1" applyFon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25" fillId="4" borderId="3" xfId="0" applyNumberFormat="1" applyFont="1" applyFill="1" applyBorder="1" applyAlignment="1">
      <alignment wrapText="1"/>
    </xf>
    <xf numFmtId="1" fontId="0" fillId="4" borderId="3" xfId="0" applyNumberFormat="1" applyFill="1" applyBorder="1"/>
    <xf numFmtId="1" fontId="15" fillId="4" borderId="3" xfId="0" applyNumberFormat="1" applyFont="1" applyFill="1" applyBorder="1"/>
    <xf numFmtId="1" fontId="15" fillId="4" borderId="5" xfId="0" applyNumberFormat="1" applyFont="1" applyFill="1" applyBorder="1"/>
    <xf numFmtId="1" fontId="10" fillId="4" borderId="4" xfId="0" applyNumberFormat="1" applyFont="1" applyFill="1" applyBorder="1"/>
    <xf numFmtId="1" fontId="10" fillId="4" borderId="3" xfId="0" applyNumberFormat="1" applyFont="1" applyFill="1" applyBorder="1"/>
    <xf numFmtId="1" fontId="10" fillId="4" borderId="5" xfId="0" applyNumberFormat="1" applyFont="1" applyFill="1" applyBorder="1"/>
    <xf numFmtId="1" fontId="34" fillId="4" borderId="4" xfId="0" applyNumberFormat="1" applyFont="1" applyFill="1" applyBorder="1"/>
    <xf numFmtId="1" fontId="34" fillId="4" borderId="3" xfId="0" applyNumberFormat="1" applyFont="1" applyFill="1" applyBorder="1"/>
    <xf numFmtId="1" fontId="34" fillId="4" borderId="5" xfId="0" applyNumberFormat="1" applyFont="1" applyFill="1" applyBorder="1"/>
    <xf numFmtId="1" fontId="22" fillId="4" borderId="4" xfId="0" applyNumberFormat="1" applyFont="1" applyFill="1" applyBorder="1"/>
    <xf numFmtId="1" fontId="22" fillId="4" borderId="3" xfId="0" applyNumberFormat="1" applyFont="1" applyFill="1" applyBorder="1"/>
    <xf numFmtId="1" fontId="22" fillId="4" borderId="5" xfId="0" applyNumberFormat="1" applyFont="1" applyFill="1" applyBorder="1"/>
    <xf numFmtId="1" fontId="15" fillId="4" borderId="4" xfId="0" applyNumberFormat="1" applyFont="1" applyFill="1" applyBorder="1"/>
    <xf numFmtId="166" fontId="15" fillId="2" borderId="3" xfId="637" applyNumberFormat="1" applyFont="1" applyFill="1" applyBorder="1"/>
    <xf numFmtId="166" fontId="15" fillId="5" borderId="3" xfId="637" applyNumberFormat="1" applyFont="1" applyFill="1" applyBorder="1"/>
    <xf numFmtId="166" fontId="31" fillId="2" borderId="3" xfId="637" applyNumberFormat="1" applyFont="1" applyFill="1" applyBorder="1"/>
    <xf numFmtId="166" fontId="15" fillId="2" borderId="5" xfId="637" applyNumberFormat="1" applyFont="1" applyFill="1" applyBorder="1"/>
    <xf numFmtId="166" fontId="15" fillId="5" borderId="5" xfId="637" applyNumberFormat="1" applyFont="1" applyFill="1" applyBorder="1"/>
    <xf numFmtId="166" fontId="10" fillId="2" borderId="4" xfId="637" applyNumberFormat="1" applyFont="1" applyFill="1" applyBorder="1"/>
    <xf numFmtId="166" fontId="10" fillId="5" borderId="4" xfId="637" applyNumberFormat="1" applyFont="1" applyFill="1" applyBorder="1"/>
    <xf numFmtId="166" fontId="32" fillId="2" borderId="4" xfId="637" applyNumberFormat="1" applyFont="1" applyFill="1" applyBorder="1"/>
    <xf numFmtId="166" fontId="10" fillId="2" borderId="3" xfId="637" applyNumberFormat="1" applyFont="1" applyFill="1" applyBorder="1"/>
    <xf numFmtId="166" fontId="10" fillId="5" borderId="3" xfId="637" applyNumberFormat="1" applyFont="1" applyFill="1" applyBorder="1"/>
    <xf numFmtId="166" fontId="32" fillId="2" borderId="3" xfId="637" applyNumberFormat="1" applyFont="1" applyFill="1" applyBorder="1"/>
    <xf numFmtId="166" fontId="10" fillId="2" borderId="5" xfId="637" applyNumberFormat="1" applyFont="1" applyFill="1" applyBorder="1"/>
    <xf numFmtId="166" fontId="10" fillId="5" borderId="5" xfId="637" applyNumberFormat="1" applyFont="1" applyFill="1" applyBorder="1"/>
    <xf numFmtId="166" fontId="32" fillId="2" borderId="5" xfId="637" applyNumberFormat="1" applyFont="1" applyFill="1" applyBorder="1"/>
    <xf numFmtId="166" fontId="34" fillId="2" borderId="4" xfId="637" applyNumberFormat="1" applyFont="1" applyFill="1" applyBorder="1"/>
    <xf numFmtId="166" fontId="34" fillId="5" borderId="4" xfId="637" applyNumberFormat="1" applyFont="1" applyFill="1" applyBorder="1"/>
    <xf numFmtId="166" fontId="34" fillId="2" borderId="3" xfId="637" applyNumberFormat="1" applyFont="1" applyFill="1" applyBorder="1"/>
    <xf numFmtId="166" fontId="34" fillId="5" borderId="3" xfId="637" applyNumberFormat="1" applyFont="1" applyFill="1" applyBorder="1"/>
    <xf numFmtId="166" fontId="34" fillId="2" borderId="5" xfId="637" applyNumberFormat="1" applyFont="1" applyFill="1" applyBorder="1"/>
    <xf numFmtId="166" fontId="34" fillId="5" borderId="5" xfId="637" applyNumberFormat="1" applyFont="1" applyFill="1" applyBorder="1"/>
    <xf numFmtId="166" fontId="36" fillId="2" borderId="3" xfId="637" applyNumberFormat="1" applyFont="1" applyFill="1" applyBorder="1"/>
    <xf numFmtId="166" fontId="36" fillId="2" borderId="5" xfId="637" applyNumberFormat="1" applyFont="1" applyFill="1" applyBorder="1"/>
    <xf numFmtId="0" fontId="36" fillId="2" borderId="3" xfId="0" applyFont="1" applyFill="1" applyBorder="1"/>
    <xf numFmtId="0" fontId="36" fillId="2" borderId="5" xfId="0" applyFont="1" applyFill="1" applyBorder="1"/>
    <xf numFmtId="166" fontId="36" fillId="2" borderId="4" xfId="637" applyNumberFormat="1" applyFont="1" applyFill="1" applyBorder="1"/>
    <xf numFmtId="0" fontId="36" fillId="2" borderId="4" xfId="0" applyFont="1" applyFill="1" applyBorder="1"/>
    <xf numFmtId="2" fontId="35" fillId="2" borderId="4" xfId="0" applyNumberFormat="1" applyFont="1" applyFill="1" applyBorder="1"/>
    <xf numFmtId="2" fontId="35" fillId="2" borderId="3" xfId="0" applyNumberFormat="1" applyFont="1" applyFill="1" applyBorder="1"/>
    <xf numFmtId="2" fontId="35" fillId="2" borderId="5" xfId="0" applyNumberFormat="1" applyFont="1" applyFill="1" applyBorder="1"/>
    <xf numFmtId="166" fontId="37" fillId="2" borderId="3" xfId="637" applyNumberFormat="1" applyFont="1" applyFill="1" applyBorder="1"/>
    <xf numFmtId="0" fontId="39" fillId="2" borderId="4" xfId="0" applyFont="1" applyFill="1" applyBorder="1" applyAlignment="1"/>
    <xf numFmtId="0" fontId="38" fillId="2" borderId="4" xfId="0" applyFont="1" applyFill="1" applyBorder="1" applyAlignment="1">
      <alignment horizontal="right"/>
    </xf>
    <xf numFmtId="1" fontId="36" fillId="4" borderId="4" xfId="0" applyNumberFormat="1" applyFont="1" applyFill="1" applyBorder="1"/>
    <xf numFmtId="166" fontId="36" fillId="5" borderId="4" xfId="637" applyNumberFormat="1" applyFont="1" applyFill="1" applyBorder="1"/>
    <xf numFmtId="1" fontId="36" fillId="2" borderId="4" xfId="0" applyNumberFormat="1" applyFont="1" applyFill="1" applyBorder="1"/>
    <xf numFmtId="0" fontId="39" fillId="2" borderId="3" xfId="0" applyFont="1" applyFill="1" applyBorder="1" applyAlignment="1"/>
    <xf numFmtId="0" fontId="38" fillId="2" borderId="3" xfId="0" applyFont="1" applyFill="1" applyBorder="1" applyAlignment="1">
      <alignment horizontal="right"/>
    </xf>
    <xf numFmtId="1" fontId="36" fillId="4" borderId="3" xfId="0" applyNumberFormat="1" applyFont="1" applyFill="1" applyBorder="1"/>
    <xf numFmtId="166" fontId="36" fillId="5" borderId="3" xfId="637" applyNumberFormat="1" applyFont="1" applyFill="1" applyBorder="1"/>
    <xf numFmtId="1" fontId="36" fillId="2" borderId="3" xfId="0" applyNumberFormat="1" applyFont="1" applyFill="1" applyBorder="1"/>
    <xf numFmtId="0" fontId="39" fillId="2" borderId="5" xfId="0" applyFont="1" applyFill="1" applyBorder="1" applyAlignment="1"/>
    <xf numFmtId="0" fontId="38" fillId="2" borderId="5" xfId="0" applyFont="1" applyFill="1" applyBorder="1" applyAlignment="1">
      <alignment horizontal="right"/>
    </xf>
    <xf numFmtId="1" fontId="36" fillId="4" borderId="5" xfId="0" applyNumberFormat="1" applyFont="1" applyFill="1" applyBorder="1"/>
    <xf numFmtId="166" fontId="36" fillId="5" borderId="5" xfId="637" applyNumberFormat="1" applyFont="1" applyFill="1" applyBorder="1"/>
    <xf numFmtId="1" fontId="36" fillId="2" borderId="5" xfId="0" applyNumberFormat="1" applyFont="1" applyFill="1" applyBorder="1"/>
    <xf numFmtId="166" fontId="35" fillId="2" borderId="3" xfId="637" applyNumberFormat="1" applyFont="1" applyFill="1" applyBorder="1"/>
    <xf numFmtId="166" fontId="36" fillId="5" borderId="6" xfId="637" applyNumberFormat="1" applyFont="1" applyFill="1" applyBorder="1"/>
    <xf numFmtId="166" fontId="36" fillId="5" borderId="7" xfId="637" applyNumberFormat="1" applyFont="1" applyFill="1" applyBorder="1"/>
    <xf numFmtId="166" fontId="36" fillId="5" borderId="8" xfId="637" applyNumberFormat="1" applyFont="1" applyFill="1" applyBorder="1"/>
    <xf numFmtId="1" fontId="35" fillId="4" borderId="4" xfId="0" applyNumberFormat="1" applyFont="1" applyFill="1" applyBorder="1"/>
    <xf numFmtId="1" fontId="35" fillId="4" borderId="3" xfId="0" applyNumberFormat="1" applyFont="1" applyFill="1" applyBorder="1"/>
    <xf numFmtId="1" fontId="35" fillId="4" borderId="5" xfId="0" applyNumberFormat="1" applyFont="1" applyFill="1" applyBorder="1"/>
    <xf numFmtId="166" fontId="35" fillId="5" borderId="7" xfId="637" applyNumberFormat="1" applyFont="1" applyFill="1" applyBorder="1"/>
    <xf numFmtId="0" fontId="35" fillId="2" borderId="4" xfId="0" applyFont="1" applyFill="1" applyBorder="1"/>
    <xf numFmtId="0" fontId="35" fillId="2" borderId="3" xfId="0" applyFont="1" applyFill="1" applyBorder="1"/>
    <xf numFmtId="0" fontId="35" fillId="2" borderId="5" xfId="0" applyFont="1" applyFill="1" applyBorder="1"/>
    <xf numFmtId="1" fontId="35" fillId="2" borderId="3" xfId="0" applyNumberFormat="1" applyFont="1" applyFill="1" applyBorder="1"/>
    <xf numFmtId="166" fontId="35" fillId="2" borderId="5" xfId="637" applyNumberFormat="1" applyFont="1" applyFill="1" applyBorder="1"/>
    <xf numFmtId="166" fontId="35" fillId="5" borderId="8" xfId="637" applyNumberFormat="1" applyFont="1" applyFill="1" applyBorder="1"/>
    <xf numFmtId="1" fontId="35" fillId="2" borderId="5" xfId="0" applyNumberFormat="1" applyFont="1" applyFill="1" applyBorder="1"/>
    <xf numFmtId="166" fontId="35" fillId="2" borderId="4" xfId="637" applyNumberFormat="1" applyFont="1" applyFill="1" applyBorder="1"/>
    <xf numFmtId="166" fontId="35" fillId="5" borderId="6" xfId="637" applyNumberFormat="1" applyFont="1" applyFill="1" applyBorder="1"/>
    <xf numFmtId="1" fontId="35" fillId="2" borderId="4" xfId="0" applyNumberFormat="1" applyFont="1" applyFill="1" applyBorder="1"/>
    <xf numFmtId="166" fontId="35" fillId="2" borderId="3" xfId="0" applyNumberFormat="1" applyFont="1" applyFill="1" applyBorder="1"/>
    <xf numFmtId="2" fontId="0" fillId="0" borderId="0" xfId="0" applyNumberFormat="1"/>
    <xf numFmtId="2" fontId="0" fillId="0" borderId="3" xfId="0" applyNumberFormat="1" applyBorder="1"/>
    <xf numFmtId="2" fontId="35" fillId="3" borderId="5" xfId="0" applyNumberFormat="1" applyFont="1" applyFill="1" applyBorder="1"/>
    <xf numFmtId="0" fontId="25" fillId="0" borderId="0" xfId="0" applyFont="1"/>
    <xf numFmtId="164" fontId="35" fillId="2" borderId="3" xfId="0" applyNumberFormat="1" applyFont="1" applyFill="1" applyBorder="1"/>
    <xf numFmtId="164" fontId="25" fillId="2" borderId="3" xfId="0" applyNumberFormat="1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3" xfId="0" applyNumberFormat="1" applyFill="1" applyBorder="1" applyAlignment="1">
      <alignment wrapText="1"/>
    </xf>
    <xf numFmtId="164" fontId="0" fillId="2" borderId="3" xfId="0" applyNumberFormat="1" applyFill="1" applyBorder="1" applyAlignment="1">
      <alignment horizontal="center"/>
    </xf>
    <xf numFmtId="164" fontId="15" fillId="2" borderId="3" xfId="0" applyNumberFormat="1" applyFont="1" applyFill="1" applyBorder="1"/>
    <xf numFmtId="164" fontId="32" fillId="2" borderId="3" xfId="0" applyNumberFormat="1" applyFont="1" applyFill="1" applyBorder="1"/>
    <xf numFmtId="164" fontId="37" fillId="2" borderId="3" xfId="0" applyNumberFormat="1" applyFont="1" applyFill="1" applyBorder="1"/>
    <xf numFmtId="164" fontId="36" fillId="2" borderId="3" xfId="0" applyNumberFormat="1" applyFont="1" applyFill="1" applyBorder="1"/>
    <xf numFmtId="164" fontId="24" fillId="2" borderId="4" xfId="0" applyNumberFormat="1" applyFont="1" applyFill="1" applyBorder="1"/>
    <xf numFmtId="164" fontId="24" fillId="2" borderId="3" xfId="0" applyNumberFormat="1" applyFont="1" applyFill="1" applyBorder="1"/>
    <xf numFmtId="164" fontId="24" fillId="2" borderId="5" xfId="0" applyNumberFormat="1" applyFont="1" applyFill="1" applyBorder="1"/>
    <xf numFmtId="164" fontId="15" fillId="2" borderId="4" xfId="0" applyNumberFormat="1" applyFont="1" applyFill="1" applyBorder="1"/>
    <xf numFmtId="165" fontId="16" fillId="2" borderId="3" xfId="0" applyNumberFormat="1" applyFont="1" applyFill="1" applyBorder="1" applyAlignment="1">
      <alignment horizontal="center"/>
    </xf>
    <xf numFmtId="165" fontId="18" fillId="2" borderId="3" xfId="0" applyNumberFormat="1" applyFont="1" applyFill="1" applyBorder="1" applyAlignment="1">
      <alignment horizontal="center"/>
    </xf>
    <xf numFmtId="165" fontId="20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1" fontId="11" fillId="2" borderId="3" xfId="0" applyNumberFormat="1" applyFont="1" applyFill="1" applyBorder="1"/>
    <xf numFmtId="1" fontId="22" fillId="2" borderId="3" xfId="0" applyNumberFormat="1" applyFont="1" applyFill="1" applyBorder="1"/>
    <xf numFmtId="1" fontId="0" fillId="2" borderId="3" xfId="0" applyNumberFormat="1" applyFill="1" applyBorder="1"/>
    <xf numFmtId="166" fontId="10" fillId="2" borderId="3" xfId="0" applyNumberFormat="1" applyFont="1" applyFill="1" applyBorder="1"/>
    <xf numFmtId="166" fontId="11" fillId="2" borderId="3" xfId="0" applyNumberFormat="1" applyFont="1" applyFill="1" applyBorder="1"/>
    <xf numFmtId="166" fontId="22" fillId="2" borderId="3" xfId="0" applyNumberFormat="1" applyFont="1" applyFill="1" applyBorder="1"/>
    <xf numFmtId="166" fontId="0" fillId="2" borderId="3" xfId="0" applyNumberFormat="1" applyFill="1" applyBorder="1"/>
    <xf numFmtId="164" fontId="10" fillId="2" borderId="3" xfId="637" applyNumberFormat="1" applyFont="1" applyFill="1" applyBorder="1"/>
    <xf numFmtId="164" fontId="11" fillId="2" borderId="3" xfId="637" applyNumberFormat="1" applyFont="1" applyFill="1" applyBorder="1"/>
    <xf numFmtId="164" fontId="22" fillId="2" borderId="3" xfId="637" applyNumberFormat="1" applyFont="1" applyFill="1" applyBorder="1"/>
    <xf numFmtId="164" fontId="0" fillId="2" borderId="3" xfId="637" applyNumberFormat="1" applyFont="1" applyFill="1" applyBorder="1"/>
    <xf numFmtId="2" fontId="0" fillId="2" borderId="3" xfId="0" applyNumberForma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41" fillId="0" borderId="0" xfId="0" applyFont="1"/>
    <xf numFmtId="0" fontId="0" fillId="0" borderId="9" xfId="0" applyBorder="1"/>
    <xf numFmtId="1" fontId="0" fillId="0" borderId="9" xfId="0" applyNumberFormat="1" applyBorder="1"/>
    <xf numFmtId="2" fontId="0" fillId="0" borderId="9" xfId="0" applyNumberFormat="1" applyBorder="1"/>
    <xf numFmtId="0" fontId="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165" fontId="0" fillId="0" borderId="9" xfId="0" applyNumberFormat="1" applyBorder="1"/>
    <xf numFmtId="2" fontId="42" fillId="0" borderId="0" xfId="0" applyNumberFormat="1" applyFont="1" applyAlignment="1">
      <alignment vertical="center"/>
    </xf>
    <xf numFmtId="164" fontId="35" fillId="2" borderId="4" xfId="0" applyNumberFormat="1" applyFont="1" applyFill="1" applyBorder="1"/>
    <xf numFmtId="164" fontId="35" fillId="2" borderId="5" xfId="0" applyNumberFormat="1" applyFont="1" applyFill="1" applyBorder="1"/>
    <xf numFmtId="0" fontId="25" fillId="2" borderId="5" xfId="0" applyFont="1" applyFill="1" applyBorder="1"/>
    <xf numFmtId="165" fontId="8" fillId="0" borderId="0" xfId="0" applyNumberFormat="1" applyFont="1" applyAlignment="1">
      <alignment horizontal="right"/>
    </xf>
    <xf numFmtId="165" fontId="11" fillId="0" borderId="0" xfId="0" applyNumberFormat="1" applyFont="1"/>
    <xf numFmtId="165" fontId="9" fillId="0" borderId="0" xfId="0" applyNumberFormat="1" applyFont="1"/>
    <xf numFmtId="1" fontId="9" fillId="0" borderId="0" xfId="0" applyNumberFormat="1" applyFont="1"/>
    <xf numFmtId="0" fontId="25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5" fillId="2" borderId="3" xfId="0" applyFont="1" applyFill="1" applyBorder="1" applyAlignment="1">
      <alignment horizontal="left"/>
    </xf>
    <xf numFmtId="165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" fontId="0" fillId="2" borderId="4" xfId="0" applyNumberForma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0" fillId="2" borderId="4" xfId="0" applyNumberFormat="1" applyFill="1" applyBorder="1" applyAlignment="1">
      <alignment horizontal="right"/>
    </xf>
    <xf numFmtId="0" fontId="0" fillId="0" borderId="10" xfId="0" applyBorder="1"/>
    <xf numFmtId="164" fontId="0" fillId="0" borderId="0" xfId="0" applyNumberFormat="1"/>
    <xf numFmtId="2" fontId="0" fillId="0" borderId="10" xfId="0" applyNumberFormat="1" applyBorder="1"/>
    <xf numFmtId="0" fontId="25" fillId="0" borderId="0" xfId="0" applyFont="1" applyFill="1" applyBorder="1"/>
    <xf numFmtId="0" fontId="43" fillId="0" borderId="0" xfId="0" applyFont="1"/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0" xfId="0" applyNumberFormat="1" applyBorder="1"/>
    <xf numFmtId="0" fontId="1" fillId="0" borderId="14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2" fontId="35" fillId="0" borderId="15" xfId="0" applyNumberFormat="1" applyFont="1" applyBorder="1" applyAlignment="1">
      <alignment horizontal="center"/>
    </xf>
    <xf numFmtId="0" fontId="25" fillId="0" borderId="14" xfId="0" applyFont="1" applyBorder="1"/>
    <xf numFmtId="2" fontId="0" fillId="0" borderId="15" xfId="0" applyNumberFormat="1" applyBorder="1"/>
    <xf numFmtId="2" fontId="15" fillId="0" borderId="0" xfId="0" applyNumberFormat="1" applyFont="1" applyBorder="1"/>
    <xf numFmtId="2" fontId="15" fillId="0" borderId="15" xfId="0" applyNumberFormat="1" applyFont="1" applyBorder="1"/>
    <xf numFmtId="0" fontId="1" fillId="0" borderId="16" xfId="0" applyFont="1" applyBorder="1" applyAlignment="1">
      <alignment horizontal="left"/>
    </xf>
    <xf numFmtId="2" fontId="15" fillId="0" borderId="9" xfId="0" applyNumberFormat="1" applyFont="1" applyBorder="1"/>
    <xf numFmtId="2" fontId="15" fillId="0" borderId="17" xfId="0" applyNumberFormat="1" applyFont="1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45" fillId="6" borderId="0" xfId="0" applyFont="1" applyFill="1" applyBorder="1" applyAlignment="1">
      <alignment horizontal="center"/>
    </xf>
    <xf numFmtId="0" fontId="32" fillId="0" borderId="0" xfId="0" applyFont="1"/>
    <xf numFmtId="0" fontId="46" fillId="0" borderId="0" xfId="0" applyFont="1"/>
    <xf numFmtId="164" fontId="25" fillId="0" borderId="0" xfId="0" applyNumberFormat="1" applyFont="1"/>
    <xf numFmtId="0" fontId="44" fillId="0" borderId="9" xfId="0" applyFont="1" applyBorder="1" applyAlignment="1">
      <alignment horizontal="center"/>
    </xf>
  </cellXfs>
  <cellStyles count="63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Normal" xfId="0" builtinId="0"/>
    <cellStyle name="Percent" xfId="637" builtinId="5"/>
  </cellStyles>
  <dxfs count="0"/>
  <tableStyles count="0" defaultTableStyle="TableStyleMedium9" defaultPivotStyle="PivotStyleMedium4"/>
  <colors>
    <mruColors>
      <color rgb="FF9BBB59"/>
      <color rgb="FF5E7530"/>
      <color rgb="FF772C2A"/>
      <color rgb="FFFEA817"/>
      <color rgb="FF48FF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23.xml"/><Relationship Id="rId21" Type="http://schemas.openxmlformats.org/officeDocument/2006/relationships/chartsheet" Target="chartsheets/sheet18.xml"/><Relationship Id="rId42" Type="http://schemas.openxmlformats.org/officeDocument/2006/relationships/chartsheet" Target="chartsheets/sheet38.xml"/><Relationship Id="rId47" Type="http://schemas.openxmlformats.org/officeDocument/2006/relationships/chartsheet" Target="chartsheets/sheet42.xml"/><Relationship Id="rId63" Type="http://schemas.openxmlformats.org/officeDocument/2006/relationships/chartsheet" Target="chartsheets/sheet55.xml"/><Relationship Id="rId68" Type="http://schemas.openxmlformats.org/officeDocument/2006/relationships/chartsheet" Target="chartsheets/sheet59.xml"/><Relationship Id="rId84" Type="http://schemas.openxmlformats.org/officeDocument/2006/relationships/chartsheet" Target="chartsheets/sheet73.xml"/><Relationship Id="rId89" Type="http://schemas.openxmlformats.org/officeDocument/2006/relationships/chartsheet" Target="chartsheets/sheet77.xml"/><Relationship Id="rId16" Type="http://schemas.openxmlformats.org/officeDocument/2006/relationships/chartsheet" Target="chartsheets/sheet14.xml"/><Relationship Id="rId11" Type="http://schemas.openxmlformats.org/officeDocument/2006/relationships/chartsheet" Target="chartsheets/sheet9.xml"/><Relationship Id="rId32" Type="http://schemas.openxmlformats.org/officeDocument/2006/relationships/chartsheet" Target="chartsheets/sheet29.xml"/><Relationship Id="rId37" Type="http://schemas.openxmlformats.org/officeDocument/2006/relationships/worksheet" Target="worksheets/sheet4.xml"/><Relationship Id="rId53" Type="http://schemas.openxmlformats.org/officeDocument/2006/relationships/chartsheet" Target="chartsheets/sheet47.xml"/><Relationship Id="rId58" Type="http://schemas.openxmlformats.org/officeDocument/2006/relationships/worksheet" Target="worksheets/sheet7.xml"/><Relationship Id="rId74" Type="http://schemas.openxmlformats.org/officeDocument/2006/relationships/worksheet" Target="worksheets/sheet10.xml"/><Relationship Id="rId79" Type="http://schemas.openxmlformats.org/officeDocument/2006/relationships/chartsheet" Target="chartsheets/sheet69.xml"/><Relationship Id="rId102" Type="http://schemas.openxmlformats.org/officeDocument/2006/relationships/theme" Target="theme/theme1.xml"/><Relationship Id="rId5" Type="http://schemas.openxmlformats.org/officeDocument/2006/relationships/chartsheet" Target="chartsheets/sheet5.xml"/><Relationship Id="rId90" Type="http://schemas.openxmlformats.org/officeDocument/2006/relationships/chartsheet" Target="chartsheets/sheet78.xml"/><Relationship Id="rId95" Type="http://schemas.openxmlformats.org/officeDocument/2006/relationships/worksheet" Target="worksheets/sheet14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43" Type="http://schemas.openxmlformats.org/officeDocument/2006/relationships/chartsheet" Target="chartsheets/sheet39.xml"/><Relationship Id="rId48" Type="http://schemas.openxmlformats.org/officeDocument/2006/relationships/chartsheet" Target="chartsheets/sheet43.xml"/><Relationship Id="rId64" Type="http://schemas.openxmlformats.org/officeDocument/2006/relationships/chartsheet" Target="chartsheets/sheet56.xml"/><Relationship Id="rId69" Type="http://schemas.openxmlformats.org/officeDocument/2006/relationships/chartsheet" Target="chartsheets/sheet60.xml"/><Relationship Id="rId80" Type="http://schemas.openxmlformats.org/officeDocument/2006/relationships/chartsheet" Target="chartsheets/sheet70.xml"/><Relationship Id="rId85" Type="http://schemas.openxmlformats.org/officeDocument/2006/relationships/chartsheet" Target="chartsheets/sheet74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33" Type="http://schemas.openxmlformats.org/officeDocument/2006/relationships/chartsheet" Target="chartsheets/sheet30.xml"/><Relationship Id="rId38" Type="http://schemas.openxmlformats.org/officeDocument/2006/relationships/chartsheet" Target="chartsheets/sheet34.xml"/><Relationship Id="rId59" Type="http://schemas.openxmlformats.org/officeDocument/2006/relationships/chartsheet" Target="chartsheets/sheet52.xml"/><Relationship Id="rId103" Type="http://schemas.openxmlformats.org/officeDocument/2006/relationships/styles" Target="styles.xml"/><Relationship Id="rId20" Type="http://schemas.openxmlformats.org/officeDocument/2006/relationships/chartsheet" Target="chartsheets/sheet17.xml"/><Relationship Id="rId41" Type="http://schemas.openxmlformats.org/officeDocument/2006/relationships/chartsheet" Target="chartsheets/sheet37.xml"/><Relationship Id="rId54" Type="http://schemas.openxmlformats.org/officeDocument/2006/relationships/chartsheet" Target="chartsheets/sheet48.xml"/><Relationship Id="rId62" Type="http://schemas.openxmlformats.org/officeDocument/2006/relationships/chartsheet" Target="chartsheets/sheet54.xml"/><Relationship Id="rId70" Type="http://schemas.openxmlformats.org/officeDocument/2006/relationships/chartsheet" Target="chartsheets/sheet61.xml"/><Relationship Id="rId75" Type="http://schemas.openxmlformats.org/officeDocument/2006/relationships/chartsheet" Target="chartsheets/sheet65.xml"/><Relationship Id="rId83" Type="http://schemas.openxmlformats.org/officeDocument/2006/relationships/chartsheet" Target="chartsheets/sheet72.xml"/><Relationship Id="rId88" Type="http://schemas.openxmlformats.org/officeDocument/2006/relationships/chartsheet" Target="chartsheets/sheet76.xml"/><Relationship Id="rId91" Type="http://schemas.openxmlformats.org/officeDocument/2006/relationships/chartsheet" Target="chartsheets/sheet79.xml"/><Relationship Id="rId96" Type="http://schemas.openxmlformats.org/officeDocument/2006/relationships/worksheet" Target="worksheets/sheet1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chartsheet" Target="chartsheets/sheet33.xml"/><Relationship Id="rId49" Type="http://schemas.openxmlformats.org/officeDocument/2006/relationships/chartsheet" Target="chartsheets/sheet44.xml"/><Relationship Id="rId57" Type="http://schemas.openxmlformats.org/officeDocument/2006/relationships/chartsheet" Target="chartsheets/sheet51.xml"/><Relationship Id="rId10" Type="http://schemas.openxmlformats.org/officeDocument/2006/relationships/chartsheet" Target="chartsheets/sheet8.xml"/><Relationship Id="rId31" Type="http://schemas.openxmlformats.org/officeDocument/2006/relationships/chartsheet" Target="chartsheets/sheet28.xml"/><Relationship Id="rId44" Type="http://schemas.openxmlformats.org/officeDocument/2006/relationships/worksheet" Target="worksheets/sheet5.xml"/><Relationship Id="rId52" Type="http://schemas.openxmlformats.org/officeDocument/2006/relationships/chartsheet" Target="chartsheets/sheet46.xml"/><Relationship Id="rId60" Type="http://schemas.openxmlformats.org/officeDocument/2006/relationships/worksheet" Target="worksheets/sheet8.xml"/><Relationship Id="rId65" Type="http://schemas.openxmlformats.org/officeDocument/2006/relationships/chartsheet" Target="chartsheets/sheet57.xml"/><Relationship Id="rId73" Type="http://schemas.openxmlformats.org/officeDocument/2006/relationships/chartsheet" Target="chartsheets/sheet64.xml"/><Relationship Id="rId78" Type="http://schemas.openxmlformats.org/officeDocument/2006/relationships/chartsheet" Target="chartsheets/sheet68.xml"/><Relationship Id="rId81" Type="http://schemas.openxmlformats.org/officeDocument/2006/relationships/worksheet" Target="worksheets/sheet11.xml"/><Relationship Id="rId86" Type="http://schemas.openxmlformats.org/officeDocument/2006/relationships/worksheet" Target="worksheets/sheet12.xml"/><Relationship Id="rId94" Type="http://schemas.openxmlformats.org/officeDocument/2006/relationships/worksheet" Target="worksheets/sheet13.xml"/><Relationship Id="rId99" Type="http://schemas.openxmlformats.org/officeDocument/2006/relationships/chartsheet" Target="chartsheets/sheet84.xml"/><Relationship Id="rId101" Type="http://schemas.openxmlformats.org/officeDocument/2006/relationships/worksheet" Target="worksheets/sheet16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7.xml"/><Relationship Id="rId13" Type="http://schemas.openxmlformats.org/officeDocument/2006/relationships/chartsheet" Target="chartsheets/sheet11.xml"/><Relationship Id="rId18" Type="http://schemas.openxmlformats.org/officeDocument/2006/relationships/worksheet" Target="worksheets/sheet3.xml"/><Relationship Id="rId39" Type="http://schemas.openxmlformats.org/officeDocument/2006/relationships/chartsheet" Target="chartsheets/sheet35.xml"/><Relationship Id="rId34" Type="http://schemas.openxmlformats.org/officeDocument/2006/relationships/chartsheet" Target="chartsheets/sheet31.xml"/><Relationship Id="rId50" Type="http://schemas.openxmlformats.org/officeDocument/2006/relationships/chartsheet" Target="chartsheets/sheet45.xml"/><Relationship Id="rId55" Type="http://schemas.openxmlformats.org/officeDocument/2006/relationships/chartsheet" Target="chartsheets/sheet49.xml"/><Relationship Id="rId76" Type="http://schemas.openxmlformats.org/officeDocument/2006/relationships/chartsheet" Target="chartsheets/sheet66.xml"/><Relationship Id="rId97" Type="http://schemas.openxmlformats.org/officeDocument/2006/relationships/chartsheet" Target="chartsheets/sheet82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2.xml"/><Relationship Id="rId71" Type="http://schemas.openxmlformats.org/officeDocument/2006/relationships/chartsheet" Target="chartsheets/sheet62.xml"/><Relationship Id="rId92" Type="http://schemas.openxmlformats.org/officeDocument/2006/relationships/chartsheet" Target="chartsheets/sheet80.xml"/><Relationship Id="rId2" Type="http://schemas.openxmlformats.org/officeDocument/2006/relationships/chartsheet" Target="chartsheets/sheet2.xml"/><Relationship Id="rId29" Type="http://schemas.openxmlformats.org/officeDocument/2006/relationships/chartsheet" Target="chartsheets/sheet26.xml"/><Relationship Id="rId24" Type="http://schemas.openxmlformats.org/officeDocument/2006/relationships/chartsheet" Target="chartsheets/sheet21.xml"/><Relationship Id="rId40" Type="http://schemas.openxmlformats.org/officeDocument/2006/relationships/chartsheet" Target="chartsheets/sheet36.xml"/><Relationship Id="rId45" Type="http://schemas.openxmlformats.org/officeDocument/2006/relationships/chartsheet" Target="chartsheets/sheet40.xml"/><Relationship Id="rId66" Type="http://schemas.openxmlformats.org/officeDocument/2006/relationships/chartsheet" Target="chartsheets/sheet58.xml"/><Relationship Id="rId87" Type="http://schemas.openxmlformats.org/officeDocument/2006/relationships/chartsheet" Target="chartsheets/sheet75.xml"/><Relationship Id="rId61" Type="http://schemas.openxmlformats.org/officeDocument/2006/relationships/chartsheet" Target="chartsheets/sheet53.xml"/><Relationship Id="rId82" Type="http://schemas.openxmlformats.org/officeDocument/2006/relationships/chartsheet" Target="chartsheets/sheet71.xml"/><Relationship Id="rId19" Type="http://schemas.openxmlformats.org/officeDocument/2006/relationships/chartsheet" Target="chartsheets/sheet16.xml"/><Relationship Id="rId14" Type="http://schemas.openxmlformats.org/officeDocument/2006/relationships/chartsheet" Target="chartsheets/sheet12.xml"/><Relationship Id="rId30" Type="http://schemas.openxmlformats.org/officeDocument/2006/relationships/chartsheet" Target="chartsheets/sheet27.xml"/><Relationship Id="rId35" Type="http://schemas.openxmlformats.org/officeDocument/2006/relationships/chartsheet" Target="chartsheets/sheet32.xml"/><Relationship Id="rId56" Type="http://schemas.openxmlformats.org/officeDocument/2006/relationships/chartsheet" Target="chartsheets/sheet50.xml"/><Relationship Id="rId77" Type="http://schemas.openxmlformats.org/officeDocument/2006/relationships/chartsheet" Target="chartsheets/sheet67.xml"/><Relationship Id="rId100" Type="http://schemas.openxmlformats.org/officeDocument/2006/relationships/chartsheet" Target="chartsheets/sheet85.xml"/><Relationship Id="rId105" Type="http://schemas.openxmlformats.org/officeDocument/2006/relationships/calcChain" Target="calcChain.xml"/><Relationship Id="rId8" Type="http://schemas.openxmlformats.org/officeDocument/2006/relationships/chartsheet" Target="chartsheets/sheet6.xml"/><Relationship Id="rId51" Type="http://schemas.openxmlformats.org/officeDocument/2006/relationships/worksheet" Target="worksheets/sheet6.xml"/><Relationship Id="rId72" Type="http://schemas.openxmlformats.org/officeDocument/2006/relationships/chartsheet" Target="chartsheets/sheet63.xml"/><Relationship Id="rId93" Type="http://schemas.openxmlformats.org/officeDocument/2006/relationships/chartsheet" Target="chartsheets/sheet81.xml"/><Relationship Id="rId98" Type="http://schemas.openxmlformats.org/officeDocument/2006/relationships/chartsheet" Target="chartsheets/sheet83.xml"/><Relationship Id="rId3" Type="http://schemas.openxmlformats.org/officeDocument/2006/relationships/chartsheet" Target="chartsheets/sheet3.xml"/><Relationship Id="rId25" Type="http://schemas.openxmlformats.org/officeDocument/2006/relationships/chartsheet" Target="chartsheets/sheet22.xml"/><Relationship Id="rId46" Type="http://schemas.openxmlformats.org/officeDocument/2006/relationships/chartsheet" Target="chartsheets/sheet41.xml"/><Relationship Id="rId67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3746840997507"/>
          <c:y val="0.13165337780173497"/>
          <c:w val="0.80003466077083452"/>
          <c:h val="0.75300953705805951"/>
        </c:manualLayout>
      </c:layout>
      <c:scatterChart>
        <c:scatterStyle val="lineMarker"/>
        <c:varyColors val="0"/>
        <c:ser>
          <c:idx val="1"/>
          <c:order val="0"/>
          <c:tx>
            <c:v>R1C2</c:v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'Chem Results'!$EX$7:$EX$15</c:f>
              <c:numCache>
                <c:formatCode>General</c:formatCode>
                <c:ptCount val="9"/>
                <c:pt idx="0">
                  <c:v>0.83162393162393178</c:v>
                </c:pt>
                <c:pt idx="1">
                  <c:v>0.83162393162393178</c:v>
                </c:pt>
                <c:pt idx="2">
                  <c:v>0.89102564102564097</c:v>
                </c:pt>
                <c:pt idx="3">
                  <c:v>0.64153846153846161</c:v>
                </c:pt>
                <c:pt idx="4">
                  <c:v>1.0044289044289045</c:v>
                </c:pt>
                <c:pt idx="5">
                  <c:v>1.0692307692307692</c:v>
                </c:pt>
                <c:pt idx="6">
                  <c:v>1.0692307692307692</c:v>
                </c:pt>
                <c:pt idx="7">
                  <c:v>0.97202797202797198</c:v>
                </c:pt>
                <c:pt idx="8">
                  <c:v>1.0246794871794871</c:v>
                </c:pt>
              </c:numCache>
            </c:numRef>
          </c:xVal>
          <c:yVal>
            <c:numRef>
              <c:f>'Chem Results'!$F$7:$F$15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CB-494C-9A30-99F1106FC52D}"/>
            </c:ext>
          </c:extLst>
        </c:ser>
        <c:ser>
          <c:idx val="0"/>
          <c:order val="1"/>
          <c:tx>
            <c:v>R1C3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C00000"/>
              </a:solidFill>
            </c:spPr>
          </c:marker>
          <c:xVal>
            <c:numRef>
              <c:f>'Chem Results'!$EX$16:$EX$26</c:f>
              <c:numCache>
                <c:formatCode>General</c:formatCode>
                <c:ptCount val="11"/>
                <c:pt idx="0">
                  <c:v>0.89102564102564097</c:v>
                </c:pt>
                <c:pt idx="1">
                  <c:v>0.89102564102564097</c:v>
                </c:pt>
                <c:pt idx="2">
                  <c:v>0.83162393162393178</c:v>
                </c:pt>
                <c:pt idx="3">
                  <c:v>0.5346153846153846</c:v>
                </c:pt>
                <c:pt idx="5">
                  <c:v>0.5346153846153846</c:v>
                </c:pt>
                <c:pt idx="6">
                  <c:v>0.44551282051282048</c:v>
                </c:pt>
                <c:pt idx="7">
                  <c:v>0.65341880341880354</c:v>
                </c:pt>
                <c:pt idx="8">
                  <c:v>0.77571644042232279</c:v>
                </c:pt>
                <c:pt idx="9">
                  <c:v>0.99794871794871787</c:v>
                </c:pt>
                <c:pt idx="10">
                  <c:v>1.2192982456140351</c:v>
                </c:pt>
              </c:numCache>
            </c:numRef>
          </c:xVal>
          <c:yVal>
            <c:numRef>
              <c:f>'Chem Results'!$F$16:$F$26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CB-494C-9A30-99F1106FC52D}"/>
            </c:ext>
          </c:extLst>
        </c:ser>
        <c:ser>
          <c:idx val="2"/>
          <c:order val="2"/>
          <c:tx>
            <c:v>R2H1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3366FF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'Chem Results'!$EX$27:$EX$40</c:f>
              <c:numCache>
                <c:formatCode>General</c:formatCode>
                <c:ptCount val="14"/>
                <c:pt idx="0">
                  <c:v>1.0692307692307692</c:v>
                </c:pt>
                <c:pt idx="1">
                  <c:v>1.0418145956607494</c:v>
                </c:pt>
                <c:pt idx="2">
                  <c:v>1.1240631163708088</c:v>
                </c:pt>
                <c:pt idx="3">
                  <c:v>1.1016317016317017</c:v>
                </c:pt>
                <c:pt idx="4">
                  <c:v>0.96739926739926752</c:v>
                </c:pt>
                <c:pt idx="5">
                  <c:v>0.89102564102564108</c:v>
                </c:pt>
                <c:pt idx="6">
                  <c:v>0.95042735042735049</c:v>
                </c:pt>
                <c:pt idx="7">
                  <c:v>0.92666666666666686</c:v>
                </c:pt>
                <c:pt idx="8">
                  <c:v>0.89102564102564097</c:v>
                </c:pt>
                <c:pt idx="9">
                  <c:v>1.0692307692307692</c:v>
                </c:pt>
                <c:pt idx="10">
                  <c:v>0.95042735042735049</c:v>
                </c:pt>
                <c:pt idx="11">
                  <c:v>0.9801282051282052</c:v>
                </c:pt>
                <c:pt idx="12">
                  <c:v>0.95042735042735049</c:v>
                </c:pt>
                <c:pt idx="13">
                  <c:v>1.0692307692307692</c:v>
                </c:pt>
              </c:numCache>
            </c:numRef>
          </c:xVal>
          <c:yVal>
            <c:numRef>
              <c:f>'Chem Results'!$F$27:$F$40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CB-494C-9A30-99F1106FC52D}"/>
            </c:ext>
          </c:extLst>
        </c:ser>
        <c:ser>
          <c:idx val="3"/>
          <c:order val="3"/>
          <c:tx>
            <c:v>R2P1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3366FF"/>
              </a:solidFill>
              <a:ln>
                <a:noFill/>
              </a:ln>
            </c:spPr>
          </c:marker>
          <c:xVal>
            <c:numRef>
              <c:f>'Chem Results'!$EX$41:$EX$53</c:f>
              <c:numCache>
                <c:formatCode>General</c:formatCode>
                <c:ptCount val="13"/>
                <c:pt idx="0">
                  <c:v>0.99794871794871809</c:v>
                </c:pt>
                <c:pt idx="1">
                  <c:v>0.95042735042735049</c:v>
                </c:pt>
                <c:pt idx="2">
                  <c:v>0.95042735042735049</c:v>
                </c:pt>
                <c:pt idx="3">
                  <c:v>0.89102564102564097</c:v>
                </c:pt>
                <c:pt idx="4">
                  <c:v>0.89102564102564097</c:v>
                </c:pt>
                <c:pt idx="5">
                  <c:v>0.78410256410256418</c:v>
                </c:pt>
                <c:pt idx="6">
                  <c:v>0.86556776556776571</c:v>
                </c:pt>
                <c:pt idx="7">
                  <c:v>0.92666666666666686</c:v>
                </c:pt>
                <c:pt idx="8">
                  <c:v>0.95042735042735049</c:v>
                </c:pt>
                <c:pt idx="9">
                  <c:v>0.81465201465201476</c:v>
                </c:pt>
                <c:pt idx="10">
                  <c:v>1.0692307692307694</c:v>
                </c:pt>
                <c:pt idx="11">
                  <c:v>1.0692307692307692</c:v>
                </c:pt>
                <c:pt idx="12">
                  <c:v>0.92666666666666686</c:v>
                </c:pt>
              </c:numCache>
            </c:numRef>
          </c:xVal>
          <c:yVal>
            <c:numRef>
              <c:f>'Chem Results'!$F$41:$F$53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CB-494C-9A30-99F1106FC52D}"/>
            </c:ext>
          </c:extLst>
        </c:ser>
        <c:ser>
          <c:idx val="4"/>
          <c:order val="4"/>
          <c:tx>
            <c:v>R7H1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48FF38"/>
              </a:solidFill>
            </c:spPr>
          </c:marker>
          <c:xVal>
            <c:numRef>
              <c:f>'Chem Results'!$EX$54:$EX$65</c:f>
              <c:numCache>
                <c:formatCode>General</c:formatCode>
                <c:ptCount val="12"/>
                <c:pt idx="0">
                  <c:v>0.9801282051282052</c:v>
                </c:pt>
                <c:pt idx="1">
                  <c:v>0.83162393162393178</c:v>
                </c:pt>
                <c:pt idx="2">
                  <c:v>0.89102564102564097</c:v>
                </c:pt>
                <c:pt idx="4">
                  <c:v>0.35641025641025642</c:v>
                </c:pt>
                <c:pt idx="5">
                  <c:v>0.71282051282051284</c:v>
                </c:pt>
                <c:pt idx="6">
                  <c:v>0.71282051282051284</c:v>
                </c:pt>
                <c:pt idx="7">
                  <c:v>0.92666666666666686</c:v>
                </c:pt>
                <c:pt idx="8">
                  <c:v>0.89102564102564108</c:v>
                </c:pt>
                <c:pt idx="9">
                  <c:v>0.86556776556776571</c:v>
                </c:pt>
                <c:pt idx="10">
                  <c:v>0.80192307692307696</c:v>
                </c:pt>
                <c:pt idx="11">
                  <c:v>0.71282051282051295</c:v>
                </c:pt>
              </c:numCache>
            </c:numRef>
          </c:xVal>
          <c:yVal>
            <c:numRef>
              <c:f>'Chem Results'!$F$54:$F$65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CB-494C-9A30-99F1106FC52D}"/>
            </c:ext>
          </c:extLst>
        </c:ser>
        <c:ser>
          <c:idx val="8"/>
          <c:order val="5"/>
          <c:tx>
            <c:v>R7H2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B050"/>
              </a:solidFill>
            </c:spPr>
          </c:marker>
          <c:xVal>
            <c:numRef>
              <c:f>'Chem Results'!$EX$66:$EX$77</c:f>
              <c:numCache>
                <c:formatCode>General</c:formatCode>
                <c:ptCount val="12"/>
                <c:pt idx="0">
                  <c:v>0.85228539576365669</c:v>
                </c:pt>
                <c:pt idx="1">
                  <c:v>0.75242165242165238</c:v>
                </c:pt>
                <c:pt idx="2">
                  <c:v>0.71282051282051284</c:v>
                </c:pt>
                <c:pt idx="3">
                  <c:v>0.47521367521367525</c:v>
                </c:pt>
                <c:pt idx="4">
                  <c:v>0.5346153846153846</c:v>
                </c:pt>
                <c:pt idx="5">
                  <c:v>0.47521367521367525</c:v>
                </c:pt>
                <c:pt idx="6">
                  <c:v>0.35641025641025642</c:v>
                </c:pt>
                <c:pt idx="7">
                  <c:v>0.78410256410256418</c:v>
                </c:pt>
                <c:pt idx="8">
                  <c:v>0.71282051282051284</c:v>
                </c:pt>
                <c:pt idx="9">
                  <c:v>0.78410256410256418</c:v>
                </c:pt>
                <c:pt idx="10">
                  <c:v>0.84647435897435896</c:v>
                </c:pt>
                <c:pt idx="11">
                  <c:v>0.85538461538461541</c:v>
                </c:pt>
              </c:numCache>
            </c:numRef>
          </c:xVal>
          <c:yVal>
            <c:numRef>
              <c:f>'Chem Results'!$F$66:$F$77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CB-494C-9A30-99F1106FC52D}"/>
            </c:ext>
          </c:extLst>
        </c:ser>
        <c:ser>
          <c:idx val="5"/>
          <c:order val="6"/>
          <c:tx>
            <c:v>R7P2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48FF38"/>
              </a:solidFill>
              <a:ln>
                <a:solidFill>
                  <a:srgbClr val="FEA817"/>
                </a:solidFill>
              </a:ln>
            </c:spPr>
          </c:marker>
          <c:xVal>
            <c:numRef>
              <c:f>'Chem Results'!$EX$85:$EX$98</c:f>
              <c:numCache>
                <c:formatCode>General</c:formatCode>
                <c:ptCount val="14"/>
                <c:pt idx="0">
                  <c:v>0.71282051282051284</c:v>
                </c:pt>
                <c:pt idx="1">
                  <c:v>1.0692307692307692</c:v>
                </c:pt>
                <c:pt idx="2">
                  <c:v>0.71282051282051284</c:v>
                </c:pt>
                <c:pt idx="3">
                  <c:v>1.0692307692307692</c:v>
                </c:pt>
                <c:pt idx="4">
                  <c:v>0.71282051282051284</c:v>
                </c:pt>
                <c:pt idx="5">
                  <c:v>0.5346153846153846</c:v>
                </c:pt>
                <c:pt idx="6">
                  <c:v>0.89102564102564097</c:v>
                </c:pt>
                <c:pt idx="7">
                  <c:v>0.59401709401709402</c:v>
                </c:pt>
                <c:pt idx="8">
                  <c:v>0.80192307692307696</c:v>
                </c:pt>
                <c:pt idx="9">
                  <c:v>0.64153846153846161</c:v>
                </c:pt>
                <c:pt idx="10">
                  <c:v>0.65341880341880354</c:v>
                </c:pt>
                <c:pt idx="11">
                  <c:v>0.78410256410256418</c:v>
                </c:pt>
                <c:pt idx="12">
                  <c:v>0.71282051282051284</c:v>
                </c:pt>
                <c:pt idx="13">
                  <c:v>0.83162393162393178</c:v>
                </c:pt>
              </c:numCache>
            </c:numRef>
          </c:xVal>
          <c:yVal>
            <c:numRef>
              <c:f>'Chem Results'!$F$85:$F$98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CB-494C-9A30-99F1106FC52D}"/>
            </c:ext>
          </c:extLst>
        </c:ser>
        <c:ser>
          <c:idx val="6"/>
          <c:order val="7"/>
          <c:tx>
            <c:v>R8H1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EA817"/>
              </a:solidFill>
            </c:spPr>
          </c:marker>
          <c:xVal>
            <c:numRef>
              <c:f>'Chem Results'!$EX$99:$EX$111</c:f>
              <c:numCache>
                <c:formatCode>General</c:formatCode>
                <c:ptCount val="13"/>
                <c:pt idx="0">
                  <c:v>0.9801282051282052</c:v>
                </c:pt>
                <c:pt idx="1">
                  <c:v>0.59401709401709402</c:v>
                </c:pt>
                <c:pt idx="2">
                  <c:v>1.0692307692307692</c:v>
                </c:pt>
                <c:pt idx="3">
                  <c:v>0.83162393162393178</c:v>
                </c:pt>
                <c:pt idx="4">
                  <c:v>0.71282051282051284</c:v>
                </c:pt>
                <c:pt idx="5">
                  <c:v>0.80192307692307696</c:v>
                </c:pt>
                <c:pt idx="6">
                  <c:v>0.89102564102564097</c:v>
                </c:pt>
                <c:pt idx="7">
                  <c:v>0.93557692307692308</c:v>
                </c:pt>
                <c:pt idx="8">
                  <c:v>0.84647435897435896</c:v>
                </c:pt>
                <c:pt idx="9">
                  <c:v>0.95042735042735049</c:v>
                </c:pt>
                <c:pt idx="10">
                  <c:v>0.8712250712250712</c:v>
                </c:pt>
                <c:pt idx="11">
                  <c:v>0.92247360482654606</c:v>
                </c:pt>
                <c:pt idx="12">
                  <c:v>0.92666666666666675</c:v>
                </c:pt>
              </c:numCache>
            </c:numRef>
          </c:xVal>
          <c:yVal>
            <c:numRef>
              <c:f>'Chem Results'!$F$99:$F$111</c:f>
              <c:numCache>
                <c:formatCode>General</c:formatCode>
                <c:ptCount val="13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CB-494C-9A30-99F1106FC52D}"/>
            </c:ext>
          </c:extLst>
        </c:ser>
        <c:ser>
          <c:idx val="7"/>
          <c:order val="8"/>
          <c:tx>
            <c:v>R8P1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FEA817"/>
              </a:solidFill>
              <a:ln>
                <a:noFill/>
              </a:ln>
            </c:spPr>
          </c:marker>
          <c:xVal>
            <c:numRef>
              <c:f>'Chem Results'!$EX$112:$EX$121</c:f>
              <c:numCache>
                <c:formatCode>General</c:formatCode>
                <c:ptCount val="10"/>
                <c:pt idx="0">
                  <c:v>1.0692307692307692</c:v>
                </c:pt>
                <c:pt idx="1">
                  <c:v>0.71282051282051284</c:v>
                </c:pt>
                <c:pt idx="2">
                  <c:v>0.83162393162393178</c:v>
                </c:pt>
                <c:pt idx="3">
                  <c:v>0.89102564102564097</c:v>
                </c:pt>
                <c:pt idx="4">
                  <c:v>0.83162393162393178</c:v>
                </c:pt>
                <c:pt idx="5">
                  <c:v>0.71282051282051284</c:v>
                </c:pt>
                <c:pt idx="6">
                  <c:v>0.80192307692307696</c:v>
                </c:pt>
                <c:pt idx="7">
                  <c:v>0.96739926739926752</c:v>
                </c:pt>
                <c:pt idx="8">
                  <c:v>0.99794871794871809</c:v>
                </c:pt>
                <c:pt idx="9">
                  <c:v>0.85538461538461541</c:v>
                </c:pt>
              </c:numCache>
            </c:numRef>
          </c:xVal>
          <c:yVal>
            <c:numRef>
              <c:f>'Chem Results'!$E$112:$E$121</c:f>
              <c:numCache>
                <c:formatCode>General</c:formatCode>
                <c:ptCount val="10"/>
                <c:pt idx="0">
                  <c:v>20</c:v>
                </c:pt>
                <c:pt idx="1">
                  <c:v>35</c:v>
                </c:pt>
                <c:pt idx="2">
                  <c:v>68</c:v>
                </c:pt>
                <c:pt idx="3">
                  <c:v>116</c:v>
                </c:pt>
                <c:pt idx="4">
                  <c:v>164</c:v>
                </c:pt>
                <c:pt idx="5">
                  <c:v>215</c:v>
                </c:pt>
                <c:pt idx="6">
                  <c:v>275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CB-494C-9A30-99F1106F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87752"/>
        <c:axId val="-2137986968"/>
      </c:scatterChart>
      <c:valAx>
        <c:axId val="2121687752"/>
        <c:scaling>
          <c:orientation val="minMax"/>
          <c:max val="1.25"/>
          <c:min val="0.3000000000000000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Y/Ho</a:t>
                </a:r>
                <a:r>
                  <a:rPr lang="en-US" sz="1600" baseline="-25000"/>
                  <a:t>[Chond]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7986968"/>
        <c:crosses val="autoZero"/>
        <c:crossBetween val="midCat"/>
        <c:majorUnit val="0.1"/>
      </c:valAx>
      <c:valAx>
        <c:axId val="-2137986968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8412227433008145E-2"/>
              <c:y val="0.426334794276152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21687752"/>
        <c:crosses val="autoZero"/>
        <c:crossBetween val="midCat"/>
        <c:majorUnit val="100"/>
        <c:minorUnit val="50"/>
      </c:valAx>
      <c:spPr>
        <a:ln w="158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9021644309302449"/>
          <c:y val="0.91954603514397226"/>
          <c:w val="0.72210087399892575"/>
          <c:h val="4.993860422535380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R1C2 arg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'Chem Results'!$ER$7:$ER$10</c:f>
              <c:numCache>
                <c:formatCode>0.000</c:formatCode>
                <c:ptCount val="4"/>
                <c:pt idx="0">
                  <c:v>0.66928423979441387</c:v>
                </c:pt>
                <c:pt idx="1">
                  <c:v>0.80539369566569929</c:v>
                </c:pt>
                <c:pt idx="2">
                  <c:v>0.80251107800479549</c:v>
                </c:pt>
                <c:pt idx="3">
                  <c:v>0.80987886039618673</c:v>
                </c:pt>
              </c:numCache>
            </c:numRef>
          </c:xVal>
          <c:yVal>
            <c:numRef>
              <c:f>'Chem Results'!$ES$7:$ES$10</c:f>
              <c:numCache>
                <c:formatCode>0.00</c:formatCode>
                <c:ptCount val="4"/>
                <c:pt idx="0">
                  <c:v>0.96114433783379172</c:v>
                </c:pt>
                <c:pt idx="1">
                  <c:v>1.0612317853463824</c:v>
                </c:pt>
                <c:pt idx="2">
                  <c:v>1.1932725877367838</c:v>
                </c:pt>
                <c:pt idx="3">
                  <c:v>1.4732947049161367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07-0B4F-8984-C7ED7CFC0145}"/>
            </c:ext>
          </c:extLst>
        </c:ser>
        <c:ser>
          <c:idx val="4"/>
          <c:order val="1"/>
          <c:tx>
            <c:v>R1C2 sap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'Chem Results'!$ER$11:$ER$15</c:f>
              <c:numCache>
                <c:formatCode>0.000</c:formatCode>
                <c:ptCount val="5"/>
                <c:pt idx="0">
                  <c:v>0.76068653610930947</c:v>
                </c:pt>
                <c:pt idx="1">
                  <c:v>0.73825994907977754</c:v>
                </c:pt>
                <c:pt idx="2">
                  <c:v>0.77711616593916899</c:v>
                </c:pt>
                <c:pt idx="3">
                  <c:v>0.75378050430781696</c:v>
                </c:pt>
                <c:pt idx="4">
                  <c:v>0.72926944232137914</c:v>
                </c:pt>
              </c:numCache>
            </c:numRef>
          </c:xVal>
          <c:yVal>
            <c:numRef>
              <c:f>'Chem Results'!$ES$11:$ES$15</c:f>
              <c:numCache>
                <c:formatCode>0.00</c:formatCode>
                <c:ptCount val="5"/>
                <c:pt idx="0">
                  <c:v>1.006724756624233</c:v>
                </c:pt>
                <c:pt idx="1">
                  <c:v>0.53564891454252839</c:v>
                </c:pt>
                <c:pt idx="2">
                  <c:v>0.60506371714225271</c:v>
                </c:pt>
                <c:pt idx="3">
                  <c:v>1.1825656539498308</c:v>
                </c:pt>
                <c:pt idx="4">
                  <c:v>1.1247076369518896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07-0B4F-8984-C7ED7CFC0145}"/>
            </c:ext>
          </c:extLst>
        </c:ser>
        <c:ser>
          <c:idx val="1"/>
          <c:order val="2"/>
          <c:tx>
            <c:v>R2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'Chem Results'!$ER$27:$ER$53</c:f>
              <c:numCache>
                <c:formatCode>0.000</c:formatCode>
                <c:ptCount val="27"/>
                <c:pt idx="0">
                  <c:v>0.59753129310412889</c:v>
                </c:pt>
                <c:pt idx="1">
                  <c:v>0.6168230802043343</c:v>
                </c:pt>
                <c:pt idx="2">
                  <c:v>0.60078440523152055</c:v>
                </c:pt>
                <c:pt idx="3">
                  <c:v>0.61455392523009522</c:v>
                </c:pt>
                <c:pt idx="4">
                  <c:v>0.54332135031822959</c:v>
                </c:pt>
                <c:pt idx="5">
                  <c:v>0.52749131666248006</c:v>
                </c:pt>
                <c:pt idx="6">
                  <c:v>0.526143056874121</c:v>
                </c:pt>
                <c:pt idx="7">
                  <c:v>0.53469369697976521</c:v>
                </c:pt>
                <c:pt idx="8">
                  <c:v>0.53332151757826762</c:v>
                </c:pt>
                <c:pt idx="9">
                  <c:v>0.62354828298787568</c:v>
                </c:pt>
                <c:pt idx="10">
                  <c:v>0.62476592031444866</c:v>
                </c:pt>
                <c:pt idx="11">
                  <c:v>0.61906577811970431</c:v>
                </c:pt>
                <c:pt idx="12">
                  <c:v>0.67599109416008873</c:v>
                </c:pt>
                <c:pt idx="13">
                  <c:v>0.66296469383182344</c:v>
                </c:pt>
                <c:pt idx="14">
                  <c:v>0.69969313170276271</c:v>
                </c:pt>
                <c:pt idx="15">
                  <c:v>0.70045228751797595</c:v>
                </c:pt>
                <c:pt idx="16">
                  <c:v>0.67145297247065661</c:v>
                </c:pt>
                <c:pt idx="17">
                  <c:v>0.64488148683407365</c:v>
                </c:pt>
                <c:pt idx="18">
                  <c:v>0.61980636145490575</c:v>
                </c:pt>
                <c:pt idx="19">
                  <c:v>0.55342126076826059</c:v>
                </c:pt>
                <c:pt idx="20">
                  <c:v>0.57017894601998309</c:v>
                </c:pt>
                <c:pt idx="21">
                  <c:v>0.65456881188660054</c:v>
                </c:pt>
                <c:pt idx="22">
                  <c:v>0.77503137044567227</c:v>
                </c:pt>
                <c:pt idx="23">
                  <c:v>0.83807983985833623</c:v>
                </c:pt>
                <c:pt idx="24">
                  <c:v>0.86543575036482534</c:v>
                </c:pt>
                <c:pt idx="25">
                  <c:v>0.82131844426115086</c:v>
                </c:pt>
                <c:pt idx="26">
                  <c:v>0.60399089631860803</c:v>
                </c:pt>
              </c:numCache>
            </c:numRef>
          </c:xVal>
          <c:yVal>
            <c:numRef>
              <c:f>'Chem Results'!$BX$27:$BX$53</c:f>
              <c:numCache>
                <c:formatCode>0.00</c:formatCode>
                <c:ptCount val="27"/>
                <c:pt idx="0">
                  <c:v>1.4855627131489197</c:v>
                </c:pt>
                <c:pt idx="1">
                  <c:v>0.98474801061007944</c:v>
                </c:pt>
                <c:pt idx="2">
                  <c:v>1.2667578898095604</c:v>
                </c:pt>
                <c:pt idx="3">
                  <c:v>1.6783070933515871</c:v>
                </c:pt>
                <c:pt idx="4">
                  <c:v>1.8252335738059435</c:v>
                </c:pt>
                <c:pt idx="5">
                  <c:v>1.299730919315613</c:v>
                </c:pt>
                <c:pt idx="6">
                  <c:v>1.2198168905621627</c:v>
                </c:pt>
                <c:pt idx="7">
                  <c:v>1.4572147111184193</c:v>
                </c:pt>
                <c:pt idx="8">
                  <c:v>2.5747998442557121</c:v>
                </c:pt>
                <c:pt idx="9">
                  <c:v>2.8957746187002651</c:v>
                </c:pt>
                <c:pt idx="10">
                  <c:v>1.808302150435771</c:v>
                </c:pt>
                <c:pt idx="11">
                  <c:v>2.0481103582016358</c:v>
                </c:pt>
                <c:pt idx="12">
                  <c:v>1.9519112353164074</c:v>
                </c:pt>
                <c:pt idx="13">
                  <c:v>1.477122015915119</c:v>
                </c:pt>
                <c:pt idx="14">
                  <c:v>2.4767184585307791</c:v>
                </c:pt>
                <c:pt idx="15">
                  <c:v>1.7945201350373763</c:v>
                </c:pt>
                <c:pt idx="16">
                  <c:v>3.1956149481247693</c:v>
                </c:pt>
                <c:pt idx="17">
                  <c:v>0.94249203254285585</c:v>
                </c:pt>
                <c:pt idx="18">
                  <c:v>1.2489486963835155</c:v>
                </c:pt>
                <c:pt idx="19">
                  <c:v>1.5421153846153846</c:v>
                </c:pt>
                <c:pt idx="20">
                  <c:v>1.295265285312504</c:v>
                </c:pt>
                <c:pt idx="21">
                  <c:v>0.60522787023778768</c:v>
                </c:pt>
                <c:pt idx="22">
                  <c:v>1.5202210667773639</c:v>
                </c:pt>
                <c:pt idx="23">
                  <c:v>0.90734423685033516</c:v>
                </c:pt>
                <c:pt idx="24">
                  <c:v>1.735716321088588</c:v>
                </c:pt>
                <c:pt idx="25">
                  <c:v>1.5141658282264703</c:v>
                </c:pt>
                <c:pt idx="26">
                  <c:v>1.7356183687002651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07-0B4F-8984-C7ED7CFC0145}"/>
            </c:ext>
          </c:extLst>
        </c:ser>
        <c:ser>
          <c:idx val="2"/>
          <c:order val="3"/>
          <c:tx>
            <c:v>R7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'Chem Results'!$ER$54:$ER$98</c:f>
              <c:numCache>
                <c:formatCode>0.000</c:formatCode>
                <c:ptCount val="45"/>
                <c:pt idx="0">
                  <c:v>0.791556599158595</c:v>
                </c:pt>
                <c:pt idx="1">
                  <c:v>0.80928344714821565</c:v>
                </c:pt>
                <c:pt idx="2">
                  <c:v>0.80176324320731385</c:v>
                </c:pt>
                <c:pt idx="3">
                  <c:v>0.93714888047167288</c:v>
                </c:pt>
                <c:pt idx="4">
                  <c:v>0.86141829129492953</c:v>
                </c:pt>
                <c:pt idx="5">
                  <c:v>0.78714123560888583</c:v>
                </c:pt>
                <c:pt idx="6">
                  <c:v>0.83339497186922129</c:v>
                </c:pt>
                <c:pt idx="7">
                  <c:v>0.78260377306640627</c:v>
                </c:pt>
                <c:pt idx="8">
                  <c:v>0.84526823443811139</c:v>
                </c:pt>
                <c:pt idx="9">
                  <c:v>0.85355630514003078</c:v>
                </c:pt>
                <c:pt idx="10">
                  <c:v>0.86921788872058181</c:v>
                </c:pt>
                <c:pt idx="11">
                  <c:v>0.88535117389574181</c:v>
                </c:pt>
                <c:pt idx="12">
                  <c:v>0.81410343044110711</c:v>
                </c:pt>
                <c:pt idx="13">
                  <c:v>0.81877426500053441</c:v>
                </c:pt>
                <c:pt idx="14">
                  <c:v>0.80514684422471183</c:v>
                </c:pt>
                <c:pt idx="15">
                  <c:v>0.75748481313110994</c:v>
                </c:pt>
                <c:pt idx="16">
                  <c:v>0.83171421228475961</c:v>
                </c:pt>
                <c:pt idx="17">
                  <c:v>0.84769056142495391</c:v>
                </c:pt>
                <c:pt idx="18">
                  <c:v>0.8948980689167807</c:v>
                </c:pt>
                <c:pt idx="19">
                  <c:v>0.82904972208557759</c:v>
                </c:pt>
                <c:pt idx="20">
                  <c:v>0.86318005673402232</c:v>
                </c:pt>
                <c:pt idx="21">
                  <c:v>0.87086564369837183</c:v>
                </c:pt>
                <c:pt idx="22">
                  <c:v>0.84280237603741004</c:v>
                </c:pt>
                <c:pt idx="23">
                  <c:v>0.84305331449728504</c:v>
                </c:pt>
                <c:pt idx="24">
                  <c:v>0.80765420615605499</c:v>
                </c:pt>
                <c:pt idx="25">
                  <c:v>0.84229978397230676</c:v>
                </c:pt>
                <c:pt idx="26">
                  <c:v>0.80836572550428776</c:v>
                </c:pt>
                <c:pt idx="27">
                  <c:v>0.76356375309131064</c:v>
                </c:pt>
                <c:pt idx="28">
                  <c:v>0.82241423125794122</c:v>
                </c:pt>
                <c:pt idx="29">
                  <c:v>0.74290086850059289</c:v>
                </c:pt>
                <c:pt idx="30">
                  <c:v>0.83728318913772393</c:v>
                </c:pt>
                <c:pt idx="31">
                  <c:v>0.64585947537139354</c:v>
                </c:pt>
                <c:pt idx="32">
                  <c:v>0.64306683469903203</c:v>
                </c:pt>
                <c:pt idx="33">
                  <c:v>0.72256768071448496</c:v>
                </c:pt>
                <c:pt idx="34">
                  <c:v>0.74364915532712639</c:v>
                </c:pt>
                <c:pt idx="35">
                  <c:v>0.75860735236376209</c:v>
                </c:pt>
                <c:pt idx="36">
                  <c:v>0.8500739385920536</c:v>
                </c:pt>
                <c:pt idx="37">
                  <c:v>0.82241423125794122</c:v>
                </c:pt>
                <c:pt idx="38">
                  <c:v>0.79546495014824936</c:v>
                </c:pt>
                <c:pt idx="39">
                  <c:v>0.86944515115311105</c:v>
                </c:pt>
                <c:pt idx="40">
                  <c:v>0.86378832284699292</c:v>
                </c:pt>
                <c:pt idx="41">
                  <c:v>0.86246631199176493</c:v>
                </c:pt>
                <c:pt idx="42">
                  <c:v>0.86278768139960504</c:v>
                </c:pt>
                <c:pt idx="43">
                  <c:v>0.93271563998892981</c:v>
                </c:pt>
                <c:pt idx="44">
                  <c:v>0.91984537547609579</c:v>
                </c:pt>
              </c:numCache>
            </c:numRef>
          </c:xVal>
          <c:yVal>
            <c:numRef>
              <c:f>'Chem Results'!$BX$54:$BX$98</c:f>
              <c:numCache>
                <c:formatCode>0.00</c:formatCode>
                <c:ptCount val="45"/>
                <c:pt idx="0">
                  <c:v>1.3526265384917493</c:v>
                </c:pt>
                <c:pt idx="1">
                  <c:v>1.2011416817314025</c:v>
                </c:pt>
                <c:pt idx="2">
                  <c:v>1.3354801787725736</c:v>
                </c:pt>
                <c:pt idx="3">
                  <c:v>1.5017407161803713</c:v>
                </c:pt>
                <c:pt idx="4">
                  <c:v>1.6237866132400249</c:v>
                </c:pt>
                <c:pt idx="5">
                  <c:v>1.6943458417849897</c:v>
                </c:pt>
                <c:pt idx="6">
                  <c:v>1.6580799836768005</c:v>
                </c:pt>
                <c:pt idx="7">
                  <c:v>1.4169677256742321</c:v>
                </c:pt>
                <c:pt idx="8">
                  <c:v>1.2524905572736493</c:v>
                </c:pt>
                <c:pt idx="9">
                  <c:v>1.2226737044487563</c:v>
                </c:pt>
                <c:pt idx="10">
                  <c:v>1.1114267595477838</c:v>
                </c:pt>
                <c:pt idx="11">
                  <c:v>1.1852356295366826</c:v>
                </c:pt>
                <c:pt idx="12">
                  <c:v>1.4942978533094813</c:v>
                </c:pt>
                <c:pt idx="13">
                  <c:v>1.8991568776051531</c:v>
                </c:pt>
                <c:pt idx="14">
                  <c:v>2.6621112654514825</c:v>
                </c:pt>
                <c:pt idx="15">
                  <c:v>2.2977453580901854</c:v>
                </c:pt>
                <c:pt idx="16">
                  <c:v>2.2110956884195261</c:v>
                </c:pt>
                <c:pt idx="17">
                  <c:v>2.3333299100960074</c:v>
                </c:pt>
                <c:pt idx="18">
                  <c:v>3.0988573760457045</c:v>
                </c:pt>
                <c:pt idx="19">
                  <c:v>1.5223730185908557</c:v>
                </c:pt>
                <c:pt idx="20">
                  <c:v>1.0061151844252039</c:v>
                </c:pt>
                <c:pt idx="21">
                  <c:v>2.2293096107353643</c:v>
                </c:pt>
                <c:pt idx="22">
                  <c:v>0.71189815568472348</c:v>
                </c:pt>
                <c:pt idx="23">
                  <c:v>0.69820248293255638</c:v>
                </c:pt>
                <c:pt idx="24">
                  <c:v>1.7051341391771844</c:v>
                </c:pt>
                <c:pt idx="25">
                  <c:v>1.6421635819391551</c:v>
                </c:pt>
                <c:pt idx="26">
                  <c:v>2.5150996487203381</c:v>
                </c:pt>
                <c:pt idx="27">
                  <c:v>5.1863395225464188</c:v>
                </c:pt>
                <c:pt idx="28">
                  <c:v>2.8777092123527717</c:v>
                </c:pt>
                <c:pt idx="29">
                  <c:v>2.8827703858988611</c:v>
                </c:pt>
                <c:pt idx="30">
                  <c:v>2.7798615716180368</c:v>
                </c:pt>
                <c:pt idx="31">
                  <c:v>1.2756962864721482</c:v>
                </c:pt>
                <c:pt idx="32">
                  <c:v>1.4170764055120657</c:v>
                </c:pt>
                <c:pt idx="33">
                  <c:v>1.7112998964870283</c:v>
                </c:pt>
                <c:pt idx="34">
                  <c:v>1.4771220159151193</c:v>
                </c:pt>
                <c:pt idx="35">
                  <c:v>1.5670337907969092</c:v>
                </c:pt>
                <c:pt idx="36">
                  <c:v>1.466719748197407</c:v>
                </c:pt>
                <c:pt idx="37">
                  <c:v>1.3318313258251073</c:v>
                </c:pt>
                <c:pt idx="38">
                  <c:v>1.6426087147935764</c:v>
                </c:pt>
                <c:pt idx="39">
                  <c:v>1.2944390810846274</c:v>
                </c:pt>
                <c:pt idx="40">
                  <c:v>1.8998510138908278</c:v>
                </c:pt>
                <c:pt idx="41">
                  <c:v>1.5512251270814292</c:v>
                </c:pt>
                <c:pt idx="42">
                  <c:v>1.4548258345428156</c:v>
                </c:pt>
                <c:pt idx="43">
                  <c:v>1.4613520299800824</c:v>
                </c:pt>
                <c:pt idx="44">
                  <c:v>1.2924817639257293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07-0B4F-8984-C7ED7CFC0145}"/>
            </c:ext>
          </c:extLst>
        </c:ser>
        <c:ser>
          <c:idx val="3"/>
          <c:order val="4"/>
          <c:tx>
            <c:v>R8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'Chem Results'!$ER$99:$ER$123</c:f>
              <c:numCache>
                <c:formatCode>0.000</c:formatCode>
                <c:ptCount val="25"/>
                <c:pt idx="0">
                  <c:v>0.76265284109964004</c:v>
                </c:pt>
                <c:pt idx="1">
                  <c:v>0.8615768136987958</c:v>
                </c:pt>
                <c:pt idx="2">
                  <c:v>0.91527415925852218</c:v>
                </c:pt>
                <c:pt idx="3">
                  <c:v>0.76804047864286418</c:v>
                </c:pt>
                <c:pt idx="4">
                  <c:v>0.91400740508625511</c:v>
                </c:pt>
                <c:pt idx="5">
                  <c:v>0.81968526893907623</c:v>
                </c:pt>
                <c:pt idx="6">
                  <c:v>0.74616285692792117</c:v>
                </c:pt>
                <c:pt idx="7">
                  <c:v>0.82522168298099852</c:v>
                </c:pt>
                <c:pt idx="8">
                  <c:v>0.72105547951745852</c:v>
                </c:pt>
                <c:pt idx="9">
                  <c:v>0.81748526122367471</c:v>
                </c:pt>
                <c:pt idx="10">
                  <c:v>0.73110674070935477</c:v>
                </c:pt>
                <c:pt idx="11">
                  <c:v>0.70998997017331011</c:v>
                </c:pt>
                <c:pt idx="12">
                  <c:v>0.72794017002662537</c:v>
                </c:pt>
                <c:pt idx="13">
                  <c:v>0.89112237030509955</c:v>
                </c:pt>
                <c:pt idx="14">
                  <c:v>0.89598272377419075</c:v>
                </c:pt>
                <c:pt idx="15">
                  <c:v>0.9346218356715208</c:v>
                </c:pt>
                <c:pt idx="16">
                  <c:v>0.8665570444234082</c:v>
                </c:pt>
                <c:pt idx="17">
                  <c:v>0.90316052565935856</c:v>
                </c:pt>
                <c:pt idx="18">
                  <c:v>0.8302467477461124</c:v>
                </c:pt>
                <c:pt idx="19">
                  <c:v>0.82074621316056995</c:v>
                </c:pt>
                <c:pt idx="20">
                  <c:v>0.7251328332975544</c:v>
                </c:pt>
                <c:pt idx="21">
                  <c:v>0.88155815853990716</c:v>
                </c:pt>
                <c:pt idx="22">
                  <c:v>0.79122689671771873</c:v>
                </c:pt>
                <c:pt idx="23">
                  <c:v>0.78829653163178837</c:v>
                </c:pt>
                <c:pt idx="24">
                  <c:v>0.91925059354664085</c:v>
                </c:pt>
              </c:numCache>
            </c:numRef>
          </c:xVal>
          <c:yVal>
            <c:numRef>
              <c:f>'Chem Results'!$BX$99:$BX$123</c:f>
              <c:numCache>
                <c:formatCode>0.00</c:formatCode>
                <c:ptCount val="25"/>
                <c:pt idx="0">
                  <c:v>1.4584916481468202</c:v>
                </c:pt>
                <c:pt idx="1">
                  <c:v>1.35166781730315</c:v>
                </c:pt>
                <c:pt idx="2">
                  <c:v>1.5029716511936337</c:v>
                </c:pt>
                <c:pt idx="3">
                  <c:v>1.3800166495085626</c:v>
                </c:pt>
                <c:pt idx="4">
                  <c:v>1.9834147210167676</c:v>
                </c:pt>
                <c:pt idx="5">
                  <c:v>1.1816976127320953</c:v>
                </c:pt>
                <c:pt idx="6">
                  <c:v>1.1879832383317341</c:v>
                </c:pt>
                <c:pt idx="7">
                  <c:v>1.285179607067392</c:v>
                </c:pt>
                <c:pt idx="8">
                  <c:v>1.3423276114209637</c:v>
                </c:pt>
                <c:pt idx="9">
                  <c:v>1.2946633351092773</c:v>
                </c:pt>
                <c:pt idx="10">
                  <c:v>1.2232416694297081</c:v>
                </c:pt>
                <c:pt idx="11">
                  <c:v>1.3008745026525197</c:v>
                </c:pt>
                <c:pt idx="12">
                  <c:v>1.2803473246298012</c:v>
                </c:pt>
                <c:pt idx="13">
                  <c:v>1.2590234632296653</c:v>
                </c:pt>
                <c:pt idx="14">
                  <c:v>1.4232686090848805</c:v>
                </c:pt>
                <c:pt idx="15">
                  <c:v>1.2967757232743198</c:v>
                </c:pt>
                <c:pt idx="16">
                  <c:v>1.5572759237554743</c:v>
                </c:pt>
                <c:pt idx="17">
                  <c:v>1.5042477958401046</c:v>
                </c:pt>
                <c:pt idx="18">
                  <c:v>1.1676297840090943</c:v>
                </c:pt>
                <c:pt idx="19">
                  <c:v>1.3700349192492358</c:v>
                </c:pt>
                <c:pt idx="20">
                  <c:v>1.309613333697941</c:v>
                </c:pt>
                <c:pt idx="21">
                  <c:v>1.3198543080211913</c:v>
                </c:pt>
                <c:pt idx="22">
                  <c:v>1.2007100743230821</c:v>
                </c:pt>
                <c:pt idx="23">
                  <c:v>1.1649121352785143</c:v>
                </c:pt>
                <c:pt idx="24">
                  <c:v>1.1504738953225075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07-0B4F-8984-C7ED7CFC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378256"/>
        <c:axId val="673367888"/>
      </c:scatterChart>
      <c:valAx>
        <c:axId val="673378256"/>
        <c:scaling>
          <c:orientation val="minMax"/>
          <c:max val="1.1000000000000001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Eu-anom = Eu/Eu*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367888"/>
        <c:crosses val="autoZero"/>
        <c:crossBetween val="midCat"/>
      </c:valAx>
      <c:valAx>
        <c:axId val="673367888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Ce/Ce*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378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Y/Ho ratio vs. Ce anomaly [all Chond normalized]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33966264962452"/>
                  <c:y val="-9.3491870562486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'Chem Results'!$ES$7:$ES$123</c:f>
              <c:numCache>
                <c:formatCode>0.00</c:formatCode>
                <c:ptCount val="117"/>
                <c:pt idx="0">
                  <c:v>0.96114433783379172</c:v>
                </c:pt>
                <c:pt idx="1">
                  <c:v>1.0612317853463824</c:v>
                </c:pt>
                <c:pt idx="2">
                  <c:v>1.1932725877367838</c:v>
                </c:pt>
                <c:pt idx="3">
                  <c:v>1.4732947049161367</c:v>
                </c:pt>
                <c:pt idx="4">
                  <c:v>1.006724756624233</c:v>
                </c:pt>
                <c:pt idx="5">
                  <c:v>0.53564891454252839</c:v>
                </c:pt>
                <c:pt idx="6">
                  <c:v>0.60506371714225271</c:v>
                </c:pt>
                <c:pt idx="7">
                  <c:v>1.1825656539498308</c:v>
                </c:pt>
                <c:pt idx="8">
                  <c:v>1.1247076369518896</c:v>
                </c:pt>
                <c:pt idx="9">
                  <c:v>1.2860933638589278</c:v>
                </c:pt>
                <c:pt idx="10">
                  <c:v>1.2924067367181626</c:v>
                </c:pt>
                <c:pt idx="11">
                  <c:v>1.1995173377696884</c:v>
                </c:pt>
                <c:pt idx="12">
                  <c:v>1.0531264278935712</c:v>
                </c:pt>
                <c:pt idx="13">
                  <c:v>1.2300494714214196</c:v>
                </c:pt>
                <c:pt idx="14">
                  <c:v>1.2339887602773714</c:v>
                </c:pt>
                <c:pt idx="15">
                  <c:v>1.5450240536764006</c:v>
                </c:pt>
                <c:pt idx="16">
                  <c:v>1.4608859504445377</c:v>
                </c:pt>
                <c:pt idx="17">
                  <c:v>0.61635337263454892</c:v>
                </c:pt>
                <c:pt idx="18">
                  <c:v>0.4382779896063832</c:v>
                </c:pt>
                <c:pt idx="19">
                  <c:v>0.6840716585414256</c:v>
                </c:pt>
                <c:pt idx="20">
                  <c:v>1.0081245784585462</c:v>
                </c:pt>
                <c:pt idx="21">
                  <c:v>0.67918615971226881</c:v>
                </c:pt>
                <c:pt idx="22">
                  <c:v>0.83754927895749887</c:v>
                </c:pt>
                <c:pt idx="23">
                  <c:v>1.1092006469365145</c:v>
                </c:pt>
                <c:pt idx="24">
                  <c:v>1.2511053244622785</c:v>
                </c:pt>
                <c:pt idx="25">
                  <c:v>0.8747031188262826</c:v>
                </c:pt>
                <c:pt idx="26">
                  <c:v>0.84955894400961351</c:v>
                </c:pt>
                <c:pt idx="27">
                  <c:v>1.0289404368580504</c:v>
                </c:pt>
                <c:pt idx="28">
                  <c:v>1.7908662035547849</c:v>
                </c:pt>
                <c:pt idx="29">
                  <c:v>2.0650096495050732</c:v>
                </c:pt>
                <c:pt idx="30">
                  <c:v>1.2787267792847348</c:v>
                </c:pt>
                <c:pt idx="31">
                  <c:v>1.462121224817452</c:v>
                </c:pt>
                <c:pt idx="32">
                  <c:v>1.366537699362055</c:v>
                </c:pt>
                <c:pt idx="33">
                  <c:v>1.0363985616364633</c:v>
                </c:pt>
                <c:pt idx="34">
                  <c:v>1.80427790341539</c:v>
                </c:pt>
                <c:pt idx="35">
                  <c:v>1.2682024300798909</c:v>
                </c:pt>
                <c:pt idx="36">
                  <c:v>2.2818770685644321</c:v>
                </c:pt>
                <c:pt idx="37">
                  <c:v>0.69697863188566656</c:v>
                </c:pt>
                <c:pt idx="38">
                  <c:v>0.93267349100756203</c:v>
                </c:pt>
                <c:pt idx="39">
                  <c:v>1.0880530293175017</c:v>
                </c:pt>
                <c:pt idx="40">
                  <c:v>0.93784781691679819</c:v>
                </c:pt>
                <c:pt idx="41">
                  <c:v>0.46584644290827043</c:v>
                </c:pt>
                <c:pt idx="42">
                  <c:v>1.0144787787980831</c:v>
                </c:pt>
                <c:pt idx="43">
                  <c:v>0.61459391478137848</c:v>
                </c:pt>
                <c:pt idx="44">
                  <c:v>1.1687420852680452</c:v>
                </c:pt>
                <c:pt idx="45">
                  <c:v>0.98232872151608197</c:v>
                </c:pt>
                <c:pt idx="46">
                  <c:v>1.1980804101481031</c:v>
                </c:pt>
                <c:pt idx="47">
                  <c:v>1.0506586960132231</c:v>
                </c:pt>
                <c:pt idx="48">
                  <c:v>0.93557524748632936</c:v>
                </c:pt>
                <c:pt idx="49">
                  <c:v>1.0166136474865413</c:v>
                </c:pt>
                <c:pt idx="50">
                  <c:v>1.2148167817312796</c:v>
                </c:pt>
                <c:pt idx="51">
                  <c:v>1.2983415130267821</c:v>
                </c:pt>
                <c:pt idx="52">
                  <c:v>1.4547584838130889</c:v>
                </c:pt>
                <c:pt idx="53">
                  <c:v>1.357729040095621</c:v>
                </c:pt>
                <c:pt idx="54">
                  <c:v>1.1129412745880642</c:v>
                </c:pt>
                <c:pt idx="55">
                  <c:v>0.96370051488490838</c:v>
                </c:pt>
                <c:pt idx="56">
                  <c:v>0.97867781758661054</c:v>
                </c:pt>
                <c:pt idx="57">
                  <c:v>0.86955403078379068</c:v>
                </c:pt>
                <c:pt idx="58">
                  <c:v>0.97687163932165999</c:v>
                </c:pt>
                <c:pt idx="59">
                  <c:v>1.3274893645019366</c:v>
                </c:pt>
                <c:pt idx="60">
                  <c:v>1.8000935322955187</c:v>
                </c:pt>
                <c:pt idx="61">
                  <c:v>2.3324586929279238</c:v>
                </c:pt>
                <c:pt idx="62">
                  <c:v>1.7030627247250707</c:v>
                </c:pt>
                <c:pt idx="63">
                  <c:v>1.6135245912018172</c:v>
                </c:pt>
                <c:pt idx="64">
                  <c:v>1.878205153718028</c:v>
                </c:pt>
                <c:pt idx="65">
                  <c:v>2.269566561075484</c:v>
                </c:pt>
                <c:pt idx="66">
                  <c:v>1.3833365550293448</c:v>
                </c:pt>
                <c:pt idx="67">
                  <c:v>0.93016028411787677</c:v>
                </c:pt>
                <c:pt idx="68">
                  <c:v>1.8617364714268367</c:v>
                </c:pt>
                <c:pt idx="69">
                  <c:v>0.56458982367596999</c:v>
                </c:pt>
                <c:pt idx="70">
                  <c:v>0.54786806186516657</c:v>
                </c:pt>
                <c:pt idx="71">
                  <c:v>1.4436167993851232</c:v>
                </c:pt>
                <c:pt idx="72">
                  <c:v>1.4025109205811301</c:v>
                </c:pt>
                <c:pt idx="73">
                  <c:v>2.1526348916679154</c:v>
                </c:pt>
                <c:pt idx="74">
                  <c:v>4.0874344263819014</c:v>
                </c:pt>
                <c:pt idx="75">
                  <c:v>2.1605461516392372</c:v>
                </c:pt>
                <c:pt idx="76">
                  <c:v>2.265343950939013</c:v>
                </c:pt>
                <c:pt idx="77">
                  <c:v>2.1544964515547003</c:v>
                </c:pt>
                <c:pt idx="78">
                  <c:v>0.92328370554176997</c:v>
                </c:pt>
                <c:pt idx="79">
                  <c:v>1.0340327151593496</c:v>
                </c:pt>
                <c:pt idx="80">
                  <c:v>1.2715066079741195</c:v>
                </c:pt>
                <c:pt idx="81">
                  <c:v>1.1476081015755253</c:v>
                </c:pt>
                <c:pt idx="82">
                  <c:v>1.2367093169940528</c:v>
                </c:pt>
                <c:pt idx="83">
                  <c:v>1.2159295889043642</c:v>
                </c:pt>
                <c:pt idx="84">
                  <c:v>1.1454301611725841</c:v>
                </c:pt>
                <c:pt idx="85">
                  <c:v>1.5112137273512569</c:v>
                </c:pt>
                <c:pt idx="86">
                  <c:v>1.1494000995743547</c:v>
                </c:pt>
                <c:pt idx="87">
                  <c:v>1.6236852893777032</c:v>
                </c:pt>
                <c:pt idx="88">
                  <c:v>1.3523546622442761</c:v>
                </c:pt>
                <c:pt idx="89">
                  <c:v>1.2835528335053989</c:v>
                </c:pt>
                <c:pt idx="90">
                  <c:v>1.2956474601369754</c:v>
                </c:pt>
                <c:pt idx="91">
                  <c:v>1.0653777071603743</c:v>
                </c:pt>
                <c:pt idx="92">
                  <c:v>0.99210778607135508</c:v>
                </c:pt>
                <c:pt idx="93">
                  <c:v>0.8421657755540759</c:v>
                </c:pt>
                <c:pt idx="94">
                  <c:v>1.055023934000596</c:v>
                </c:pt>
                <c:pt idx="95">
                  <c:v>1.0805718914213243</c:v>
                </c:pt>
                <c:pt idx="96">
                  <c:v>1.5490308647178423</c:v>
                </c:pt>
                <c:pt idx="97">
                  <c:v>0.88339538880137458</c:v>
                </c:pt>
                <c:pt idx="98">
                  <c:v>0.81042500099342862</c:v>
                </c:pt>
                <c:pt idx="99">
                  <c:v>0.85535693839413163</c:v>
                </c:pt>
                <c:pt idx="100">
                  <c:v>0.88909499228548672</c:v>
                </c:pt>
                <c:pt idx="101">
                  <c:v>0.95305456351134754</c:v>
                </c:pt>
                <c:pt idx="102">
                  <c:v>0.92213701389996394</c:v>
                </c:pt>
                <c:pt idx="103">
                  <c:v>0.97716563691556324</c:v>
                </c:pt>
                <c:pt idx="104">
                  <c:v>0.98874343021892364</c:v>
                </c:pt>
                <c:pt idx="105">
                  <c:v>0.98191568696262488</c:v>
                </c:pt>
                <c:pt idx="106">
                  <c:v>1.0504252440320863</c:v>
                </c:pt>
                <c:pt idx="107">
                  <c:v>0.98724234293274626</c:v>
                </c:pt>
                <c:pt idx="108">
                  <c:v>1.2071269338203694</c:v>
                </c:pt>
                <c:pt idx="109">
                  <c:v>1.2946948969663103</c:v>
                </c:pt>
                <c:pt idx="110">
                  <c:v>1.0292219411625922</c:v>
                </c:pt>
                <c:pt idx="111">
                  <c:v>1.1212298122200359</c:v>
                </c:pt>
                <c:pt idx="112">
                  <c:v>1.0197443221954758</c:v>
                </c:pt>
                <c:pt idx="113">
                  <c:v>1.0333437583087837</c:v>
                </c:pt>
                <c:pt idx="114">
                  <c:v>1.0126748896121587</c:v>
                </c:pt>
                <c:pt idx="115">
                  <c:v>0.9185427473039659</c:v>
                </c:pt>
                <c:pt idx="116">
                  <c:v>0.9138879467120834</c:v>
                </c:pt>
              </c:numCache>
            </c:numRef>
          </c:xVal>
          <c:yVal>
            <c:numRef>
              <c:f>'Chem Results'!$EX$7:$EX$123</c:f>
              <c:numCache>
                <c:formatCode>General</c:formatCode>
                <c:ptCount val="117"/>
                <c:pt idx="0">
                  <c:v>0.83162393162393178</c:v>
                </c:pt>
                <c:pt idx="1">
                  <c:v>0.83162393162393178</c:v>
                </c:pt>
                <c:pt idx="2">
                  <c:v>0.89102564102564097</c:v>
                </c:pt>
                <c:pt idx="3">
                  <c:v>0.64153846153846161</c:v>
                </c:pt>
                <c:pt idx="4">
                  <c:v>1.0044289044289045</c:v>
                </c:pt>
                <c:pt idx="5">
                  <c:v>1.0692307692307692</c:v>
                </c:pt>
                <c:pt idx="6">
                  <c:v>1.0692307692307692</c:v>
                </c:pt>
                <c:pt idx="7">
                  <c:v>0.97202797202797198</c:v>
                </c:pt>
                <c:pt idx="8">
                  <c:v>1.0246794871794871</c:v>
                </c:pt>
                <c:pt idx="9">
                  <c:v>0.89102564102564097</c:v>
                </c:pt>
                <c:pt idx="10">
                  <c:v>0.89102564102564097</c:v>
                </c:pt>
                <c:pt idx="11">
                  <c:v>0.83162393162393178</c:v>
                </c:pt>
                <c:pt idx="12">
                  <c:v>0.5346153846153846</c:v>
                </c:pt>
                <c:pt idx="14">
                  <c:v>0.5346153846153846</c:v>
                </c:pt>
                <c:pt idx="15">
                  <c:v>0.44551282051282048</c:v>
                </c:pt>
                <c:pt idx="16">
                  <c:v>0.65341880341880354</c:v>
                </c:pt>
                <c:pt idx="17">
                  <c:v>0.77571644042232279</c:v>
                </c:pt>
                <c:pt idx="18">
                  <c:v>0.99794871794871787</c:v>
                </c:pt>
                <c:pt idx="19">
                  <c:v>1.2192982456140351</c:v>
                </c:pt>
                <c:pt idx="20">
                  <c:v>1.0692307692307692</c:v>
                </c:pt>
                <c:pt idx="21">
                  <c:v>1.0418145956607494</c:v>
                </c:pt>
                <c:pt idx="22">
                  <c:v>1.1240631163708088</c:v>
                </c:pt>
                <c:pt idx="23">
                  <c:v>1.1016317016317017</c:v>
                </c:pt>
                <c:pt idx="24">
                  <c:v>0.96739926739926752</c:v>
                </c:pt>
                <c:pt idx="25">
                  <c:v>0.89102564102564108</c:v>
                </c:pt>
                <c:pt idx="26">
                  <c:v>0.95042735042735049</c:v>
                </c:pt>
                <c:pt idx="27">
                  <c:v>0.92666666666666686</c:v>
                </c:pt>
                <c:pt idx="28">
                  <c:v>0.89102564102564097</c:v>
                </c:pt>
                <c:pt idx="29">
                  <c:v>1.0692307692307692</c:v>
                </c:pt>
                <c:pt idx="30">
                  <c:v>0.95042735042735049</c:v>
                </c:pt>
                <c:pt idx="31">
                  <c:v>0.9801282051282052</c:v>
                </c:pt>
                <c:pt idx="32">
                  <c:v>0.95042735042735049</c:v>
                </c:pt>
                <c:pt idx="33">
                  <c:v>1.0692307692307692</c:v>
                </c:pt>
                <c:pt idx="34">
                  <c:v>0.99794871794871809</c:v>
                </c:pt>
                <c:pt idx="35">
                  <c:v>0.95042735042735049</c:v>
                </c:pt>
                <c:pt idx="36">
                  <c:v>0.95042735042735049</c:v>
                </c:pt>
                <c:pt idx="37">
                  <c:v>0.89102564102564097</c:v>
                </c:pt>
                <c:pt idx="38">
                  <c:v>0.89102564102564097</c:v>
                </c:pt>
                <c:pt idx="39">
                  <c:v>0.78410256410256418</c:v>
                </c:pt>
                <c:pt idx="40">
                  <c:v>0.86556776556776571</c:v>
                </c:pt>
                <c:pt idx="41">
                  <c:v>0.92666666666666686</c:v>
                </c:pt>
                <c:pt idx="42">
                  <c:v>0.95042735042735049</c:v>
                </c:pt>
                <c:pt idx="43">
                  <c:v>0.81465201465201476</c:v>
                </c:pt>
                <c:pt idx="44">
                  <c:v>1.0692307692307694</c:v>
                </c:pt>
                <c:pt idx="45">
                  <c:v>1.0692307692307692</c:v>
                </c:pt>
                <c:pt idx="46">
                  <c:v>0.92666666666666686</c:v>
                </c:pt>
                <c:pt idx="47">
                  <c:v>0.9801282051282052</c:v>
                </c:pt>
                <c:pt idx="48">
                  <c:v>0.83162393162393178</c:v>
                </c:pt>
                <c:pt idx="49">
                  <c:v>0.89102564102564097</c:v>
                </c:pt>
                <c:pt idx="51">
                  <c:v>0.35641025641025642</c:v>
                </c:pt>
                <c:pt idx="52">
                  <c:v>0.71282051282051284</c:v>
                </c:pt>
                <c:pt idx="53">
                  <c:v>0.71282051282051284</c:v>
                </c:pt>
                <c:pt idx="54">
                  <c:v>0.92666666666666686</c:v>
                </c:pt>
                <c:pt idx="55">
                  <c:v>0.89102564102564108</c:v>
                </c:pt>
                <c:pt idx="56">
                  <c:v>0.86556776556776571</c:v>
                </c:pt>
                <c:pt idx="57">
                  <c:v>0.80192307692307696</c:v>
                </c:pt>
                <c:pt idx="58">
                  <c:v>0.71282051282051295</c:v>
                </c:pt>
                <c:pt idx="59">
                  <c:v>0.85228539576365669</c:v>
                </c:pt>
                <c:pt idx="60">
                  <c:v>0.75242165242165238</c:v>
                </c:pt>
                <c:pt idx="61">
                  <c:v>0.71282051282051284</c:v>
                </c:pt>
                <c:pt idx="62">
                  <c:v>0.47521367521367525</c:v>
                </c:pt>
                <c:pt idx="63">
                  <c:v>0.5346153846153846</c:v>
                </c:pt>
                <c:pt idx="64">
                  <c:v>0.47521367521367525</c:v>
                </c:pt>
                <c:pt idx="65">
                  <c:v>0.35641025641025642</c:v>
                </c:pt>
                <c:pt idx="66">
                  <c:v>0.78410256410256418</c:v>
                </c:pt>
                <c:pt idx="67">
                  <c:v>0.71282051282051284</c:v>
                </c:pt>
                <c:pt idx="68">
                  <c:v>0.78410256410256418</c:v>
                </c:pt>
                <c:pt idx="69">
                  <c:v>0.84647435897435896</c:v>
                </c:pt>
                <c:pt idx="70">
                  <c:v>0.85538461538461541</c:v>
                </c:pt>
                <c:pt idx="71">
                  <c:v>0.78785425101214579</c:v>
                </c:pt>
                <c:pt idx="72">
                  <c:v>0.8367892976588629</c:v>
                </c:pt>
                <c:pt idx="73">
                  <c:v>0.7637362637362638</c:v>
                </c:pt>
                <c:pt idx="74">
                  <c:v>0.83162393162393178</c:v>
                </c:pt>
                <c:pt idx="75">
                  <c:v>0.71282051282051284</c:v>
                </c:pt>
                <c:pt idx="76">
                  <c:v>0.5346153846153846</c:v>
                </c:pt>
                <c:pt idx="77">
                  <c:v>0.89102564102564097</c:v>
                </c:pt>
                <c:pt idx="78">
                  <c:v>0.71282051282051284</c:v>
                </c:pt>
                <c:pt idx="79">
                  <c:v>1.0692307692307692</c:v>
                </c:pt>
                <c:pt idx="80">
                  <c:v>0.71282051282051284</c:v>
                </c:pt>
                <c:pt idx="81">
                  <c:v>1.0692307692307692</c:v>
                </c:pt>
                <c:pt idx="82">
                  <c:v>0.71282051282051284</c:v>
                </c:pt>
                <c:pt idx="83">
                  <c:v>0.5346153846153846</c:v>
                </c:pt>
                <c:pt idx="84">
                  <c:v>0.89102564102564097</c:v>
                </c:pt>
                <c:pt idx="85">
                  <c:v>0.59401709401709402</c:v>
                </c:pt>
                <c:pt idx="86">
                  <c:v>0.80192307692307696</c:v>
                </c:pt>
                <c:pt idx="87">
                  <c:v>0.64153846153846161</c:v>
                </c:pt>
                <c:pt idx="88">
                  <c:v>0.65341880341880354</c:v>
                </c:pt>
                <c:pt idx="89">
                  <c:v>0.78410256410256418</c:v>
                </c:pt>
                <c:pt idx="90">
                  <c:v>0.71282051282051284</c:v>
                </c:pt>
                <c:pt idx="91">
                  <c:v>0.83162393162393178</c:v>
                </c:pt>
                <c:pt idx="92">
                  <c:v>0.9801282051282052</c:v>
                </c:pt>
                <c:pt idx="93">
                  <c:v>0.59401709401709402</c:v>
                </c:pt>
                <c:pt idx="94">
                  <c:v>1.0692307692307692</c:v>
                </c:pt>
                <c:pt idx="95">
                  <c:v>0.83162393162393178</c:v>
                </c:pt>
                <c:pt idx="96">
                  <c:v>0.71282051282051284</c:v>
                </c:pt>
                <c:pt idx="97">
                  <c:v>0.80192307692307696</c:v>
                </c:pt>
                <c:pt idx="98">
                  <c:v>0.89102564102564097</c:v>
                </c:pt>
                <c:pt idx="99">
                  <c:v>0.93557692307692308</c:v>
                </c:pt>
                <c:pt idx="100">
                  <c:v>0.84647435897435896</c:v>
                </c:pt>
                <c:pt idx="101">
                  <c:v>0.95042735042735049</c:v>
                </c:pt>
                <c:pt idx="102">
                  <c:v>0.8712250712250712</c:v>
                </c:pt>
                <c:pt idx="103">
                  <c:v>0.92247360482654606</c:v>
                </c:pt>
                <c:pt idx="104">
                  <c:v>0.92666666666666675</c:v>
                </c:pt>
                <c:pt idx="105">
                  <c:v>1.0692307692307692</c:v>
                </c:pt>
                <c:pt idx="106">
                  <c:v>0.71282051282051284</c:v>
                </c:pt>
                <c:pt idx="107">
                  <c:v>0.83162393162393178</c:v>
                </c:pt>
                <c:pt idx="108">
                  <c:v>0.89102564102564097</c:v>
                </c:pt>
                <c:pt idx="109">
                  <c:v>0.83162393162393178</c:v>
                </c:pt>
                <c:pt idx="110">
                  <c:v>0.71282051282051284</c:v>
                </c:pt>
                <c:pt idx="111">
                  <c:v>0.80192307692307696</c:v>
                </c:pt>
                <c:pt idx="112">
                  <c:v>0.96739926739926752</c:v>
                </c:pt>
                <c:pt idx="113">
                  <c:v>0.99794871794871809</c:v>
                </c:pt>
                <c:pt idx="114">
                  <c:v>0.85538461538461541</c:v>
                </c:pt>
                <c:pt idx="115">
                  <c:v>0.91648351648351656</c:v>
                </c:pt>
                <c:pt idx="116">
                  <c:v>0.92666666666666686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4B-D741-874D-25DDD4F3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016959"/>
        <c:axId val="1138815327"/>
      </c:scatterChart>
      <c:valAx>
        <c:axId val="1139016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815327"/>
        <c:crosses val="autoZero"/>
        <c:crossBetween val="midCat"/>
      </c:valAx>
      <c:valAx>
        <c:axId val="113881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016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4819271924749"/>
          <c:y val="1.7276130742744197E-2"/>
          <c:w val="0.77725870155018861"/>
          <c:h val="0.85420541435825548"/>
        </c:manualLayout>
      </c:layout>
      <c:scatterChart>
        <c:scatterStyle val="lineMarker"/>
        <c:varyColors val="0"/>
        <c:ser>
          <c:idx val="0"/>
          <c:order val="0"/>
          <c:tx>
            <c:v>R1C2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Results'!$EV$7:$EV$15</c:f>
              <c:numCache>
                <c:formatCode>0.0</c:formatCode>
                <c:ptCount val="9"/>
                <c:pt idx="0">
                  <c:v>184.63499999999999</c:v>
                </c:pt>
                <c:pt idx="1">
                  <c:v>184.23499999999999</c:v>
                </c:pt>
                <c:pt idx="2">
                  <c:v>183.73499999999999</c:v>
                </c:pt>
                <c:pt idx="3">
                  <c:v>183.23499999999999</c:v>
                </c:pt>
                <c:pt idx="4">
                  <c:v>181.7</c:v>
                </c:pt>
                <c:pt idx="5">
                  <c:v>180.2</c:v>
                </c:pt>
                <c:pt idx="6">
                  <c:v>179.2</c:v>
                </c:pt>
                <c:pt idx="7">
                  <c:v>178.2</c:v>
                </c:pt>
                <c:pt idx="8">
                  <c:v>177.2</c:v>
                </c:pt>
              </c:numCache>
            </c:numRef>
          </c:xVal>
          <c:yVal>
            <c:numRef>
              <c:f>'Chem Results'!$EX$7:$EX$15</c:f>
              <c:numCache>
                <c:formatCode>General</c:formatCode>
                <c:ptCount val="9"/>
                <c:pt idx="0">
                  <c:v>0.83162393162393178</c:v>
                </c:pt>
                <c:pt idx="1">
                  <c:v>0.83162393162393178</c:v>
                </c:pt>
                <c:pt idx="2">
                  <c:v>0.89102564102564097</c:v>
                </c:pt>
                <c:pt idx="3">
                  <c:v>0.64153846153846161</c:v>
                </c:pt>
                <c:pt idx="4">
                  <c:v>1.0044289044289045</c:v>
                </c:pt>
                <c:pt idx="5">
                  <c:v>1.0692307692307692</c:v>
                </c:pt>
                <c:pt idx="6">
                  <c:v>1.0692307692307692</c:v>
                </c:pt>
                <c:pt idx="7">
                  <c:v>0.97202797202797198</c:v>
                </c:pt>
                <c:pt idx="8">
                  <c:v>1.0246794871794871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66-A941-9477-5EFC3069BD68}"/>
            </c:ext>
          </c:extLst>
        </c:ser>
        <c:ser>
          <c:idx val="1"/>
          <c:order val="1"/>
          <c:tx>
            <c:v>R1C3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Results'!$EV$16:$EV$26</c:f>
              <c:numCache>
                <c:formatCode>0.0</c:formatCode>
                <c:ptCount val="11"/>
                <c:pt idx="0">
                  <c:v>177.85</c:v>
                </c:pt>
                <c:pt idx="1">
                  <c:v>177.76000000000002</c:v>
                </c:pt>
                <c:pt idx="2">
                  <c:v>177.52</c:v>
                </c:pt>
                <c:pt idx="3">
                  <c:v>177.18</c:v>
                </c:pt>
                <c:pt idx="4">
                  <c:v>176.79500000000002</c:v>
                </c:pt>
                <c:pt idx="5">
                  <c:v>176.22499999999999</c:v>
                </c:pt>
                <c:pt idx="6">
                  <c:v>175.4</c:v>
                </c:pt>
                <c:pt idx="7">
                  <c:v>174.4</c:v>
                </c:pt>
                <c:pt idx="8">
                  <c:v>173.4</c:v>
                </c:pt>
                <c:pt idx="9">
                  <c:v>172.4</c:v>
                </c:pt>
                <c:pt idx="10">
                  <c:v>171.65</c:v>
                </c:pt>
              </c:numCache>
            </c:numRef>
          </c:xVal>
          <c:yVal>
            <c:numRef>
              <c:f>'Chem Results'!$EX$16:$EX$26</c:f>
              <c:numCache>
                <c:formatCode>General</c:formatCode>
                <c:ptCount val="11"/>
                <c:pt idx="0">
                  <c:v>0.89102564102564097</c:v>
                </c:pt>
                <c:pt idx="1">
                  <c:v>0.89102564102564097</c:v>
                </c:pt>
                <c:pt idx="2">
                  <c:v>0.83162393162393178</c:v>
                </c:pt>
                <c:pt idx="3">
                  <c:v>0.5346153846153846</c:v>
                </c:pt>
                <c:pt idx="5">
                  <c:v>0.5346153846153846</c:v>
                </c:pt>
                <c:pt idx="6">
                  <c:v>0.44551282051282048</c:v>
                </c:pt>
                <c:pt idx="7">
                  <c:v>0.65341880341880354</c:v>
                </c:pt>
                <c:pt idx="8">
                  <c:v>0.77571644042232279</c:v>
                </c:pt>
                <c:pt idx="9">
                  <c:v>0.99794871794871787</c:v>
                </c:pt>
                <c:pt idx="10">
                  <c:v>1.2192982456140351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66-A941-9477-5EFC3069BD68}"/>
            </c:ext>
          </c:extLst>
        </c:ser>
        <c:ser>
          <c:idx val="2"/>
          <c:order val="2"/>
          <c:tx>
            <c:v>R2H1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Results'!$EV$27:$EV$40</c:f>
              <c:numCache>
                <c:formatCode>0.0</c:formatCode>
                <c:ptCount val="14"/>
                <c:pt idx="0">
                  <c:v>149.06</c:v>
                </c:pt>
                <c:pt idx="1">
                  <c:v>148.96</c:v>
                </c:pt>
                <c:pt idx="2">
                  <c:v>148.85</c:v>
                </c:pt>
                <c:pt idx="3">
                  <c:v>148.75</c:v>
                </c:pt>
                <c:pt idx="4">
                  <c:v>148.47499999999999</c:v>
                </c:pt>
                <c:pt idx="5">
                  <c:v>148.04999999999998</c:v>
                </c:pt>
                <c:pt idx="6">
                  <c:v>147.69999999999999</c:v>
                </c:pt>
                <c:pt idx="7">
                  <c:v>147.22499999999999</c:v>
                </c:pt>
                <c:pt idx="8">
                  <c:v>146.35</c:v>
                </c:pt>
                <c:pt idx="9">
                  <c:v>145.6</c:v>
                </c:pt>
                <c:pt idx="10">
                  <c:v>144.6</c:v>
                </c:pt>
                <c:pt idx="11">
                  <c:v>143.6</c:v>
                </c:pt>
                <c:pt idx="12">
                  <c:v>142.6</c:v>
                </c:pt>
                <c:pt idx="13">
                  <c:v>141.6</c:v>
                </c:pt>
              </c:numCache>
            </c:numRef>
          </c:xVal>
          <c:yVal>
            <c:numRef>
              <c:f>'Chem Results'!$EX$27:$EX$40</c:f>
              <c:numCache>
                <c:formatCode>General</c:formatCode>
                <c:ptCount val="14"/>
                <c:pt idx="0">
                  <c:v>1.0692307692307692</c:v>
                </c:pt>
                <c:pt idx="1">
                  <c:v>1.0418145956607494</c:v>
                </c:pt>
                <c:pt idx="2">
                  <c:v>1.1240631163708088</c:v>
                </c:pt>
                <c:pt idx="3">
                  <c:v>1.1016317016317017</c:v>
                </c:pt>
                <c:pt idx="4">
                  <c:v>0.96739926739926752</c:v>
                </c:pt>
                <c:pt idx="5">
                  <c:v>0.89102564102564108</c:v>
                </c:pt>
                <c:pt idx="6">
                  <c:v>0.95042735042735049</c:v>
                </c:pt>
                <c:pt idx="7">
                  <c:v>0.92666666666666686</c:v>
                </c:pt>
                <c:pt idx="8">
                  <c:v>0.89102564102564097</c:v>
                </c:pt>
                <c:pt idx="9">
                  <c:v>1.0692307692307692</c:v>
                </c:pt>
                <c:pt idx="10">
                  <c:v>0.95042735042735049</c:v>
                </c:pt>
                <c:pt idx="11">
                  <c:v>0.9801282051282052</c:v>
                </c:pt>
                <c:pt idx="12">
                  <c:v>0.95042735042735049</c:v>
                </c:pt>
                <c:pt idx="13">
                  <c:v>1.0692307692307692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66-A941-9477-5EFC3069BD68}"/>
            </c:ext>
          </c:extLst>
        </c:ser>
        <c:ser>
          <c:idx val="3"/>
          <c:order val="3"/>
          <c:tx>
            <c:v>R2P1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Results'!$EV$41:$EV$53</c:f>
              <c:numCache>
                <c:formatCode>0.0</c:formatCode>
                <c:ptCount val="13"/>
                <c:pt idx="0">
                  <c:v>164.125</c:v>
                </c:pt>
                <c:pt idx="1">
                  <c:v>163.85</c:v>
                </c:pt>
                <c:pt idx="2">
                  <c:v>163.54</c:v>
                </c:pt>
                <c:pt idx="3">
                  <c:v>163.36499999999998</c:v>
                </c:pt>
                <c:pt idx="4">
                  <c:v>163.19999999999999</c:v>
                </c:pt>
                <c:pt idx="5">
                  <c:v>163.01499999999999</c:v>
                </c:pt>
                <c:pt idx="6">
                  <c:v>162.45499999999998</c:v>
                </c:pt>
                <c:pt idx="7">
                  <c:v>161.85499999999999</c:v>
                </c:pt>
                <c:pt idx="8">
                  <c:v>160.69999999999999</c:v>
                </c:pt>
                <c:pt idx="9">
                  <c:v>159.69999999999999</c:v>
                </c:pt>
                <c:pt idx="10">
                  <c:v>158.69999999999999</c:v>
                </c:pt>
                <c:pt idx="11">
                  <c:v>157.69999999999999</c:v>
                </c:pt>
                <c:pt idx="12">
                  <c:v>156.69999999999999</c:v>
                </c:pt>
              </c:numCache>
            </c:numRef>
          </c:xVal>
          <c:yVal>
            <c:numRef>
              <c:f>'Chem Results'!$EX$41:$EX$53</c:f>
              <c:numCache>
                <c:formatCode>General</c:formatCode>
                <c:ptCount val="13"/>
                <c:pt idx="0">
                  <c:v>0.99794871794871809</c:v>
                </c:pt>
                <c:pt idx="1">
                  <c:v>0.95042735042735049</c:v>
                </c:pt>
                <c:pt idx="2">
                  <c:v>0.95042735042735049</c:v>
                </c:pt>
                <c:pt idx="3">
                  <c:v>0.89102564102564097</c:v>
                </c:pt>
                <c:pt idx="4">
                  <c:v>0.89102564102564097</c:v>
                </c:pt>
                <c:pt idx="5">
                  <c:v>0.78410256410256418</c:v>
                </c:pt>
                <c:pt idx="6">
                  <c:v>0.86556776556776571</c:v>
                </c:pt>
                <c:pt idx="7">
                  <c:v>0.92666666666666686</c:v>
                </c:pt>
                <c:pt idx="8">
                  <c:v>0.95042735042735049</c:v>
                </c:pt>
                <c:pt idx="9">
                  <c:v>0.81465201465201476</c:v>
                </c:pt>
                <c:pt idx="10">
                  <c:v>1.0692307692307694</c:v>
                </c:pt>
                <c:pt idx="11">
                  <c:v>1.0692307692307692</c:v>
                </c:pt>
                <c:pt idx="12">
                  <c:v>0.92666666666666686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66-A941-9477-5EFC3069BD68}"/>
            </c:ext>
          </c:extLst>
        </c:ser>
        <c:ser>
          <c:idx val="4"/>
          <c:order val="4"/>
          <c:tx>
            <c:v>R7H1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Results'!$EV$54:$EV$65</c:f>
              <c:numCache>
                <c:formatCode>0.0</c:formatCode>
                <c:ptCount val="12"/>
                <c:pt idx="0">
                  <c:v>164.56</c:v>
                </c:pt>
                <c:pt idx="1">
                  <c:v>164.42</c:v>
                </c:pt>
                <c:pt idx="2">
                  <c:v>164.07</c:v>
                </c:pt>
                <c:pt idx="3">
                  <c:v>163.66</c:v>
                </c:pt>
                <c:pt idx="4">
                  <c:v>163.31</c:v>
                </c:pt>
                <c:pt idx="5">
                  <c:v>162.85999999999999</c:v>
                </c:pt>
                <c:pt idx="6">
                  <c:v>162.04999999999998</c:v>
                </c:pt>
                <c:pt idx="7">
                  <c:v>161.1</c:v>
                </c:pt>
                <c:pt idx="8">
                  <c:v>160.1</c:v>
                </c:pt>
                <c:pt idx="9">
                  <c:v>159.1</c:v>
                </c:pt>
                <c:pt idx="10">
                  <c:v>158.1</c:v>
                </c:pt>
                <c:pt idx="11">
                  <c:v>157.1</c:v>
                </c:pt>
              </c:numCache>
            </c:numRef>
          </c:xVal>
          <c:yVal>
            <c:numRef>
              <c:f>'Chem Results'!$EX$54:$EX$65</c:f>
              <c:numCache>
                <c:formatCode>General</c:formatCode>
                <c:ptCount val="12"/>
                <c:pt idx="0">
                  <c:v>0.9801282051282052</c:v>
                </c:pt>
                <c:pt idx="1">
                  <c:v>0.83162393162393178</c:v>
                </c:pt>
                <c:pt idx="2">
                  <c:v>0.89102564102564097</c:v>
                </c:pt>
                <c:pt idx="4">
                  <c:v>0.35641025641025642</c:v>
                </c:pt>
                <c:pt idx="5">
                  <c:v>0.71282051282051284</c:v>
                </c:pt>
                <c:pt idx="6">
                  <c:v>0.71282051282051284</c:v>
                </c:pt>
                <c:pt idx="7">
                  <c:v>0.92666666666666686</c:v>
                </c:pt>
                <c:pt idx="8">
                  <c:v>0.89102564102564108</c:v>
                </c:pt>
                <c:pt idx="9">
                  <c:v>0.86556776556776571</c:v>
                </c:pt>
                <c:pt idx="10">
                  <c:v>0.80192307692307696</c:v>
                </c:pt>
                <c:pt idx="11">
                  <c:v>0.71282051282051295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66-A941-9477-5EFC3069BD68}"/>
            </c:ext>
          </c:extLst>
        </c:ser>
        <c:ser>
          <c:idx val="5"/>
          <c:order val="5"/>
          <c:tx>
            <c:v>R7H2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Results'!$EV$66:$EV$77</c:f>
              <c:numCache>
                <c:formatCode>0.0</c:formatCode>
                <c:ptCount val="12"/>
                <c:pt idx="0">
                  <c:v>160.94499999999999</c:v>
                </c:pt>
                <c:pt idx="1">
                  <c:v>160.79</c:v>
                </c:pt>
                <c:pt idx="2">
                  <c:v>160.41999999999999</c:v>
                </c:pt>
                <c:pt idx="3">
                  <c:v>159.97499999999999</c:v>
                </c:pt>
                <c:pt idx="4">
                  <c:v>159.685</c:v>
                </c:pt>
                <c:pt idx="5">
                  <c:v>159.285</c:v>
                </c:pt>
                <c:pt idx="6">
                  <c:v>158.5</c:v>
                </c:pt>
                <c:pt idx="7">
                  <c:v>157.5</c:v>
                </c:pt>
                <c:pt idx="8">
                  <c:v>156.5</c:v>
                </c:pt>
                <c:pt idx="9">
                  <c:v>155.5</c:v>
                </c:pt>
                <c:pt idx="10">
                  <c:v>154.5</c:v>
                </c:pt>
                <c:pt idx="11">
                  <c:v>153.5</c:v>
                </c:pt>
              </c:numCache>
            </c:numRef>
          </c:xVal>
          <c:yVal>
            <c:numRef>
              <c:f>'Chem Results'!$EX$66:$EX$77</c:f>
              <c:numCache>
                <c:formatCode>General</c:formatCode>
                <c:ptCount val="12"/>
                <c:pt idx="0">
                  <c:v>0.85228539576365669</c:v>
                </c:pt>
                <c:pt idx="1">
                  <c:v>0.75242165242165238</c:v>
                </c:pt>
                <c:pt idx="2">
                  <c:v>0.71282051282051284</c:v>
                </c:pt>
                <c:pt idx="3">
                  <c:v>0.47521367521367525</c:v>
                </c:pt>
                <c:pt idx="4">
                  <c:v>0.5346153846153846</c:v>
                </c:pt>
                <c:pt idx="5">
                  <c:v>0.47521367521367525</c:v>
                </c:pt>
                <c:pt idx="6">
                  <c:v>0.35641025641025642</c:v>
                </c:pt>
                <c:pt idx="7">
                  <c:v>0.78410256410256418</c:v>
                </c:pt>
                <c:pt idx="8">
                  <c:v>0.71282051282051284</c:v>
                </c:pt>
                <c:pt idx="9">
                  <c:v>0.78410256410256418</c:v>
                </c:pt>
                <c:pt idx="10">
                  <c:v>0.84647435897435896</c:v>
                </c:pt>
                <c:pt idx="11">
                  <c:v>0.85538461538461541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66-A941-9477-5EFC3069BD68}"/>
            </c:ext>
          </c:extLst>
        </c:ser>
        <c:ser>
          <c:idx val="6"/>
          <c:order val="6"/>
          <c:tx>
            <c:v>R7P2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Results'!$EV$85:$EV$98</c:f>
              <c:numCache>
                <c:formatCode>0.0</c:formatCode>
                <c:ptCount val="14"/>
                <c:pt idx="0">
                  <c:v>162.69</c:v>
                </c:pt>
                <c:pt idx="1">
                  <c:v>162.64499999999998</c:v>
                </c:pt>
                <c:pt idx="2">
                  <c:v>162.57999999999998</c:v>
                </c:pt>
                <c:pt idx="3">
                  <c:v>162.33999999999997</c:v>
                </c:pt>
                <c:pt idx="4">
                  <c:v>162.005</c:v>
                </c:pt>
                <c:pt idx="5">
                  <c:v>161.70999999999998</c:v>
                </c:pt>
                <c:pt idx="6">
                  <c:v>161.26499999999999</c:v>
                </c:pt>
                <c:pt idx="7">
                  <c:v>160.82</c:v>
                </c:pt>
                <c:pt idx="8">
                  <c:v>159.94999999999999</c:v>
                </c:pt>
                <c:pt idx="9">
                  <c:v>159.19999999999999</c:v>
                </c:pt>
                <c:pt idx="10">
                  <c:v>158.19999999999999</c:v>
                </c:pt>
                <c:pt idx="11">
                  <c:v>157.19999999999999</c:v>
                </c:pt>
                <c:pt idx="12">
                  <c:v>156.19999999999999</c:v>
                </c:pt>
                <c:pt idx="13">
                  <c:v>155.19999999999999</c:v>
                </c:pt>
              </c:numCache>
            </c:numRef>
          </c:xVal>
          <c:yVal>
            <c:numRef>
              <c:f>'Chem Results'!$EX$85:$EX$98</c:f>
              <c:numCache>
                <c:formatCode>General</c:formatCode>
                <c:ptCount val="14"/>
                <c:pt idx="0">
                  <c:v>0.71282051282051284</c:v>
                </c:pt>
                <c:pt idx="1">
                  <c:v>1.0692307692307692</c:v>
                </c:pt>
                <c:pt idx="2">
                  <c:v>0.71282051282051284</c:v>
                </c:pt>
                <c:pt idx="3">
                  <c:v>1.0692307692307692</c:v>
                </c:pt>
                <c:pt idx="4">
                  <c:v>0.71282051282051284</c:v>
                </c:pt>
                <c:pt idx="5">
                  <c:v>0.5346153846153846</c:v>
                </c:pt>
                <c:pt idx="6">
                  <c:v>0.89102564102564097</c:v>
                </c:pt>
                <c:pt idx="7">
                  <c:v>0.59401709401709402</c:v>
                </c:pt>
                <c:pt idx="8">
                  <c:v>0.80192307692307696</c:v>
                </c:pt>
                <c:pt idx="9">
                  <c:v>0.64153846153846161</c:v>
                </c:pt>
                <c:pt idx="10">
                  <c:v>0.65341880341880354</c:v>
                </c:pt>
                <c:pt idx="11">
                  <c:v>0.78410256410256418</c:v>
                </c:pt>
                <c:pt idx="12">
                  <c:v>0.71282051282051284</c:v>
                </c:pt>
                <c:pt idx="13">
                  <c:v>0.83162393162393178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66-A941-9477-5EFC3069BD68}"/>
            </c:ext>
          </c:extLst>
        </c:ser>
        <c:ser>
          <c:idx val="7"/>
          <c:order val="7"/>
          <c:tx>
            <c:v>R8H1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Results'!$EV$99:$EV$109</c:f>
              <c:numCache>
                <c:formatCode>0.0</c:formatCode>
                <c:ptCount val="11"/>
                <c:pt idx="0">
                  <c:v>166.32500000000002</c:v>
                </c:pt>
                <c:pt idx="1">
                  <c:v>166.19499999999999</c:v>
                </c:pt>
                <c:pt idx="2">
                  <c:v>165.88500000000002</c:v>
                </c:pt>
                <c:pt idx="3">
                  <c:v>165.37</c:v>
                </c:pt>
                <c:pt idx="4">
                  <c:v>164.82500000000002</c:v>
                </c:pt>
                <c:pt idx="5">
                  <c:v>164.095</c:v>
                </c:pt>
                <c:pt idx="6">
                  <c:v>162.9</c:v>
                </c:pt>
                <c:pt idx="7">
                  <c:v>161.9</c:v>
                </c:pt>
                <c:pt idx="8">
                  <c:v>160.9</c:v>
                </c:pt>
                <c:pt idx="9">
                  <c:v>159.9</c:v>
                </c:pt>
                <c:pt idx="10">
                  <c:v>158.9</c:v>
                </c:pt>
              </c:numCache>
            </c:numRef>
          </c:xVal>
          <c:yVal>
            <c:numRef>
              <c:f>'Chem Results'!$EX$99:$EX$109</c:f>
              <c:numCache>
                <c:formatCode>General</c:formatCode>
                <c:ptCount val="11"/>
                <c:pt idx="0">
                  <c:v>0.9801282051282052</c:v>
                </c:pt>
                <c:pt idx="1">
                  <c:v>0.59401709401709402</c:v>
                </c:pt>
                <c:pt idx="2">
                  <c:v>1.0692307692307692</c:v>
                </c:pt>
                <c:pt idx="3">
                  <c:v>0.83162393162393178</c:v>
                </c:pt>
                <c:pt idx="4">
                  <c:v>0.71282051282051284</c:v>
                </c:pt>
                <c:pt idx="5">
                  <c:v>0.80192307692307696</c:v>
                </c:pt>
                <c:pt idx="6">
                  <c:v>0.89102564102564097</c:v>
                </c:pt>
                <c:pt idx="7">
                  <c:v>0.93557692307692308</c:v>
                </c:pt>
                <c:pt idx="8">
                  <c:v>0.84647435897435896</c:v>
                </c:pt>
                <c:pt idx="9">
                  <c:v>0.95042735042735049</c:v>
                </c:pt>
                <c:pt idx="10">
                  <c:v>0.8712250712250712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66-A941-9477-5EFC3069BD68}"/>
            </c:ext>
          </c:extLst>
        </c:ser>
        <c:ser>
          <c:idx val="8"/>
          <c:order val="8"/>
          <c:tx>
            <c:v>R8P1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Results'!$EV$112:$EV$123</c:f>
              <c:numCache>
                <c:formatCode>0.0</c:formatCode>
                <c:ptCount val="12"/>
                <c:pt idx="0">
                  <c:v>159.80000000000001</c:v>
                </c:pt>
                <c:pt idx="1">
                  <c:v>159.625</c:v>
                </c:pt>
                <c:pt idx="2">
                  <c:v>159.38500000000002</c:v>
                </c:pt>
                <c:pt idx="3">
                  <c:v>158.98000000000002</c:v>
                </c:pt>
                <c:pt idx="4">
                  <c:v>158.5</c:v>
                </c:pt>
                <c:pt idx="5">
                  <c:v>158.005</c:v>
                </c:pt>
                <c:pt idx="6">
                  <c:v>157.45000000000002</c:v>
                </c:pt>
                <c:pt idx="7">
                  <c:v>156.4</c:v>
                </c:pt>
                <c:pt idx="8">
                  <c:v>155.4</c:v>
                </c:pt>
                <c:pt idx="9">
                  <c:v>154.4</c:v>
                </c:pt>
                <c:pt idx="10">
                  <c:v>153.4</c:v>
                </c:pt>
                <c:pt idx="11">
                  <c:v>152.4</c:v>
                </c:pt>
              </c:numCache>
            </c:numRef>
          </c:xVal>
          <c:yVal>
            <c:numRef>
              <c:f>'Chem Results'!$EX$112:$EX$123</c:f>
              <c:numCache>
                <c:formatCode>General</c:formatCode>
                <c:ptCount val="12"/>
                <c:pt idx="0">
                  <c:v>1.0692307692307692</c:v>
                </c:pt>
                <c:pt idx="1">
                  <c:v>0.71282051282051284</c:v>
                </c:pt>
                <c:pt idx="2">
                  <c:v>0.83162393162393178</c:v>
                </c:pt>
                <c:pt idx="3">
                  <c:v>0.89102564102564097</c:v>
                </c:pt>
                <c:pt idx="4">
                  <c:v>0.83162393162393178</c:v>
                </c:pt>
                <c:pt idx="5">
                  <c:v>0.71282051282051284</c:v>
                </c:pt>
                <c:pt idx="6">
                  <c:v>0.80192307692307696</c:v>
                </c:pt>
                <c:pt idx="7">
                  <c:v>0.96739926739926752</c:v>
                </c:pt>
                <c:pt idx="8">
                  <c:v>0.99794871794871809</c:v>
                </c:pt>
                <c:pt idx="9">
                  <c:v>0.85538461538461541</c:v>
                </c:pt>
                <c:pt idx="10">
                  <c:v>0.91648351648351656</c:v>
                </c:pt>
                <c:pt idx="11">
                  <c:v>0.92666666666666686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66-A941-9477-5EFC3069B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637744"/>
        <c:axId val="567644112"/>
      </c:scatterChart>
      <c:valAx>
        <c:axId val="371637744"/>
        <c:scaling>
          <c:orientation val="maxMin"/>
          <c:max val="185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 (m)</a:t>
                </a:r>
              </a:p>
            </c:rich>
          </c:tx>
          <c:layout>
            <c:manualLayout>
              <c:xMode val="edge"/>
              <c:yMode val="edge"/>
              <c:x val="0.43294958228832814"/>
              <c:y val="0.95914147481690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44112"/>
        <c:crosses val="autoZero"/>
        <c:crossBetween val="midCat"/>
      </c:valAx>
      <c:valAx>
        <c:axId val="567644112"/>
        <c:scaling>
          <c:orientation val="minMax"/>
          <c:max val="1.3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Y/Ho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37744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9246939591085"/>
          <c:y val="0.45119353279816826"/>
          <c:w val="8.9254805331578008E-2"/>
          <c:h val="0.41711970995039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3070723665044"/>
          <c:y val="1.7279808669123056E-2"/>
          <c:w val="0.75639398280984127"/>
          <c:h val="0.85417437605688973"/>
        </c:manualLayout>
      </c:layout>
      <c:scatterChart>
        <c:scatterStyle val="lineMarker"/>
        <c:varyColors val="0"/>
        <c:ser>
          <c:idx val="0"/>
          <c:order val="0"/>
          <c:tx>
            <c:v>R1C2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Results'!$EV$7:$EV$15</c:f>
              <c:numCache>
                <c:formatCode>0.0</c:formatCode>
                <c:ptCount val="9"/>
                <c:pt idx="0">
                  <c:v>184.63499999999999</c:v>
                </c:pt>
                <c:pt idx="1">
                  <c:v>184.23499999999999</c:v>
                </c:pt>
                <c:pt idx="2">
                  <c:v>183.73499999999999</c:v>
                </c:pt>
                <c:pt idx="3">
                  <c:v>183.23499999999999</c:v>
                </c:pt>
                <c:pt idx="4">
                  <c:v>181.7</c:v>
                </c:pt>
                <c:pt idx="5">
                  <c:v>180.2</c:v>
                </c:pt>
                <c:pt idx="6">
                  <c:v>179.2</c:v>
                </c:pt>
                <c:pt idx="7">
                  <c:v>178.2</c:v>
                </c:pt>
                <c:pt idx="8">
                  <c:v>177.2</c:v>
                </c:pt>
              </c:numCache>
            </c:numRef>
          </c:xVal>
          <c:yVal>
            <c:numRef>
              <c:f>'Chem Results'!$EU$7:$EU$15</c:f>
              <c:numCache>
                <c:formatCode>0.000</c:formatCode>
                <c:ptCount val="9"/>
                <c:pt idx="0">
                  <c:v>0.69634103167359185</c:v>
                </c:pt>
                <c:pt idx="1">
                  <c:v>0.75892345742624134</c:v>
                </c:pt>
                <c:pt idx="2">
                  <c:v>0.67252955129630121</c:v>
                </c:pt>
                <c:pt idx="3">
                  <c:v>0.54970594660644412</c:v>
                </c:pt>
                <c:pt idx="4">
                  <c:v>0.755605274534081</c:v>
                </c:pt>
                <c:pt idx="5">
                  <c:v>1.3782534212923578</c:v>
                </c:pt>
                <c:pt idx="6">
                  <c:v>1.2843542653813864</c:v>
                </c:pt>
                <c:pt idx="7">
                  <c:v>0.63741112536978461</c:v>
                </c:pt>
                <c:pt idx="8">
                  <c:v>0.64840801143468574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F-0D4E-B737-89151B011B65}"/>
            </c:ext>
          </c:extLst>
        </c:ser>
        <c:ser>
          <c:idx val="1"/>
          <c:order val="1"/>
          <c:tx>
            <c:v>R1C3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Results'!$EV$16:$EV$26</c:f>
              <c:numCache>
                <c:formatCode>0.0</c:formatCode>
                <c:ptCount val="11"/>
                <c:pt idx="0">
                  <c:v>177.85</c:v>
                </c:pt>
                <c:pt idx="1">
                  <c:v>177.76000000000002</c:v>
                </c:pt>
                <c:pt idx="2">
                  <c:v>177.52</c:v>
                </c:pt>
                <c:pt idx="3">
                  <c:v>177.18</c:v>
                </c:pt>
                <c:pt idx="4">
                  <c:v>176.79500000000002</c:v>
                </c:pt>
                <c:pt idx="5">
                  <c:v>176.22499999999999</c:v>
                </c:pt>
                <c:pt idx="6">
                  <c:v>175.4</c:v>
                </c:pt>
                <c:pt idx="7">
                  <c:v>174.4</c:v>
                </c:pt>
                <c:pt idx="8">
                  <c:v>173.4</c:v>
                </c:pt>
                <c:pt idx="9">
                  <c:v>172.4</c:v>
                </c:pt>
                <c:pt idx="10">
                  <c:v>171.65</c:v>
                </c:pt>
              </c:numCache>
            </c:numRef>
          </c:xVal>
          <c:yVal>
            <c:numRef>
              <c:f>'Chem Results'!$EU$16:$EU$26</c:f>
              <c:numCache>
                <c:formatCode>0.000</c:formatCode>
                <c:ptCount val="11"/>
                <c:pt idx="0">
                  <c:v>0.58030374346465741</c:v>
                </c:pt>
                <c:pt idx="1">
                  <c:v>0.52466105545976716</c:v>
                </c:pt>
                <c:pt idx="2">
                  <c:v>0.54445306204721033</c:v>
                </c:pt>
                <c:pt idx="3">
                  <c:v>0.72386425507350938</c:v>
                </c:pt>
                <c:pt idx="4">
                  <c:v>0.70009051438129222</c:v>
                </c:pt>
                <c:pt idx="5">
                  <c:v>0.66080750459379323</c:v>
                </c:pt>
                <c:pt idx="6">
                  <c:v>0.51570220865050309</c:v>
                </c:pt>
                <c:pt idx="7">
                  <c:v>0.54014075907745052</c:v>
                </c:pt>
                <c:pt idx="8">
                  <c:v>1.2647840112597528</c:v>
                </c:pt>
                <c:pt idx="9">
                  <c:v>1.6679388086154521</c:v>
                </c:pt>
                <c:pt idx="10">
                  <c:v>1.0763234585467698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F-0D4E-B737-89151B011B65}"/>
            </c:ext>
          </c:extLst>
        </c:ser>
        <c:ser>
          <c:idx val="2"/>
          <c:order val="2"/>
          <c:tx>
            <c:v>R2H1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Results'!$EV$27:$EV$40</c:f>
              <c:numCache>
                <c:formatCode>0.0</c:formatCode>
                <c:ptCount val="14"/>
                <c:pt idx="0">
                  <c:v>149.06</c:v>
                </c:pt>
                <c:pt idx="1">
                  <c:v>148.96</c:v>
                </c:pt>
                <c:pt idx="2">
                  <c:v>148.85</c:v>
                </c:pt>
                <c:pt idx="3">
                  <c:v>148.75</c:v>
                </c:pt>
                <c:pt idx="4">
                  <c:v>148.47499999999999</c:v>
                </c:pt>
                <c:pt idx="5">
                  <c:v>148.04999999999998</c:v>
                </c:pt>
                <c:pt idx="6">
                  <c:v>147.69999999999999</c:v>
                </c:pt>
                <c:pt idx="7">
                  <c:v>147.22499999999999</c:v>
                </c:pt>
                <c:pt idx="8">
                  <c:v>146.35</c:v>
                </c:pt>
                <c:pt idx="9">
                  <c:v>145.6</c:v>
                </c:pt>
                <c:pt idx="10">
                  <c:v>144.6</c:v>
                </c:pt>
                <c:pt idx="11">
                  <c:v>143.6</c:v>
                </c:pt>
                <c:pt idx="12">
                  <c:v>142.6</c:v>
                </c:pt>
                <c:pt idx="13">
                  <c:v>141.6</c:v>
                </c:pt>
              </c:numCache>
            </c:numRef>
          </c:xVal>
          <c:yVal>
            <c:numRef>
              <c:f>'Chem Results'!$EU$27:$EU$40</c:f>
              <c:numCache>
                <c:formatCode>0.000</c:formatCode>
                <c:ptCount val="14"/>
                <c:pt idx="0">
                  <c:v>0.59271572767105118</c:v>
                </c:pt>
                <c:pt idx="1">
                  <c:v>0.90817969622002592</c:v>
                </c:pt>
                <c:pt idx="2">
                  <c:v>0.71731230666131007</c:v>
                </c:pt>
                <c:pt idx="3">
                  <c:v>0.55405117814114424</c:v>
                </c:pt>
                <c:pt idx="4">
                  <c:v>0.43427307013639921</c:v>
                </c:pt>
                <c:pt idx="5">
                  <c:v>0.60305183016872344</c:v>
                </c:pt>
                <c:pt idx="6">
                  <c:v>0.61931318666473512</c:v>
                </c:pt>
                <c:pt idx="7">
                  <c:v>0.51965466398861138</c:v>
                </c:pt>
                <c:pt idx="8">
                  <c:v>0.2978008722927763</c:v>
                </c:pt>
                <c:pt idx="9">
                  <c:v>0.30195901657763358</c:v>
                </c:pt>
                <c:pt idx="10">
                  <c:v>0.48858437192025966</c:v>
                </c:pt>
                <c:pt idx="11">
                  <c:v>0.42340249742082475</c:v>
                </c:pt>
                <c:pt idx="12">
                  <c:v>0.49467431046773441</c:v>
                </c:pt>
                <c:pt idx="13">
                  <c:v>0.63968121760513508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F-0D4E-B737-89151B011B65}"/>
            </c:ext>
          </c:extLst>
        </c:ser>
        <c:ser>
          <c:idx val="3"/>
          <c:order val="3"/>
          <c:tx>
            <c:v>R2P1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Results'!$EV$41:$EV$53</c:f>
              <c:numCache>
                <c:formatCode>0.0</c:formatCode>
                <c:ptCount val="13"/>
                <c:pt idx="0">
                  <c:v>164.125</c:v>
                </c:pt>
                <c:pt idx="1">
                  <c:v>163.85</c:v>
                </c:pt>
                <c:pt idx="2">
                  <c:v>163.54</c:v>
                </c:pt>
                <c:pt idx="3">
                  <c:v>163.36499999999998</c:v>
                </c:pt>
                <c:pt idx="4">
                  <c:v>163.19999999999999</c:v>
                </c:pt>
                <c:pt idx="5">
                  <c:v>163.01499999999999</c:v>
                </c:pt>
                <c:pt idx="6">
                  <c:v>162.45499999999998</c:v>
                </c:pt>
                <c:pt idx="7">
                  <c:v>161.85499999999999</c:v>
                </c:pt>
                <c:pt idx="8">
                  <c:v>160.69999999999999</c:v>
                </c:pt>
                <c:pt idx="9">
                  <c:v>159.69999999999999</c:v>
                </c:pt>
                <c:pt idx="10">
                  <c:v>158.69999999999999</c:v>
                </c:pt>
                <c:pt idx="11">
                  <c:v>157.69999999999999</c:v>
                </c:pt>
                <c:pt idx="12">
                  <c:v>156.69999999999999</c:v>
                </c:pt>
              </c:numCache>
            </c:numRef>
          </c:xVal>
          <c:yVal>
            <c:numRef>
              <c:f>'Chem Results'!$EU$41:$EU$53</c:f>
              <c:numCache>
                <c:formatCode>0.000</c:formatCode>
                <c:ptCount val="13"/>
                <c:pt idx="0">
                  <c:v>0.3877967636683271</c:v>
                </c:pt>
                <c:pt idx="1">
                  <c:v>0.55231899175106514</c:v>
                </c:pt>
                <c:pt idx="2">
                  <c:v>0.29425466503902387</c:v>
                </c:pt>
                <c:pt idx="3">
                  <c:v>0.92525288055008981</c:v>
                </c:pt>
                <c:pt idx="4">
                  <c:v>0.66454806256510235</c:v>
                </c:pt>
                <c:pt idx="5">
                  <c:v>0.50863445609393021</c:v>
                </c:pt>
                <c:pt idx="6">
                  <c:v>0.60796531775748319</c:v>
                </c:pt>
                <c:pt idx="7">
                  <c:v>1.4051171192810661</c:v>
                </c:pt>
                <c:pt idx="8">
                  <c:v>0.76397001755315253</c:v>
                </c:pt>
                <c:pt idx="9">
                  <c:v>1.3636318546311275</c:v>
                </c:pt>
                <c:pt idx="10">
                  <c:v>0.74048480094420654</c:v>
                </c:pt>
                <c:pt idx="11">
                  <c:v>0.83609328147665773</c:v>
                </c:pt>
                <c:pt idx="12">
                  <c:v>0.50413218612258626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F-0D4E-B737-89151B011B65}"/>
            </c:ext>
          </c:extLst>
        </c:ser>
        <c:ser>
          <c:idx val="4"/>
          <c:order val="4"/>
          <c:tx>
            <c:v>R7H1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Results'!$EV$54:$EV$65</c:f>
              <c:numCache>
                <c:formatCode>0.0</c:formatCode>
                <c:ptCount val="12"/>
                <c:pt idx="0">
                  <c:v>164.56</c:v>
                </c:pt>
                <c:pt idx="1">
                  <c:v>164.42</c:v>
                </c:pt>
                <c:pt idx="2">
                  <c:v>164.07</c:v>
                </c:pt>
                <c:pt idx="3">
                  <c:v>163.66</c:v>
                </c:pt>
                <c:pt idx="4">
                  <c:v>163.31</c:v>
                </c:pt>
                <c:pt idx="5">
                  <c:v>162.85999999999999</c:v>
                </c:pt>
                <c:pt idx="6">
                  <c:v>162.04999999999998</c:v>
                </c:pt>
                <c:pt idx="7">
                  <c:v>161.1</c:v>
                </c:pt>
                <c:pt idx="8">
                  <c:v>160.1</c:v>
                </c:pt>
                <c:pt idx="9">
                  <c:v>159.1</c:v>
                </c:pt>
                <c:pt idx="10">
                  <c:v>158.1</c:v>
                </c:pt>
                <c:pt idx="11">
                  <c:v>157.1</c:v>
                </c:pt>
              </c:numCache>
            </c:numRef>
          </c:xVal>
          <c:yVal>
            <c:numRef>
              <c:f>'Chem Results'!$EU$54:$EU$65</c:f>
              <c:numCache>
                <c:formatCode>0.000</c:formatCode>
                <c:ptCount val="12"/>
                <c:pt idx="0">
                  <c:v>0.75339080346662146</c:v>
                </c:pt>
                <c:pt idx="1">
                  <c:v>0.86501160577149716</c:v>
                </c:pt>
                <c:pt idx="2">
                  <c:v>0.78866071214918276</c:v>
                </c:pt>
                <c:pt idx="3">
                  <c:v>0.77143228062433244</c:v>
                </c:pt>
                <c:pt idx="4">
                  <c:v>0.66347589032005339</c:v>
                </c:pt>
                <c:pt idx="5">
                  <c:v>0.54108035413940214</c:v>
                </c:pt>
                <c:pt idx="6">
                  <c:v>0.61381538381953415</c:v>
                </c:pt>
                <c:pt idx="7">
                  <c:v>0.7031851463645945</c:v>
                </c:pt>
                <c:pt idx="8">
                  <c:v>0.87710675814992067</c:v>
                </c:pt>
                <c:pt idx="9">
                  <c:v>0.87215249983378029</c:v>
                </c:pt>
                <c:pt idx="10">
                  <c:v>0.9996134316542632</c:v>
                </c:pt>
                <c:pt idx="11">
                  <c:v>0.90631270093021632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F-0D4E-B737-89151B011B65}"/>
            </c:ext>
          </c:extLst>
        </c:ser>
        <c:ser>
          <c:idx val="5"/>
          <c:order val="5"/>
          <c:tx>
            <c:v>R7H2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Results'!$EV$66:$EV$77</c:f>
              <c:numCache>
                <c:formatCode>0.0</c:formatCode>
                <c:ptCount val="12"/>
                <c:pt idx="0">
                  <c:v>160.94499999999999</c:v>
                </c:pt>
                <c:pt idx="1">
                  <c:v>160.79</c:v>
                </c:pt>
                <c:pt idx="2">
                  <c:v>160.41999999999999</c:v>
                </c:pt>
                <c:pt idx="3">
                  <c:v>159.97499999999999</c:v>
                </c:pt>
                <c:pt idx="4">
                  <c:v>159.685</c:v>
                </c:pt>
                <c:pt idx="5">
                  <c:v>159.285</c:v>
                </c:pt>
                <c:pt idx="6">
                  <c:v>158.5</c:v>
                </c:pt>
                <c:pt idx="7">
                  <c:v>157.5</c:v>
                </c:pt>
                <c:pt idx="8">
                  <c:v>156.5</c:v>
                </c:pt>
                <c:pt idx="9">
                  <c:v>155.5</c:v>
                </c:pt>
                <c:pt idx="10">
                  <c:v>154.5</c:v>
                </c:pt>
                <c:pt idx="11">
                  <c:v>153.5</c:v>
                </c:pt>
              </c:numCache>
            </c:numRef>
          </c:xVal>
          <c:yVal>
            <c:numRef>
              <c:f>'Chem Results'!$EU$66:$EU$77</c:f>
              <c:numCache>
                <c:formatCode>0.000</c:formatCode>
                <c:ptCount val="12"/>
                <c:pt idx="0">
                  <c:v>0.6132655011865592</c:v>
                </c:pt>
                <c:pt idx="1">
                  <c:v>0.45485095652580648</c:v>
                </c:pt>
                <c:pt idx="2">
                  <c:v>0.34519232716357989</c:v>
                </c:pt>
                <c:pt idx="3">
                  <c:v>0.44477798858136153</c:v>
                </c:pt>
                <c:pt idx="4">
                  <c:v>0.51546423080249792</c:v>
                </c:pt>
                <c:pt idx="5">
                  <c:v>0.45133012213649604</c:v>
                </c:pt>
                <c:pt idx="6">
                  <c:v>0.39430351339540071</c:v>
                </c:pt>
                <c:pt idx="7">
                  <c:v>0.59931165635103956</c:v>
                </c:pt>
                <c:pt idx="8">
                  <c:v>0.92799066082747705</c:v>
                </c:pt>
                <c:pt idx="9">
                  <c:v>0.46777063084064713</c:v>
                </c:pt>
                <c:pt idx="10">
                  <c:v>1.4927693357100111</c:v>
                </c:pt>
                <c:pt idx="11">
                  <c:v>1.5387889405839563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1F-0D4E-B737-89151B011B65}"/>
            </c:ext>
          </c:extLst>
        </c:ser>
        <c:ser>
          <c:idx val="6"/>
          <c:order val="6"/>
          <c:tx>
            <c:v>R7P2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Results'!$EV$85:$EV$98</c:f>
              <c:numCache>
                <c:formatCode>0.0</c:formatCode>
                <c:ptCount val="14"/>
                <c:pt idx="0">
                  <c:v>162.69</c:v>
                </c:pt>
                <c:pt idx="1">
                  <c:v>162.64499999999998</c:v>
                </c:pt>
                <c:pt idx="2">
                  <c:v>162.57999999999998</c:v>
                </c:pt>
                <c:pt idx="3">
                  <c:v>162.33999999999997</c:v>
                </c:pt>
                <c:pt idx="4">
                  <c:v>162.005</c:v>
                </c:pt>
                <c:pt idx="5">
                  <c:v>161.70999999999998</c:v>
                </c:pt>
                <c:pt idx="6">
                  <c:v>161.26499999999999</c:v>
                </c:pt>
                <c:pt idx="7">
                  <c:v>160.82</c:v>
                </c:pt>
                <c:pt idx="8">
                  <c:v>159.94999999999999</c:v>
                </c:pt>
                <c:pt idx="9">
                  <c:v>159.19999999999999</c:v>
                </c:pt>
                <c:pt idx="10">
                  <c:v>158.19999999999999</c:v>
                </c:pt>
                <c:pt idx="11">
                  <c:v>157.19999999999999</c:v>
                </c:pt>
                <c:pt idx="12">
                  <c:v>156.19999999999999</c:v>
                </c:pt>
                <c:pt idx="13">
                  <c:v>155.19999999999999</c:v>
                </c:pt>
              </c:numCache>
            </c:numRef>
          </c:xVal>
          <c:yVal>
            <c:numRef>
              <c:f>'Chem Results'!$EU$85:$EU$98</c:f>
              <c:numCache>
                <c:formatCode>0.000</c:formatCode>
                <c:ptCount val="14"/>
                <c:pt idx="0">
                  <c:v>0.69952439482554518</c:v>
                </c:pt>
                <c:pt idx="1">
                  <c:v>0.62190182696485796</c:v>
                </c:pt>
                <c:pt idx="2">
                  <c:v>0.56827677983187663</c:v>
                </c:pt>
                <c:pt idx="3">
                  <c:v>0.64799922055812187</c:v>
                </c:pt>
                <c:pt idx="4">
                  <c:v>0.61340797060349961</c:v>
                </c:pt>
                <c:pt idx="5">
                  <c:v>0.69911444408391143</c:v>
                </c:pt>
                <c:pt idx="6">
                  <c:v>0.71799596268360055</c:v>
                </c:pt>
                <c:pt idx="7">
                  <c:v>0.52637488381109476</c:v>
                </c:pt>
                <c:pt idx="8">
                  <c:v>0.7564338575184425</c:v>
                </c:pt>
                <c:pt idx="9">
                  <c:v>0.53199245475584134</c:v>
                </c:pt>
                <c:pt idx="10">
                  <c:v>0.63775157218038814</c:v>
                </c:pt>
                <c:pt idx="11">
                  <c:v>0.67218711912568574</c:v>
                </c:pt>
                <c:pt idx="12">
                  <c:v>0.71988381769399168</c:v>
                </c:pt>
                <c:pt idx="13">
                  <c:v>0.86339836969915962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1F-0D4E-B737-89151B011B65}"/>
            </c:ext>
          </c:extLst>
        </c:ser>
        <c:ser>
          <c:idx val="7"/>
          <c:order val="7"/>
          <c:tx>
            <c:v>R8H1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Results'!$EV$99:$EV$109</c:f>
              <c:numCache>
                <c:formatCode>0.0</c:formatCode>
                <c:ptCount val="11"/>
                <c:pt idx="0">
                  <c:v>166.32500000000002</c:v>
                </c:pt>
                <c:pt idx="1">
                  <c:v>166.19499999999999</c:v>
                </c:pt>
                <c:pt idx="2">
                  <c:v>165.88500000000002</c:v>
                </c:pt>
                <c:pt idx="3">
                  <c:v>165.37</c:v>
                </c:pt>
                <c:pt idx="4">
                  <c:v>164.82500000000002</c:v>
                </c:pt>
                <c:pt idx="5">
                  <c:v>164.095</c:v>
                </c:pt>
                <c:pt idx="6">
                  <c:v>162.9</c:v>
                </c:pt>
                <c:pt idx="7">
                  <c:v>161.9</c:v>
                </c:pt>
                <c:pt idx="8">
                  <c:v>160.9</c:v>
                </c:pt>
                <c:pt idx="9">
                  <c:v>159.9</c:v>
                </c:pt>
                <c:pt idx="10">
                  <c:v>158.9</c:v>
                </c:pt>
              </c:numCache>
            </c:numRef>
          </c:xVal>
          <c:yVal>
            <c:numRef>
              <c:f>'Chem Results'!$EU$99:$EU$109</c:f>
              <c:numCache>
                <c:formatCode>0.000</c:formatCode>
                <c:ptCount val="11"/>
                <c:pt idx="0">
                  <c:v>0.76871974175272528</c:v>
                </c:pt>
                <c:pt idx="1">
                  <c:v>1.0230489515344519</c:v>
                </c:pt>
                <c:pt idx="2">
                  <c:v>0.86753876358790272</c:v>
                </c:pt>
                <c:pt idx="3">
                  <c:v>0.71077221676812852</c:v>
                </c:pt>
                <c:pt idx="4">
                  <c:v>0.59005112545174665</c:v>
                </c:pt>
                <c:pt idx="5">
                  <c:v>0.92788040251291926</c:v>
                </c:pt>
                <c:pt idx="6">
                  <c:v>0.9207056248428489</c:v>
                </c:pt>
                <c:pt idx="7">
                  <c:v>0.96476879527076753</c:v>
                </c:pt>
                <c:pt idx="8">
                  <c:v>0.81099937101650998</c:v>
                </c:pt>
                <c:pt idx="9">
                  <c:v>0.85775284282969733</c:v>
                </c:pt>
                <c:pt idx="10">
                  <c:v>0.79283959941843019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1F-0D4E-B737-89151B011B65}"/>
            </c:ext>
          </c:extLst>
        </c:ser>
        <c:ser>
          <c:idx val="8"/>
          <c:order val="8"/>
          <c:tx>
            <c:v>R8P1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'Chem Results'!$EV$112:$EV$123</c:f>
              <c:numCache>
                <c:formatCode>0.0</c:formatCode>
                <c:ptCount val="12"/>
                <c:pt idx="0">
                  <c:v>159.80000000000001</c:v>
                </c:pt>
                <c:pt idx="1">
                  <c:v>159.625</c:v>
                </c:pt>
                <c:pt idx="2">
                  <c:v>159.38500000000002</c:v>
                </c:pt>
                <c:pt idx="3">
                  <c:v>158.98000000000002</c:v>
                </c:pt>
                <c:pt idx="4">
                  <c:v>158.5</c:v>
                </c:pt>
                <c:pt idx="5">
                  <c:v>158.005</c:v>
                </c:pt>
                <c:pt idx="6">
                  <c:v>157.45000000000002</c:v>
                </c:pt>
                <c:pt idx="7">
                  <c:v>156.4</c:v>
                </c:pt>
                <c:pt idx="8">
                  <c:v>155.4</c:v>
                </c:pt>
                <c:pt idx="9">
                  <c:v>154.4</c:v>
                </c:pt>
                <c:pt idx="10">
                  <c:v>153.4</c:v>
                </c:pt>
                <c:pt idx="11">
                  <c:v>152.4</c:v>
                </c:pt>
              </c:numCache>
            </c:numRef>
          </c:xVal>
          <c:yVal>
            <c:numRef>
              <c:f>'Chem Results'!$EU$112:$EU$123</c:f>
              <c:numCache>
                <c:formatCode>0.000</c:formatCode>
                <c:ptCount val="12"/>
                <c:pt idx="0">
                  <c:v>0.90753450844809525</c:v>
                </c:pt>
                <c:pt idx="1">
                  <c:v>0.85297143120336327</c:v>
                </c:pt>
                <c:pt idx="2">
                  <c:v>0.94669950328010788</c:v>
                </c:pt>
                <c:pt idx="3">
                  <c:v>0.71786737595265948</c:v>
                </c:pt>
                <c:pt idx="4">
                  <c:v>0.6975856070612596</c:v>
                </c:pt>
                <c:pt idx="5">
                  <c:v>0.80667416282272342</c:v>
                </c:pt>
                <c:pt idx="6">
                  <c:v>0.7320053428970924</c:v>
                </c:pt>
                <c:pt idx="7">
                  <c:v>0.71109278817691024</c:v>
                </c:pt>
                <c:pt idx="8">
                  <c:v>0.85311219180604958</c:v>
                </c:pt>
                <c:pt idx="9">
                  <c:v>0.78132370500541226</c:v>
                </c:pt>
                <c:pt idx="10">
                  <c:v>0.85820342487656021</c:v>
                </c:pt>
                <c:pt idx="11">
                  <c:v>1.0058679478746282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1F-0D4E-B737-89151B01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637744"/>
        <c:axId val="567644112"/>
      </c:scatterChart>
      <c:valAx>
        <c:axId val="371637744"/>
        <c:scaling>
          <c:orientation val="maxMin"/>
          <c:max val="185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 (m)</a:t>
                </a:r>
              </a:p>
            </c:rich>
          </c:tx>
          <c:layout>
            <c:manualLayout>
              <c:xMode val="edge"/>
              <c:yMode val="edge"/>
              <c:x val="0.43294958228832814"/>
              <c:y val="0.95914147481690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44112"/>
        <c:crosses val="autoZero"/>
        <c:crossBetween val="midCat"/>
      </c:valAx>
      <c:valAx>
        <c:axId val="567644112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(Eu*/Ce*)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37744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9246939591085"/>
          <c:y val="0.45119353279816826"/>
          <c:w val="8.9254805331578008E-2"/>
          <c:h val="0.41711970995039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R1C2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Results'!$AF$32:$AF$40</c:f>
              <c:numCache>
                <c:formatCode>0.0%</c:formatCode>
                <c:ptCount val="9"/>
                <c:pt idx="0">
                  <c:v>0.69573710214868423</c:v>
                </c:pt>
                <c:pt idx="1">
                  <c:v>0.21973785659213568</c:v>
                </c:pt>
                <c:pt idx="2">
                  <c:v>0.14260328742780984</c:v>
                </c:pt>
                <c:pt idx="3">
                  <c:v>0.18351390595331174</c:v>
                </c:pt>
                <c:pt idx="4">
                  <c:v>0.36754568333515708</c:v>
                </c:pt>
                <c:pt idx="5">
                  <c:v>0.27849627356422618</c:v>
                </c:pt>
                <c:pt idx="6">
                  <c:v>0.32558911384002653</c:v>
                </c:pt>
                <c:pt idx="7">
                  <c:v>0.3422543031649084</c:v>
                </c:pt>
                <c:pt idx="8">
                  <c:v>0.3706490006737031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8-F448-B7C0-7957AF65FD51}"/>
            </c:ext>
          </c:extLst>
        </c:ser>
        <c:ser>
          <c:idx val="1"/>
          <c:order val="1"/>
          <c:tx>
            <c:v>Orthoclase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Results'!$AG$32:$AG$40</c:f>
              <c:numCache>
                <c:formatCode>0.0%</c:formatCode>
                <c:ptCount val="9"/>
                <c:pt idx="0">
                  <c:v>1.1945306216247268E-2</c:v>
                </c:pt>
                <c:pt idx="1">
                  <c:v>1.3679920696111908E-2</c:v>
                </c:pt>
                <c:pt idx="2">
                  <c:v>1.0217681030653044E-2</c:v>
                </c:pt>
                <c:pt idx="3">
                  <c:v>0</c:v>
                </c:pt>
                <c:pt idx="4">
                  <c:v>4.026698763540869E-3</c:v>
                </c:pt>
                <c:pt idx="5">
                  <c:v>8.4699693117053915E-3</c:v>
                </c:pt>
                <c:pt idx="6">
                  <c:v>3.4605597964376591E-3</c:v>
                </c:pt>
                <c:pt idx="7">
                  <c:v>8.173237090505275E-4</c:v>
                </c:pt>
                <c:pt idx="8">
                  <c:v>3.0990343588591958E-4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8-F448-B7C0-7957AF65FD51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Results'!$AH$32:$AH$40</c:f>
              <c:numCache>
                <c:formatCode>0.0%</c:formatCode>
                <c:ptCount val="9"/>
                <c:pt idx="0">
                  <c:v>1.0387222796736754E-3</c:v>
                </c:pt>
                <c:pt idx="1">
                  <c:v>1.1895583214010354E-3</c:v>
                </c:pt>
                <c:pt idx="2">
                  <c:v>8.8849400266548197E-4</c:v>
                </c:pt>
                <c:pt idx="3">
                  <c:v>0</c:v>
                </c:pt>
                <c:pt idx="4">
                  <c:v>3.501477185687712E-4</c:v>
                </c:pt>
                <c:pt idx="5">
                  <c:v>7.3651907058307751E-4</c:v>
                </c:pt>
                <c:pt idx="6">
                  <c:v>3.0091824316849213E-4</c:v>
                </c:pt>
                <c:pt idx="7">
                  <c:v>7.1071626873958922E-5</c:v>
                </c:pt>
                <c:pt idx="8">
                  <c:v>2.6948124859645179E-5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8-F448-B7C0-7957AF65FD51}"/>
            </c:ext>
          </c:extLst>
        </c:ser>
        <c:ser>
          <c:idx val="3"/>
          <c:order val="3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Results'!$AL$32:$AL$40</c:f>
              <c:numCache>
                <c:formatCode>0.0%</c:formatCode>
                <c:ptCount val="9"/>
                <c:pt idx="0">
                  <c:v>1.3788348845225781E-2</c:v>
                </c:pt>
                <c:pt idx="1">
                  <c:v>2.4011455006057936E-2</c:v>
                </c:pt>
                <c:pt idx="2">
                  <c:v>2.0546423811639271E-2</c:v>
                </c:pt>
                <c:pt idx="3">
                  <c:v>2.434938009605719E-2</c:v>
                </c:pt>
                <c:pt idx="4">
                  <c:v>0</c:v>
                </c:pt>
                <c:pt idx="5">
                  <c:v>1.0960105217010083E-3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C8-F448-B7C0-7957AF65FD51}"/>
            </c:ext>
          </c:extLst>
        </c:ser>
        <c:ser>
          <c:idx val="4"/>
          <c:order val="4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Results'!$AM$32:$AM$40</c:f>
              <c:numCache>
                <c:formatCode>0.0%</c:formatCode>
                <c:ptCount val="9"/>
                <c:pt idx="0">
                  <c:v>3.1023784901758012E-3</c:v>
                </c:pt>
                <c:pt idx="1">
                  <c:v>5.2869258728934897E-3</c:v>
                </c:pt>
                <c:pt idx="2">
                  <c:v>2.2545535317636603E-2</c:v>
                </c:pt>
                <c:pt idx="3">
                  <c:v>7.1261029822405897E-2</c:v>
                </c:pt>
                <c:pt idx="4">
                  <c:v>6.3464273990589777E-3</c:v>
                </c:pt>
                <c:pt idx="5">
                  <c:v>2.3016220955721172E-3</c:v>
                </c:pt>
                <c:pt idx="6">
                  <c:v>3.4295829184644317E-3</c:v>
                </c:pt>
                <c:pt idx="7">
                  <c:v>1.4880621876735148E-2</c:v>
                </c:pt>
                <c:pt idx="8">
                  <c:v>5.6141926790927469E-4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C8-F448-B7C0-7957AF65FD51}"/>
            </c:ext>
          </c:extLst>
        </c:ser>
        <c:ser>
          <c:idx val="9"/>
          <c:order val="5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'Mineralogy Results'!$AN$32:$AN$40</c:f>
              <c:numCache>
                <c:formatCode>0.0%</c:formatCode>
                <c:ptCount val="9"/>
                <c:pt idx="0">
                  <c:v>1.6086406986096746E-3</c:v>
                </c:pt>
                <c:pt idx="1">
                  <c:v>1.6521643352792157E-3</c:v>
                </c:pt>
                <c:pt idx="2">
                  <c:v>0</c:v>
                </c:pt>
                <c:pt idx="3">
                  <c:v>4.4677761644141629E-4</c:v>
                </c:pt>
                <c:pt idx="4">
                  <c:v>1.531896268738374E-3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C8-F448-B7C0-7957AF65FD51}"/>
            </c:ext>
          </c:extLst>
        </c:ser>
        <c:ser>
          <c:idx val="7"/>
          <c:order val="6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Results'!$AR$32:$AR$40</c:f>
              <c:numCache>
                <c:formatCode>0.0%</c:formatCode>
                <c:ptCount val="9"/>
                <c:pt idx="0">
                  <c:v>1.8614270941054806E-2</c:v>
                </c:pt>
                <c:pt idx="1">
                  <c:v>2.6985350809560524E-2</c:v>
                </c:pt>
                <c:pt idx="2">
                  <c:v>2.754331408262994E-2</c:v>
                </c:pt>
                <c:pt idx="3">
                  <c:v>5.9979895007260135E-2</c:v>
                </c:pt>
                <c:pt idx="4">
                  <c:v>0</c:v>
                </c:pt>
                <c:pt idx="5">
                  <c:v>3.7264357737834281E-3</c:v>
                </c:pt>
                <c:pt idx="6">
                  <c:v>3.7614780396061512E-3</c:v>
                </c:pt>
                <c:pt idx="7">
                  <c:v>2.7762354247640201E-3</c:v>
                </c:pt>
                <c:pt idx="8">
                  <c:v>2.0211093644733886E-3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C8-F448-B7C0-7957AF65FD51}"/>
            </c:ext>
          </c:extLst>
        </c:ser>
        <c:ser>
          <c:idx val="8"/>
          <c:order val="7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Results'!$AT$32:$AT$40</c:f>
              <c:numCache>
                <c:formatCode>0.0%</c:formatCode>
                <c:ptCount val="9"/>
                <c:pt idx="0">
                  <c:v>2.2980581408709637E-4</c:v>
                </c:pt>
                <c:pt idx="1">
                  <c:v>1.1014428901861438E-3</c:v>
                </c:pt>
                <c:pt idx="2">
                  <c:v>1.7769880053309639E-3</c:v>
                </c:pt>
                <c:pt idx="3">
                  <c:v>2.2673964034401875E-2</c:v>
                </c:pt>
                <c:pt idx="4">
                  <c:v>0.20822847138636613</c:v>
                </c:pt>
                <c:pt idx="5">
                  <c:v>0.20363875493204731</c:v>
                </c:pt>
                <c:pt idx="6">
                  <c:v>0.20865139949109415</c:v>
                </c:pt>
                <c:pt idx="7">
                  <c:v>0.19655746807329261</c:v>
                </c:pt>
                <c:pt idx="8">
                  <c:v>0.22366943633505504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C8-F448-B7C0-7957AF65FD51}"/>
            </c:ext>
          </c:extLst>
        </c:ser>
        <c:ser>
          <c:idx val="6"/>
          <c:order val="8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Results'!$AQ$32:$AQ$40</c:f>
              <c:numCache>
                <c:formatCode>0.0%</c:formatCode>
                <c:ptCount val="9"/>
                <c:pt idx="0">
                  <c:v>0.15833620590600939</c:v>
                </c:pt>
                <c:pt idx="1">
                  <c:v>0.42042075118405109</c:v>
                </c:pt>
                <c:pt idx="2">
                  <c:v>0.47245668591737</c:v>
                </c:pt>
                <c:pt idx="3">
                  <c:v>0.62291969172344464</c:v>
                </c:pt>
                <c:pt idx="4">
                  <c:v>0.14542072436809278</c:v>
                </c:pt>
                <c:pt idx="5">
                  <c:v>0.16385357299430073</c:v>
                </c:pt>
                <c:pt idx="6">
                  <c:v>0.15831397278460008</c:v>
                </c:pt>
                <c:pt idx="7">
                  <c:v>0.17245974458634092</c:v>
                </c:pt>
                <c:pt idx="8">
                  <c:v>0.14406018414551988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C8-F448-B7C0-7957AF65FD51}"/>
            </c:ext>
          </c:extLst>
        </c:ser>
        <c:ser>
          <c:idx val="5"/>
          <c:order val="9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Results'!$D$32:$D$40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cat>
          <c:val>
            <c:numRef>
              <c:f>'Mineralogy Results'!$AP$32:$AP$40</c:f>
              <c:numCache>
                <c:formatCode>0.0%</c:formatCode>
                <c:ptCount val="9"/>
                <c:pt idx="0">
                  <c:v>9.5254509939101437E-2</c:v>
                </c:pt>
                <c:pt idx="1">
                  <c:v>0.28593457429232294</c:v>
                </c:pt>
                <c:pt idx="2">
                  <c:v>0.30142159040426475</c:v>
                </c:pt>
                <c:pt idx="3">
                  <c:v>1.4855355746677092E-2</c:v>
                </c:pt>
                <c:pt idx="4">
                  <c:v>0.26654995076047705</c:v>
                </c:pt>
                <c:pt idx="5">
                  <c:v>0.33768084173608059</c:v>
                </c:pt>
                <c:pt idx="6">
                  <c:v>0.29649297488660253</c:v>
                </c:pt>
                <c:pt idx="7">
                  <c:v>0.27018323153803442</c:v>
                </c:pt>
                <c:pt idx="8">
                  <c:v>0.25870199865259375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C8-F448-B7C0-7957AF65F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R1C3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Results'!$AF$41:$AF$51</c:f>
              <c:numCache>
                <c:formatCode>0.0%</c:formatCode>
                <c:ptCount val="11"/>
                <c:pt idx="0">
                  <c:v>0.78618902782471578</c:v>
                </c:pt>
                <c:pt idx="1">
                  <c:v>0.76854700854700864</c:v>
                </c:pt>
                <c:pt idx="2">
                  <c:v>0.48555043292477235</c:v>
                </c:pt>
                <c:pt idx="3">
                  <c:v>0.24071802876574869</c:v>
                </c:pt>
                <c:pt idx="4">
                  <c:v>0.22352291551628933</c:v>
                </c:pt>
                <c:pt idx="5">
                  <c:v>0.1982835488185466</c:v>
                </c:pt>
                <c:pt idx="6">
                  <c:v>0.20998531571218793</c:v>
                </c:pt>
                <c:pt idx="7">
                  <c:v>0.21730960539405331</c:v>
                </c:pt>
                <c:pt idx="8">
                  <c:v>0.29248967749135135</c:v>
                </c:pt>
                <c:pt idx="9">
                  <c:v>0.25644763399865439</c:v>
                </c:pt>
                <c:pt idx="10">
                  <c:v>0.25105287786616748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3-B640-9D5C-0CE6A4689BE5}"/>
            </c:ext>
          </c:extLst>
        </c:ser>
        <c:ser>
          <c:idx val="1"/>
          <c:order val="1"/>
          <c:tx>
            <c:v>Orthoclase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Results'!$AG$41:$AG$51</c:f>
              <c:numCache>
                <c:formatCode>0.0%</c:formatCode>
                <c:ptCount val="11"/>
                <c:pt idx="0">
                  <c:v>2.0002253013405434E-2</c:v>
                </c:pt>
                <c:pt idx="1">
                  <c:v>2.9670655270655277E-2</c:v>
                </c:pt>
                <c:pt idx="2">
                  <c:v>2.2242212976498373E-2</c:v>
                </c:pt>
                <c:pt idx="3">
                  <c:v>1.6206934998327576E-2</c:v>
                </c:pt>
                <c:pt idx="4">
                  <c:v>5.9944781888459408E-3</c:v>
                </c:pt>
                <c:pt idx="5">
                  <c:v>4.2041908158716003E-3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3-B640-9D5C-0CE6A4689BE5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Results'!$AH$41:$AH$51</c:f>
              <c:numCache>
                <c:formatCode>0.0%</c:formatCode>
                <c:ptCount val="11"/>
                <c:pt idx="0">
                  <c:v>1.7393263489917769E-3</c:v>
                </c:pt>
                <c:pt idx="1">
                  <c:v>2.5800569800569807E-3</c:v>
                </c:pt>
                <c:pt idx="2">
                  <c:v>1.9341054762172494E-3</c:v>
                </c:pt>
                <c:pt idx="3">
                  <c:v>1.4092986955067455E-3</c:v>
                </c:pt>
                <c:pt idx="4">
                  <c:v>5.212589729431254E-4</c:v>
                </c:pt>
                <c:pt idx="5">
                  <c:v>3.655818100757913E-4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9.4864319354115281E-2</c:v>
                </c:pt>
                <c:pt idx="10">
                  <c:v>0.27445016378100134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3-B640-9D5C-0CE6A4689BE5}"/>
            </c:ext>
          </c:extLst>
        </c:ser>
        <c:ser>
          <c:idx val="3"/>
          <c:order val="3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Results'!$AL$41:$AL$51</c:f>
              <c:numCache>
                <c:formatCode>0.0%</c:formatCode>
                <c:ptCount val="11"/>
                <c:pt idx="0">
                  <c:v>8.3361496000901227E-3</c:v>
                </c:pt>
                <c:pt idx="1">
                  <c:v>9.3447293447293453E-3</c:v>
                </c:pt>
                <c:pt idx="2">
                  <c:v>1.1694591251546161E-2</c:v>
                </c:pt>
                <c:pt idx="3">
                  <c:v>1.5386330694614784E-2</c:v>
                </c:pt>
                <c:pt idx="4">
                  <c:v>1.6344561016013254E-2</c:v>
                </c:pt>
                <c:pt idx="5">
                  <c:v>1.4489522960320999E-2</c:v>
                </c:pt>
                <c:pt idx="6">
                  <c:v>1.3554727211114873E-3</c:v>
                </c:pt>
                <c:pt idx="7">
                  <c:v>9.9480490770421145E-4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43-B640-9D5C-0CE6A4689BE5}"/>
            </c:ext>
          </c:extLst>
        </c:ser>
        <c:ser>
          <c:idx val="4"/>
          <c:order val="4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Results'!$AM$41:$AM$51</c:f>
              <c:numCache>
                <c:formatCode>0.0%</c:formatCode>
                <c:ptCount val="11"/>
                <c:pt idx="0">
                  <c:v>3.6048214486876207E-3</c:v>
                </c:pt>
                <c:pt idx="1">
                  <c:v>3.0769230769230778E-3</c:v>
                </c:pt>
                <c:pt idx="2">
                  <c:v>3.9356797481164959E-3</c:v>
                </c:pt>
                <c:pt idx="3">
                  <c:v>2.1518563942468504E-2</c:v>
                </c:pt>
                <c:pt idx="4">
                  <c:v>1.7669795692987302E-2</c:v>
                </c:pt>
                <c:pt idx="5">
                  <c:v>5.9072670530539453E-2</c:v>
                </c:pt>
                <c:pt idx="6">
                  <c:v>5.1282051282051273E-2</c:v>
                </c:pt>
                <c:pt idx="7">
                  <c:v>4.5761025754393725E-2</c:v>
                </c:pt>
                <c:pt idx="8">
                  <c:v>4.4526280549045859E-2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43-B640-9D5C-0CE6A4689BE5}"/>
            </c:ext>
          </c:extLst>
        </c:ser>
        <c:ser>
          <c:idx val="9"/>
          <c:order val="5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Results'!$AN$41:$AN$51</c:f>
              <c:numCache>
                <c:formatCode>0.0%</c:formatCode>
                <c:ptCount val="11"/>
                <c:pt idx="0">
                  <c:v>2.478314745972739E-3</c:v>
                </c:pt>
                <c:pt idx="1">
                  <c:v>1.5954415954415959E-3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43-B640-9D5C-0CE6A4689BE5}"/>
            </c:ext>
          </c:extLst>
        </c:ser>
        <c:ser>
          <c:idx val="7"/>
          <c:order val="6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Results'!$AR$41:$AR$51</c:f>
              <c:numCache>
                <c:formatCode>0.0%</c:formatCode>
                <c:ptCount val="11"/>
                <c:pt idx="0">
                  <c:v>1.6221696519094293E-2</c:v>
                </c:pt>
                <c:pt idx="1">
                  <c:v>1.458689458689459E-2</c:v>
                </c:pt>
                <c:pt idx="2">
                  <c:v>3.868210952434499E-2</c:v>
                </c:pt>
                <c:pt idx="3">
                  <c:v>3.5901438287434501E-2</c:v>
                </c:pt>
                <c:pt idx="4">
                  <c:v>4.5831032578685815E-2</c:v>
                </c:pt>
                <c:pt idx="5">
                  <c:v>3.9901917075345524E-2</c:v>
                </c:pt>
                <c:pt idx="6">
                  <c:v>4.021235739297413E-2</c:v>
                </c:pt>
                <c:pt idx="7">
                  <c:v>4.9077042113407771E-2</c:v>
                </c:pt>
                <c:pt idx="8">
                  <c:v>1.1829036937841757E-2</c:v>
                </c:pt>
                <c:pt idx="9">
                  <c:v>0</c:v>
                </c:pt>
                <c:pt idx="10">
                  <c:v>4.679457182966775E-4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43-B640-9D5C-0CE6A4689BE5}"/>
            </c:ext>
          </c:extLst>
        </c:ser>
        <c:ser>
          <c:idx val="8"/>
          <c:order val="7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Results'!$AT$41:$AT$51</c:f>
              <c:numCache>
                <c:formatCode>0.0%</c:formatCode>
                <c:ptCount val="11"/>
                <c:pt idx="0">
                  <c:v>2.2530134054297629E-4</c:v>
                </c:pt>
                <c:pt idx="1">
                  <c:v>2.2792022792022797E-4</c:v>
                </c:pt>
                <c:pt idx="2">
                  <c:v>3.0360958056898689E-3</c:v>
                </c:pt>
                <c:pt idx="3">
                  <c:v>1.6724272494146504E-3</c:v>
                </c:pt>
                <c:pt idx="4">
                  <c:v>1.2147984538928768E-3</c:v>
                </c:pt>
                <c:pt idx="5">
                  <c:v>8.9166295140436923E-4</c:v>
                </c:pt>
                <c:pt idx="6">
                  <c:v>6.382017395233254E-2</c:v>
                </c:pt>
                <c:pt idx="7">
                  <c:v>0.13042997678788551</c:v>
                </c:pt>
                <c:pt idx="8">
                  <c:v>0.14607744671353642</c:v>
                </c:pt>
                <c:pt idx="9">
                  <c:v>0.15037003812514016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43-B640-9D5C-0CE6A4689BE5}"/>
            </c:ext>
          </c:extLst>
        </c:ser>
        <c:ser>
          <c:idx val="10"/>
          <c:order val="8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Results'!$AU$41:$AU$51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9.9654056466912153E-2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43-B640-9D5C-0CE6A4689BE5}"/>
            </c:ext>
          </c:extLst>
        </c:ser>
        <c:ser>
          <c:idx val="6"/>
          <c:order val="9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Results'!$AQ$41:$AQ$51</c:f>
              <c:numCache>
                <c:formatCode>0.0%</c:formatCode>
                <c:ptCount val="11"/>
                <c:pt idx="0">
                  <c:v>0.1053283767038414</c:v>
                </c:pt>
                <c:pt idx="1">
                  <c:v>0.10723646723646725</c:v>
                </c:pt>
                <c:pt idx="2">
                  <c:v>0.27729675025300798</c:v>
                </c:pt>
                <c:pt idx="3">
                  <c:v>0.41264355000557473</c:v>
                </c:pt>
                <c:pt idx="4">
                  <c:v>0.44108227498619546</c:v>
                </c:pt>
                <c:pt idx="5">
                  <c:v>0.4809407044137316</c:v>
                </c:pt>
                <c:pt idx="6">
                  <c:v>0.41613012538122668</c:v>
                </c:pt>
                <c:pt idx="7">
                  <c:v>0.34740798054603744</c:v>
                </c:pt>
                <c:pt idx="8">
                  <c:v>0.36536100881598033</c:v>
                </c:pt>
                <c:pt idx="9">
                  <c:v>0.25925095312850416</c:v>
                </c:pt>
                <c:pt idx="10">
                  <c:v>0.13851193261581654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43-B640-9D5C-0CE6A4689BE5}"/>
            </c:ext>
          </c:extLst>
        </c:ser>
        <c:ser>
          <c:idx val="5"/>
          <c:order val="10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Results'!$AP$41:$AP$51</c:f>
              <c:numCache>
                <c:formatCode>0.0%</c:formatCode>
                <c:ptCount val="11"/>
                <c:pt idx="0">
                  <c:v>5.576208178438663E-2</c:v>
                </c:pt>
                <c:pt idx="1">
                  <c:v>6.3133903133903144E-2</c:v>
                </c:pt>
                <c:pt idx="2">
                  <c:v>0.15562802203980661</c:v>
                </c:pt>
                <c:pt idx="3">
                  <c:v>0.25454342736090979</c:v>
                </c:pt>
                <c:pt idx="4">
                  <c:v>0.24781888459414692</c:v>
                </c:pt>
                <c:pt idx="5">
                  <c:v>0.20185020062416406</c:v>
                </c:pt>
                <c:pt idx="6">
                  <c:v>0.21721450355811586</c:v>
                </c:pt>
                <c:pt idx="7">
                  <c:v>0.20901956449651821</c:v>
                </c:pt>
                <c:pt idx="8">
                  <c:v>4.0062493025331984E-2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43-B640-9D5C-0CE6A4689BE5}"/>
            </c:ext>
          </c:extLst>
        </c:ser>
        <c:ser>
          <c:idx val="11"/>
          <c:order val="11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Results'!$D$41:$D$51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cat>
          <c:val>
            <c:numRef>
              <c:f>'Mineralogy Results'!$AV$41:$AV$51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0.19197129401211033</c:v>
                </c:pt>
                <c:pt idx="10">
                  <c:v>0.24356574637342063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3-B640-9D5C-0CE6A468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R2H1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Results'!$AF$52:$AF$65</c:f>
              <c:numCache>
                <c:formatCode>0.0%</c:formatCode>
                <c:ptCount val="14"/>
                <c:pt idx="0">
                  <c:v>0.58698583951449768</c:v>
                </c:pt>
                <c:pt idx="1">
                  <c:v>0.53893695920889984</c:v>
                </c:pt>
                <c:pt idx="2">
                  <c:v>0.48547810545129577</c:v>
                </c:pt>
                <c:pt idx="3">
                  <c:v>0.44939543215405275</c:v>
                </c:pt>
                <c:pt idx="4">
                  <c:v>0.38306041784302652</c:v>
                </c:pt>
                <c:pt idx="5">
                  <c:v>0.41397789438428045</c:v>
                </c:pt>
                <c:pt idx="6">
                  <c:v>0.48495166959578201</c:v>
                </c:pt>
                <c:pt idx="7">
                  <c:v>0.43793677204658893</c:v>
                </c:pt>
                <c:pt idx="8">
                  <c:v>0.4826388888888889</c:v>
                </c:pt>
                <c:pt idx="9">
                  <c:v>0.42393124232615242</c:v>
                </c:pt>
                <c:pt idx="10">
                  <c:v>0.43962498588049248</c:v>
                </c:pt>
                <c:pt idx="11">
                  <c:v>0.4263069139966274</c:v>
                </c:pt>
                <c:pt idx="12">
                  <c:v>0.43040922701563716</c:v>
                </c:pt>
                <c:pt idx="13">
                  <c:v>0.43205342237061767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5-5848-96F4-7739D6DA9582}"/>
            </c:ext>
          </c:extLst>
        </c:ser>
        <c:ser>
          <c:idx val="1"/>
          <c:order val="1"/>
          <c:tx>
            <c:v>Orthoclase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Results'!$AG$52:$AG$65</c:f>
              <c:numCache>
                <c:formatCode>0.0%</c:formatCode>
                <c:ptCount val="14"/>
                <c:pt idx="0">
                  <c:v>0.24845583277140934</c:v>
                </c:pt>
                <c:pt idx="1">
                  <c:v>0.28233734127430044</c:v>
                </c:pt>
                <c:pt idx="2">
                  <c:v>0.33390080428954422</c:v>
                </c:pt>
                <c:pt idx="3">
                  <c:v>0.32651141961486785</c:v>
                </c:pt>
                <c:pt idx="4">
                  <c:v>0.28228571428571425</c:v>
                </c:pt>
                <c:pt idx="5">
                  <c:v>0.33330356146031043</c:v>
                </c:pt>
                <c:pt idx="6">
                  <c:v>0.3125615114235501</c:v>
                </c:pt>
                <c:pt idx="7">
                  <c:v>0.34718136439267888</c:v>
                </c:pt>
                <c:pt idx="8">
                  <c:v>0.19124074074074077</c:v>
                </c:pt>
                <c:pt idx="9">
                  <c:v>0.16697399263310639</c:v>
                </c:pt>
                <c:pt idx="10">
                  <c:v>9.5398170111826511E-2</c:v>
                </c:pt>
                <c:pt idx="11">
                  <c:v>0.10187745924676786</c:v>
                </c:pt>
                <c:pt idx="12">
                  <c:v>0.21558833314849726</c:v>
                </c:pt>
                <c:pt idx="13">
                  <c:v>0.17693489148580968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5-5848-96F4-7739D6DA9582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Results'!$AH$52:$AH$65</c:f>
              <c:numCache>
                <c:formatCode>0.0%</c:formatCode>
                <c:ptCount val="14"/>
                <c:pt idx="0">
                  <c:v>2.1604855023600811E-2</c:v>
                </c:pt>
                <c:pt idx="1">
                  <c:v>2.4551073154286996E-2</c:v>
                </c:pt>
                <c:pt idx="2">
                  <c:v>2.903485254691689E-2</c:v>
                </c:pt>
                <c:pt idx="3">
                  <c:v>2.8392297357814594E-2</c:v>
                </c:pt>
                <c:pt idx="4">
                  <c:v>2.4546583850931673E-2</c:v>
                </c:pt>
                <c:pt idx="5">
                  <c:v>2.8982918387853079E-2</c:v>
                </c:pt>
                <c:pt idx="6">
                  <c:v>2.71792618629174E-2</c:v>
                </c:pt>
                <c:pt idx="7">
                  <c:v>3.0189683860232949E-2</c:v>
                </c:pt>
                <c:pt idx="8">
                  <c:v>1.662962962962963E-2</c:v>
                </c:pt>
                <c:pt idx="9">
                  <c:v>1.4519477620270121E-2</c:v>
                </c:pt>
                <c:pt idx="10">
                  <c:v>8.2954930532023029E-3</c:v>
                </c:pt>
                <c:pt idx="11">
                  <c:v>8.8589094997189449E-3</c:v>
                </c:pt>
                <c:pt idx="12">
                  <c:v>1.8746811578130199E-2</c:v>
                </c:pt>
                <c:pt idx="13">
                  <c:v>2.9075125208681132E-2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35-5848-96F4-7739D6DA9582}"/>
            </c:ext>
          </c:extLst>
        </c:ser>
        <c:ser>
          <c:idx val="3"/>
          <c:order val="3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Results'!$AL$52:$AL$65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35-5848-96F4-7739D6DA9582}"/>
            </c:ext>
          </c:extLst>
        </c:ser>
        <c:ser>
          <c:idx val="4"/>
          <c:order val="4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Results'!$AM$52:$AM$65</c:f>
              <c:numCache>
                <c:formatCode>0.0%</c:formatCode>
                <c:ptCount val="14"/>
                <c:pt idx="0">
                  <c:v>0</c:v>
                </c:pt>
                <c:pt idx="1">
                  <c:v>6.7423305989437006E-4</c:v>
                </c:pt>
                <c:pt idx="2">
                  <c:v>1.3404825737265414E-3</c:v>
                </c:pt>
                <c:pt idx="3">
                  <c:v>1.3434841021047915E-3</c:v>
                </c:pt>
                <c:pt idx="4">
                  <c:v>1.9198193111236589E-3</c:v>
                </c:pt>
                <c:pt idx="5">
                  <c:v>2.5678240482304346E-3</c:v>
                </c:pt>
                <c:pt idx="6">
                  <c:v>1.7574692442882249E-3</c:v>
                </c:pt>
                <c:pt idx="7">
                  <c:v>1.8857459789240155E-3</c:v>
                </c:pt>
                <c:pt idx="8">
                  <c:v>3.0092592592592593E-3</c:v>
                </c:pt>
                <c:pt idx="9">
                  <c:v>2.3440116084384416E-3</c:v>
                </c:pt>
                <c:pt idx="10">
                  <c:v>2.823901502315599E-3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35-5848-96F4-7739D6DA9582}"/>
            </c:ext>
          </c:extLst>
        </c:ser>
        <c:ser>
          <c:idx val="9"/>
          <c:order val="5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Results'!$AN$52:$AN$65</c:f>
              <c:numCache>
                <c:formatCode>0.0%</c:formatCode>
                <c:ptCount val="14"/>
                <c:pt idx="0">
                  <c:v>0</c:v>
                </c:pt>
                <c:pt idx="1">
                  <c:v>2.2474435329812338E-3</c:v>
                </c:pt>
                <c:pt idx="2">
                  <c:v>2.0107238605898119E-3</c:v>
                </c:pt>
                <c:pt idx="3">
                  <c:v>3.2467532467532457E-3</c:v>
                </c:pt>
                <c:pt idx="4">
                  <c:v>7.0016939582156967E-3</c:v>
                </c:pt>
                <c:pt idx="5">
                  <c:v>4.2424919057720226E-3</c:v>
                </c:pt>
                <c:pt idx="6">
                  <c:v>2.5263620386643234E-3</c:v>
                </c:pt>
                <c:pt idx="7">
                  <c:v>2.9950083194675539E-3</c:v>
                </c:pt>
                <c:pt idx="8">
                  <c:v>3.2407407407407406E-3</c:v>
                </c:pt>
                <c:pt idx="9">
                  <c:v>8.9295680321464452E-4</c:v>
                </c:pt>
                <c:pt idx="10">
                  <c:v>1.2425166610188637E-3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35-5848-96F4-7739D6DA9582}"/>
            </c:ext>
          </c:extLst>
        </c:ser>
        <c:ser>
          <c:idx val="7"/>
          <c:order val="6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Results'!$AR$52:$AR$65</c:f>
              <c:numCache>
                <c:formatCode>0.0%</c:formatCode>
                <c:ptCount val="14"/>
                <c:pt idx="0">
                  <c:v>1.1688019779725783E-2</c:v>
                </c:pt>
                <c:pt idx="1">
                  <c:v>1.0450612428362737E-2</c:v>
                </c:pt>
                <c:pt idx="2">
                  <c:v>7.7077747989276121E-3</c:v>
                </c:pt>
                <c:pt idx="3">
                  <c:v>7.7250335871025498E-3</c:v>
                </c:pt>
                <c:pt idx="4">
                  <c:v>6.7758328627893832E-4</c:v>
                </c:pt>
                <c:pt idx="5">
                  <c:v>3.3493357150831754E-4</c:v>
                </c:pt>
                <c:pt idx="6">
                  <c:v>3.2952548330404213E-4</c:v>
                </c:pt>
                <c:pt idx="7">
                  <c:v>4.4370493621741539E-4</c:v>
                </c:pt>
                <c:pt idx="8">
                  <c:v>2.3148148148148146E-4</c:v>
                </c:pt>
                <c:pt idx="9">
                  <c:v>1.1161960040183056E-4</c:v>
                </c:pt>
                <c:pt idx="10">
                  <c:v>1.1295606009262397E-4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35-5848-96F4-7739D6DA9582}"/>
            </c:ext>
          </c:extLst>
        </c:ser>
        <c:ser>
          <c:idx val="8"/>
          <c:order val="7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Results'!$AT$52:$AT$65</c:f>
              <c:numCache>
                <c:formatCode>0.0%</c:formatCode>
                <c:ptCount val="14"/>
                <c:pt idx="0">
                  <c:v>7.9793211957743318E-3</c:v>
                </c:pt>
                <c:pt idx="1">
                  <c:v>1.0225868075064613E-2</c:v>
                </c:pt>
                <c:pt idx="2">
                  <c:v>1.1282394995531724E-2</c:v>
                </c:pt>
                <c:pt idx="3">
                  <c:v>1.1867442901925658E-2</c:v>
                </c:pt>
                <c:pt idx="4">
                  <c:v>1.4455110107284019E-2</c:v>
                </c:pt>
                <c:pt idx="5">
                  <c:v>1.7528190242268617E-2</c:v>
                </c:pt>
                <c:pt idx="6">
                  <c:v>2.9876977152899824E-2</c:v>
                </c:pt>
                <c:pt idx="7">
                  <c:v>2.1630615640599E-2</c:v>
                </c:pt>
                <c:pt idx="8">
                  <c:v>3.020833333333333E-2</c:v>
                </c:pt>
                <c:pt idx="9">
                  <c:v>8.2375265096550951E-2</c:v>
                </c:pt>
                <c:pt idx="10">
                  <c:v>9.1607364735118033E-2</c:v>
                </c:pt>
                <c:pt idx="11">
                  <c:v>0.14682405845980889</c:v>
                </c:pt>
                <c:pt idx="12">
                  <c:v>5.8112454253077518E-2</c:v>
                </c:pt>
                <c:pt idx="13">
                  <c:v>4.5520311630495261E-2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35-5848-96F4-7739D6DA9582}"/>
            </c:ext>
          </c:extLst>
        </c:ser>
        <c:ser>
          <c:idx val="10"/>
          <c:order val="8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Results'!$AU$52:$AU$65</c:f>
              <c:numCache>
                <c:formatCode>0.0%</c:formatCode>
                <c:ptCount val="14"/>
                <c:pt idx="0">
                  <c:v>2.6859968532254443E-2</c:v>
                </c:pt>
                <c:pt idx="1">
                  <c:v>3.5397235644454426E-2</c:v>
                </c:pt>
                <c:pt idx="2">
                  <c:v>3.8650580875781944E-2</c:v>
                </c:pt>
                <c:pt idx="3">
                  <c:v>4.66860725481415E-2</c:v>
                </c:pt>
                <c:pt idx="4">
                  <c:v>2.2924901185770747E-2</c:v>
                </c:pt>
                <c:pt idx="5">
                  <c:v>1.6188455956235349E-2</c:v>
                </c:pt>
                <c:pt idx="6">
                  <c:v>2.054042179261863E-2</c:v>
                </c:pt>
                <c:pt idx="7">
                  <c:v>2.9950083194675542E-2</c:v>
                </c:pt>
                <c:pt idx="8">
                  <c:v>1.5162037037037036E-2</c:v>
                </c:pt>
                <c:pt idx="9">
                  <c:v>5.6591137403728092E-2</c:v>
                </c:pt>
                <c:pt idx="10">
                  <c:v>5.3202304303625887E-2</c:v>
                </c:pt>
                <c:pt idx="11">
                  <c:v>5.2951096121416533E-2</c:v>
                </c:pt>
                <c:pt idx="12">
                  <c:v>9.4044582455362097E-2</c:v>
                </c:pt>
                <c:pt idx="13">
                  <c:v>9.0929326655536991E-2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35-5848-96F4-7739D6DA9582}"/>
            </c:ext>
          </c:extLst>
        </c:ser>
        <c:ser>
          <c:idx val="6"/>
          <c:order val="9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Results'!$AP$52:$AP$65</c:f>
              <c:numCache>
                <c:formatCode>0.0%</c:formatCode>
                <c:ptCount val="14"/>
                <c:pt idx="0">
                  <c:v>9.6426163182737709E-2</c:v>
                </c:pt>
                <c:pt idx="1">
                  <c:v>9.5179233621755246E-2</c:v>
                </c:pt>
                <c:pt idx="2">
                  <c:v>9.0594280607685415E-2</c:v>
                </c:pt>
                <c:pt idx="3">
                  <c:v>0.12483206448723687</c:v>
                </c:pt>
                <c:pt idx="4">
                  <c:v>0.2631281761716544</c:v>
                </c:pt>
                <c:pt idx="5">
                  <c:v>0.18287373004354138</c:v>
                </c:pt>
                <c:pt idx="6">
                  <c:v>0.12027680140597538</c:v>
                </c:pt>
                <c:pt idx="7">
                  <c:v>0.12778702163061562</c:v>
                </c:pt>
                <c:pt idx="8">
                  <c:v>0.25763888888888892</c:v>
                </c:pt>
                <c:pt idx="9">
                  <c:v>0.25226029690813706</c:v>
                </c:pt>
                <c:pt idx="10">
                  <c:v>0.30769230769230765</c:v>
                </c:pt>
                <c:pt idx="11">
                  <c:v>0.26318156267566051</c:v>
                </c:pt>
                <c:pt idx="12">
                  <c:v>0.18309859154929578</c:v>
                </c:pt>
                <c:pt idx="13">
                  <c:v>0.22548692264885919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35-5848-96F4-7739D6DA9582}"/>
            </c:ext>
          </c:extLst>
        </c:ser>
        <c:ser>
          <c:idx val="5"/>
          <c:order val="10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Results'!$AQ$52:$AQ$65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35-5848-96F4-7739D6DA9582}"/>
            </c:ext>
          </c:extLst>
        </c:ser>
        <c:ser>
          <c:idx val="11"/>
          <c:order val="11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Results'!$D$52:$D$65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Results'!$AV$52:$AV$65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35-5848-96F4-7739D6DA9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R2P1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Results'!$AF$66:$AF$78</c:f>
              <c:numCache>
                <c:formatCode>0.0%</c:formatCode>
                <c:ptCount val="13"/>
                <c:pt idx="0">
                  <c:v>0.57615528840851427</c:v>
                </c:pt>
                <c:pt idx="1">
                  <c:v>0.33352055717816226</c:v>
                </c:pt>
                <c:pt idx="2">
                  <c:v>0.36799359414321664</c:v>
                </c:pt>
                <c:pt idx="3">
                  <c:v>0.40262863534675614</c:v>
                </c:pt>
                <c:pt idx="4">
                  <c:v>0.442697512493683</c:v>
                </c:pt>
                <c:pt idx="5">
                  <c:v>0.39959487572539143</c:v>
                </c:pt>
                <c:pt idx="6">
                  <c:v>0.35852872055528218</c:v>
                </c:pt>
                <c:pt idx="7">
                  <c:v>0.34840132304299898</c:v>
                </c:pt>
                <c:pt idx="8">
                  <c:v>0.42702762923351156</c:v>
                </c:pt>
                <c:pt idx="9">
                  <c:v>0.24545555927288951</c:v>
                </c:pt>
                <c:pt idx="10">
                  <c:v>0.3693005754758743</c:v>
                </c:pt>
                <c:pt idx="11">
                  <c:v>0.41112966054535333</c:v>
                </c:pt>
                <c:pt idx="12">
                  <c:v>0.38893193137797455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7-B843-9D80-98105B5933D2}"/>
            </c:ext>
          </c:extLst>
        </c:ser>
        <c:ser>
          <c:idx val="1"/>
          <c:order val="1"/>
          <c:tx>
            <c:v>Orthoclase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Results'!$AG$66:$AG$78</c:f>
              <c:numCache>
                <c:formatCode>0.0%</c:formatCode>
                <c:ptCount val="13"/>
                <c:pt idx="0">
                  <c:v>0.16072350281239658</c:v>
                </c:pt>
                <c:pt idx="1">
                  <c:v>3.2554482138845209E-2</c:v>
                </c:pt>
                <c:pt idx="2">
                  <c:v>9.3347060169297655E-2</c:v>
                </c:pt>
                <c:pt idx="3">
                  <c:v>7.0543624161073806E-2</c:v>
                </c:pt>
                <c:pt idx="4">
                  <c:v>0.21893200067381663</c:v>
                </c:pt>
                <c:pt idx="5">
                  <c:v>0.33796123946129414</c:v>
                </c:pt>
                <c:pt idx="6">
                  <c:v>0.27961523747062356</c:v>
                </c:pt>
                <c:pt idx="7">
                  <c:v>3.0734288864388094E-2</c:v>
                </c:pt>
                <c:pt idx="8">
                  <c:v>8.8966131907308371E-2</c:v>
                </c:pt>
                <c:pt idx="9">
                  <c:v>6.2995427679268426E-2</c:v>
                </c:pt>
                <c:pt idx="10">
                  <c:v>7.6972111553784875E-2</c:v>
                </c:pt>
                <c:pt idx="11">
                  <c:v>0.13915191986644407</c:v>
                </c:pt>
                <c:pt idx="12">
                  <c:v>0.24020807969009408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7-B843-9D80-98105B5933D2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Results'!$AH$66:$AH$78</c:f>
              <c:numCache>
                <c:formatCode>0.0%</c:formatCode>
                <c:ptCount val="13"/>
                <c:pt idx="0">
                  <c:v>1.3975956766295355E-2</c:v>
                </c:pt>
                <c:pt idx="1">
                  <c:v>2.8308245338126265E-3</c:v>
                </c:pt>
                <c:pt idx="2">
                  <c:v>8.1171356668954479E-3</c:v>
                </c:pt>
                <c:pt idx="3">
                  <c:v>6.1342281879194615E-3</c:v>
                </c:pt>
                <c:pt idx="4">
                  <c:v>1.9037565275984054E-2</c:v>
                </c:pt>
                <c:pt idx="5">
                  <c:v>2.9387933866199489E-2</c:v>
                </c:pt>
                <c:pt idx="6">
                  <c:v>2.4314368475706397E-2</c:v>
                </c:pt>
                <c:pt idx="7">
                  <c:v>2.6725468577728775E-3</c:v>
                </c:pt>
                <c:pt idx="8">
                  <c:v>7.7361853832442068E-3</c:v>
                </c:pt>
                <c:pt idx="9">
                  <c:v>5.4778632764581241E-3</c:v>
                </c:pt>
                <c:pt idx="10">
                  <c:v>6.6932270916334677E-3</c:v>
                </c:pt>
                <c:pt idx="11">
                  <c:v>1.2100166944908178E-2</c:v>
                </c:pt>
                <c:pt idx="12">
                  <c:v>5.2874377421140019E-2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57-B843-9D80-98105B5933D2}"/>
            </c:ext>
          </c:extLst>
        </c:ser>
        <c:ser>
          <c:idx val="3"/>
          <c:order val="3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Results'!$AL$66:$AL$78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57-B843-9D80-98105B5933D2}"/>
            </c:ext>
          </c:extLst>
        </c:ser>
        <c:ser>
          <c:idx val="4"/>
          <c:order val="4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Results'!$AM$66:$AM$78</c:f>
              <c:numCache>
                <c:formatCode>0.0%</c:formatCode>
                <c:ptCount val="13"/>
                <c:pt idx="0">
                  <c:v>1.8969890812837759E-2</c:v>
                </c:pt>
                <c:pt idx="1">
                  <c:v>4.4821388452033255E-2</c:v>
                </c:pt>
                <c:pt idx="2">
                  <c:v>3.5003431708991076E-2</c:v>
                </c:pt>
                <c:pt idx="3">
                  <c:v>2.829977628635346E-2</c:v>
                </c:pt>
                <c:pt idx="4">
                  <c:v>9.8264922230332976E-3</c:v>
                </c:pt>
                <c:pt idx="5">
                  <c:v>2.2446074674258181E-3</c:v>
                </c:pt>
                <c:pt idx="6">
                  <c:v>1.9675356615838657E-3</c:v>
                </c:pt>
                <c:pt idx="7">
                  <c:v>1.6538037486218305E-3</c:v>
                </c:pt>
                <c:pt idx="8">
                  <c:v>0</c:v>
                </c:pt>
                <c:pt idx="9">
                  <c:v>6.8027210884353739E-3</c:v>
                </c:pt>
                <c:pt idx="10">
                  <c:v>2.4347056219566183E-3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57-B843-9D80-98105B5933D2}"/>
            </c:ext>
          </c:extLst>
        </c:ser>
        <c:ser>
          <c:idx val="9"/>
          <c:order val="5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Results'!$AN$66:$AN$78</c:f>
              <c:numCache>
                <c:formatCode>0.0%</c:formatCode>
                <c:ptCount val="13"/>
                <c:pt idx="0">
                  <c:v>3.639572074556082E-3</c:v>
                </c:pt>
                <c:pt idx="1">
                  <c:v>2.5050550438103798E-2</c:v>
                </c:pt>
                <c:pt idx="2">
                  <c:v>2.2992450240219627E-2</c:v>
                </c:pt>
                <c:pt idx="3">
                  <c:v>1.9127516778523486E-2</c:v>
                </c:pt>
                <c:pt idx="4">
                  <c:v>3.1444775113706556E-3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57-B843-9D80-98105B5933D2}"/>
            </c:ext>
          </c:extLst>
        </c:ser>
        <c:ser>
          <c:idx val="7"/>
          <c:order val="6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Results'!$AQ$66:$AQ$78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0.16416758544652704</c:v>
                </c:pt>
                <c:pt idx="8">
                  <c:v>0.16499554367201424</c:v>
                </c:pt>
                <c:pt idx="9">
                  <c:v>0.15646258503401358</c:v>
                </c:pt>
                <c:pt idx="10">
                  <c:v>0.16190792386011513</c:v>
                </c:pt>
                <c:pt idx="11">
                  <c:v>0.17006121313299943</c:v>
                </c:pt>
                <c:pt idx="12">
                  <c:v>0.18262313226342006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7-B843-9D80-98105B5933D2}"/>
            </c:ext>
          </c:extLst>
        </c:ser>
        <c:ser>
          <c:idx val="8"/>
          <c:order val="7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Results'!$AT$66:$AT$78</c:f>
              <c:numCache>
                <c:formatCode>0.0%</c:formatCode>
                <c:ptCount val="13"/>
                <c:pt idx="0">
                  <c:v>1.7756700121319066E-2</c:v>
                </c:pt>
                <c:pt idx="1">
                  <c:v>6.290721186250281E-2</c:v>
                </c:pt>
                <c:pt idx="2">
                  <c:v>5.8281857698467165E-2</c:v>
                </c:pt>
                <c:pt idx="3">
                  <c:v>6.0626398210290811E-2</c:v>
                </c:pt>
                <c:pt idx="4">
                  <c:v>2.5661182548149811E-2</c:v>
                </c:pt>
                <c:pt idx="5">
                  <c:v>4.735574291032519E-2</c:v>
                </c:pt>
                <c:pt idx="6">
                  <c:v>0.13368311745094824</c:v>
                </c:pt>
                <c:pt idx="7">
                  <c:v>0.19371554575523708</c:v>
                </c:pt>
                <c:pt idx="8">
                  <c:v>0.15819964349376112</c:v>
                </c:pt>
                <c:pt idx="9">
                  <c:v>0.17330210772833723</c:v>
                </c:pt>
                <c:pt idx="10">
                  <c:v>0.15006640106241703</c:v>
                </c:pt>
                <c:pt idx="11">
                  <c:v>0.17072899276572062</c:v>
                </c:pt>
                <c:pt idx="12">
                  <c:v>0.13303818483674598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57-B843-9D80-98105B5933D2}"/>
            </c:ext>
          </c:extLst>
        </c:ser>
        <c:ser>
          <c:idx val="10"/>
          <c:order val="8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Results'!$AU$66:$AU$78</c:f>
              <c:numCache>
                <c:formatCode>0.0%</c:formatCode>
                <c:ptCount val="13"/>
                <c:pt idx="0">
                  <c:v>5.4262710929745217E-2</c:v>
                </c:pt>
                <c:pt idx="1">
                  <c:v>2.0332509548416089E-2</c:v>
                </c:pt>
                <c:pt idx="2">
                  <c:v>2.0533058796614045E-2</c:v>
                </c:pt>
                <c:pt idx="3">
                  <c:v>2.684563758389261E-2</c:v>
                </c:pt>
                <c:pt idx="4">
                  <c:v>2.1337525970015158E-2</c:v>
                </c:pt>
                <c:pt idx="5">
                  <c:v>2.3869484287747721E-2</c:v>
                </c:pt>
                <c:pt idx="6">
                  <c:v>3.2409684647756454E-2</c:v>
                </c:pt>
                <c:pt idx="7">
                  <c:v>3.0650496141124587E-2</c:v>
                </c:pt>
                <c:pt idx="8">
                  <c:v>1.1475044563279857E-2</c:v>
                </c:pt>
                <c:pt idx="9">
                  <c:v>1.9292963086874095E-2</c:v>
                </c:pt>
                <c:pt idx="10">
                  <c:v>3.6520584329349276E-3</c:v>
                </c:pt>
                <c:pt idx="11">
                  <c:v>1.2242626599888702E-3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57-B843-9D80-98105B5933D2}"/>
            </c:ext>
          </c:extLst>
        </c:ser>
        <c:ser>
          <c:idx val="6"/>
          <c:order val="9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Results'!$AP$66:$AP$78</c:f>
              <c:numCache>
                <c:formatCode>0.0%</c:formatCode>
                <c:ptCount val="13"/>
                <c:pt idx="0">
                  <c:v>0.15142825631410609</c:v>
                </c:pt>
                <c:pt idx="1">
                  <c:v>0.41743428443046504</c:v>
                </c:pt>
                <c:pt idx="2">
                  <c:v>0.39373141157629832</c:v>
                </c:pt>
                <c:pt idx="3">
                  <c:v>0.38579418344519012</c:v>
                </c:pt>
                <c:pt idx="4">
                  <c:v>0.25936324330394744</c:v>
                </c:pt>
                <c:pt idx="5">
                  <c:v>0.15958611628161609</c:v>
                </c:pt>
                <c:pt idx="6">
                  <c:v>0.16948133573809912</c:v>
                </c:pt>
                <c:pt idx="7">
                  <c:v>0.22800441014332967</c:v>
                </c:pt>
                <c:pt idx="8">
                  <c:v>0.14159982174688057</c:v>
                </c:pt>
                <c:pt idx="9">
                  <c:v>0.33021077283372363</c:v>
                </c:pt>
                <c:pt idx="10">
                  <c:v>0.22897299690128381</c:v>
                </c:pt>
                <c:pt idx="11">
                  <c:v>9.5603784084585405E-2</c:v>
                </c:pt>
                <c:pt idx="12">
                  <c:v>2.324294410625346E-3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57-B843-9D80-98105B5933D2}"/>
            </c:ext>
          </c:extLst>
        </c:ser>
        <c:ser>
          <c:idx val="5"/>
          <c:order val="10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Results'!$AQ$66:$AQ$78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0.16416758544652704</c:v>
                </c:pt>
                <c:pt idx="8">
                  <c:v>0.16499554367201424</c:v>
                </c:pt>
                <c:pt idx="9">
                  <c:v>0.15646258503401358</c:v>
                </c:pt>
                <c:pt idx="10">
                  <c:v>0.16190792386011513</c:v>
                </c:pt>
                <c:pt idx="11">
                  <c:v>0.17006121313299943</c:v>
                </c:pt>
                <c:pt idx="12">
                  <c:v>0.18262313226342006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57-B843-9D80-98105B5933D2}"/>
            </c:ext>
          </c:extLst>
        </c:ser>
        <c:ser>
          <c:idx val="11"/>
          <c:order val="11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Results'!$D$66:$D$78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cat>
          <c:val>
            <c:numRef>
              <c:f>'Mineralogy Results'!$AV$66:$AV$78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57-B843-9D80-98105B593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R7H1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Results'!$AF$79:$AF$90</c:f>
              <c:numCache>
                <c:formatCode>0.0%</c:formatCode>
                <c:ptCount val="12"/>
                <c:pt idx="0">
                  <c:v>0.61537586716706472</c:v>
                </c:pt>
                <c:pt idx="1">
                  <c:v>0.47556201767140144</c:v>
                </c:pt>
                <c:pt idx="2">
                  <c:v>0.3089843309660692</c:v>
                </c:pt>
                <c:pt idx="3">
                  <c:v>0.26985539488320359</c:v>
                </c:pt>
                <c:pt idx="4">
                  <c:v>0.3019187358916478</c:v>
                </c:pt>
                <c:pt idx="5">
                  <c:v>0.3360142984807864</c:v>
                </c:pt>
                <c:pt idx="6">
                  <c:v>0.38359964491788728</c:v>
                </c:pt>
                <c:pt idx="7">
                  <c:v>0.32066586354178073</c:v>
                </c:pt>
                <c:pt idx="8">
                  <c:v>0.34369146005509643</c:v>
                </c:pt>
                <c:pt idx="9">
                  <c:v>0.31192860252503263</c:v>
                </c:pt>
                <c:pt idx="10">
                  <c:v>0.260481244089524</c:v>
                </c:pt>
                <c:pt idx="11">
                  <c:v>0.23545464468944438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E-D749-B9A0-85EDC2E931B3}"/>
            </c:ext>
          </c:extLst>
        </c:ser>
        <c:ser>
          <c:idx val="1"/>
          <c:order val="1"/>
          <c:tx>
            <c:v>Orthoclase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Results'!$AG$79:$AG$90</c:f>
              <c:numCache>
                <c:formatCode>0.0%</c:formatCode>
                <c:ptCount val="12"/>
                <c:pt idx="0">
                  <c:v>3.4004321619470035E-2</c:v>
                </c:pt>
                <c:pt idx="1">
                  <c:v>2.757633374342915E-2</c:v>
                </c:pt>
                <c:pt idx="2">
                  <c:v>2.3853004170893925E-3</c:v>
                </c:pt>
                <c:pt idx="3">
                  <c:v>1.1256952169076753E-3</c:v>
                </c:pt>
                <c:pt idx="4">
                  <c:v>0</c:v>
                </c:pt>
                <c:pt idx="5">
                  <c:v>2.0554066130473638E-4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E-D749-B9A0-85EDC2E931B3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Results'!$AH$79:$AH$90</c:f>
              <c:numCache>
                <c:formatCode>0.0%</c:formatCode>
                <c:ptCount val="12"/>
                <c:pt idx="0">
                  <c:v>2.9568975321278292E-3</c:v>
                </c:pt>
                <c:pt idx="1">
                  <c:v>2.3979420646460131E-3</c:v>
                </c:pt>
                <c:pt idx="2">
                  <c:v>2.0741742757299063E-4</c:v>
                </c:pt>
                <c:pt idx="3">
                  <c:v>9.7886540600667426E-5</c:v>
                </c:pt>
                <c:pt idx="4">
                  <c:v>0</c:v>
                </c:pt>
                <c:pt idx="5">
                  <c:v>1.7873100983020557E-5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E-D749-B9A0-85EDC2E931B3}"/>
            </c:ext>
          </c:extLst>
        </c:ser>
        <c:ser>
          <c:idx val="3"/>
          <c:order val="3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Results'!$AL$79:$AL$90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9E-D749-B9A0-85EDC2E931B3}"/>
            </c:ext>
          </c:extLst>
        </c:ser>
        <c:ser>
          <c:idx val="4"/>
          <c:order val="4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Results'!$AM$79:$AM$90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0.13301769811746139</c:v>
                </c:pt>
                <c:pt idx="3">
                  <c:v>9.0100111234705238E-2</c:v>
                </c:pt>
                <c:pt idx="4">
                  <c:v>9.0519187358916467E-2</c:v>
                </c:pt>
                <c:pt idx="5">
                  <c:v>9.8972296693476319E-2</c:v>
                </c:pt>
                <c:pt idx="6">
                  <c:v>6.835330670217489E-2</c:v>
                </c:pt>
                <c:pt idx="7">
                  <c:v>6.2972292191435769E-2</c:v>
                </c:pt>
                <c:pt idx="8">
                  <c:v>6.545454545454546E-2</c:v>
                </c:pt>
                <c:pt idx="9">
                  <c:v>6.1057901610796689E-2</c:v>
                </c:pt>
                <c:pt idx="10">
                  <c:v>3.8142271724282861E-2</c:v>
                </c:pt>
                <c:pt idx="11">
                  <c:v>4.8684641414692718E-2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E-D749-B9A0-85EDC2E931B3}"/>
            </c:ext>
          </c:extLst>
        </c:ser>
        <c:ser>
          <c:idx val="9"/>
          <c:order val="5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Results'!$AN$79:$AN$90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2.355991432758426E-2</c:v>
                </c:pt>
                <c:pt idx="3">
                  <c:v>1.7797552836484987E-2</c:v>
                </c:pt>
                <c:pt idx="4">
                  <c:v>3.1715575620767489E-2</c:v>
                </c:pt>
                <c:pt idx="5">
                  <c:v>1.9660411081322611E-2</c:v>
                </c:pt>
                <c:pt idx="6">
                  <c:v>1.5090989791389262E-2</c:v>
                </c:pt>
                <c:pt idx="7">
                  <c:v>2.4203263607490963E-2</c:v>
                </c:pt>
                <c:pt idx="8">
                  <c:v>4.4077134986225897E-2</c:v>
                </c:pt>
                <c:pt idx="9">
                  <c:v>4.3317370483239005E-2</c:v>
                </c:pt>
                <c:pt idx="10">
                  <c:v>2.3536828832615323E-2</c:v>
                </c:pt>
                <c:pt idx="11">
                  <c:v>3.3293308590765201E-2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9E-D749-B9A0-85EDC2E931B3}"/>
            </c:ext>
          </c:extLst>
        </c:ser>
        <c:ser>
          <c:idx val="7"/>
          <c:order val="6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Results'!$AR$79:$AR$90</c:f>
              <c:numCache>
                <c:formatCode>0.0%</c:formatCode>
                <c:ptCount val="12"/>
                <c:pt idx="0">
                  <c:v>1.8196292505402026E-3</c:v>
                </c:pt>
                <c:pt idx="1">
                  <c:v>4.0040263952578016E-2</c:v>
                </c:pt>
                <c:pt idx="2">
                  <c:v>2.2545372562281589E-3</c:v>
                </c:pt>
                <c:pt idx="3">
                  <c:v>2.0022246941045607E-3</c:v>
                </c:pt>
                <c:pt idx="4">
                  <c:v>0</c:v>
                </c:pt>
                <c:pt idx="5">
                  <c:v>2.0107238605898124E-3</c:v>
                </c:pt>
                <c:pt idx="6">
                  <c:v>1.5534842432312476E-3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9E-D749-B9A0-85EDC2E931B3}"/>
            </c:ext>
          </c:extLst>
        </c:ser>
        <c:ser>
          <c:idx val="8"/>
          <c:order val="7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Results'!$AT$79:$AT$90</c:f>
              <c:numCache>
                <c:formatCode>0.0%</c:formatCode>
                <c:ptCount val="12"/>
                <c:pt idx="0">
                  <c:v>7.8471511429546222E-3</c:v>
                </c:pt>
                <c:pt idx="1">
                  <c:v>1.1408119897103233E-2</c:v>
                </c:pt>
                <c:pt idx="2">
                  <c:v>1.1498140006763611E-2</c:v>
                </c:pt>
                <c:pt idx="3">
                  <c:v>0.13426028921023361</c:v>
                </c:pt>
                <c:pt idx="4">
                  <c:v>7.83295711060948E-2</c:v>
                </c:pt>
                <c:pt idx="5">
                  <c:v>1.664432529043789E-2</c:v>
                </c:pt>
                <c:pt idx="6">
                  <c:v>7.6564580559254332E-3</c:v>
                </c:pt>
                <c:pt idx="7">
                  <c:v>0.18979301281349248</c:v>
                </c:pt>
                <c:pt idx="8">
                  <c:v>0.22159779614325067</c:v>
                </c:pt>
                <c:pt idx="9">
                  <c:v>0.20211144971702219</c:v>
                </c:pt>
                <c:pt idx="10">
                  <c:v>0.31228328254702109</c:v>
                </c:pt>
                <c:pt idx="11">
                  <c:v>0.26383582578321146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9E-D749-B9A0-85EDC2E931B3}"/>
            </c:ext>
          </c:extLst>
        </c:ser>
        <c:ser>
          <c:idx val="10"/>
          <c:order val="8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Results'!$AU$79:$AU$90</c:f>
              <c:numCache>
                <c:formatCode>0.0%</c:formatCode>
                <c:ptCount val="12"/>
                <c:pt idx="0">
                  <c:v>5.4930058000682368E-2</c:v>
                </c:pt>
                <c:pt idx="1">
                  <c:v>4.5073258024829442E-2</c:v>
                </c:pt>
                <c:pt idx="2">
                  <c:v>7.0454289257129973E-2</c:v>
                </c:pt>
                <c:pt idx="3">
                  <c:v>3.6707452725250278E-2</c:v>
                </c:pt>
                <c:pt idx="4">
                  <c:v>4.7742663656884878E-2</c:v>
                </c:pt>
                <c:pt idx="5">
                  <c:v>5.060321715817695E-2</c:v>
                </c:pt>
                <c:pt idx="6">
                  <c:v>6.0363959165557049E-2</c:v>
                </c:pt>
                <c:pt idx="7">
                  <c:v>2.3436644398203921E-2</c:v>
                </c:pt>
                <c:pt idx="8">
                  <c:v>3.1515151515151517E-2</c:v>
                </c:pt>
                <c:pt idx="9">
                  <c:v>3.9943404440574655E-2</c:v>
                </c:pt>
                <c:pt idx="10">
                  <c:v>3.1417463486392773E-2</c:v>
                </c:pt>
                <c:pt idx="11">
                  <c:v>4.0497762253029146E-2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9E-D749-B9A0-85EDC2E931B3}"/>
            </c:ext>
          </c:extLst>
        </c:ser>
        <c:ser>
          <c:idx val="6"/>
          <c:order val="9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Results'!$AP$79:$AP$90</c:f>
              <c:numCache>
                <c:formatCode>0.0%</c:formatCode>
                <c:ptCount val="12"/>
                <c:pt idx="0">
                  <c:v>0.11236210622085752</c:v>
                </c:pt>
                <c:pt idx="1">
                  <c:v>0.23330723632703276</c:v>
                </c:pt>
                <c:pt idx="2">
                  <c:v>0.26332995152744898</c:v>
                </c:pt>
                <c:pt idx="3">
                  <c:v>0.29354838709677422</c:v>
                </c:pt>
                <c:pt idx="4">
                  <c:v>0.28069977426636566</c:v>
                </c:pt>
                <c:pt idx="5">
                  <c:v>0.29982126899016981</c:v>
                </c:pt>
                <c:pt idx="6">
                  <c:v>0.28683976919662679</c:v>
                </c:pt>
                <c:pt idx="7">
                  <c:v>0.23075238199540027</c:v>
                </c:pt>
                <c:pt idx="8">
                  <c:v>0.1487603305785124</c:v>
                </c:pt>
                <c:pt idx="9">
                  <c:v>0.15063125816282105</c:v>
                </c:pt>
                <c:pt idx="10">
                  <c:v>0.12440895240096669</c:v>
                </c:pt>
                <c:pt idx="11">
                  <c:v>0.13644798602772623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9E-D749-B9A0-85EDC2E931B3}"/>
            </c:ext>
          </c:extLst>
        </c:ser>
        <c:ser>
          <c:idx val="5"/>
          <c:order val="10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Results'!$AQ$79:$AQ$90</c:f>
              <c:numCache>
                <c:formatCode>0.0%</c:formatCode>
                <c:ptCount val="12"/>
                <c:pt idx="0">
                  <c:v>0.17070396906630275</c:v>
                </c:pt>
                <c:pt idx="1">
                  <c:v>0.16463482831897999</c:v>
                </c:pt>
                <c:pt idx="2">
                  <c:v>0.18430842069665201</c:v>
                </c:pt>
                <c:pt idx="3">
                  <c:v>0.15450500556173527</c:v>
                </c:pt>
                <c:pt idx="4">
                  <c:v>0.16907449209932279</c:v>
                </c:pt>
                <c:pt idx="5">
                  <c:v>0.17605004468275245</c:v>
                </c:pt>
                <c:pt idx="6">
                  <c:v>0.17654238792720819</c:v>
                </c:pt>
                <c:pt idx="7">
                  <c:v>0.1481765414521958</c:v>
                </c:pt>
                <c:pt idx="8">
                  <c:v>0.14490358126721764</c:v>
                </c:pt>
                <c:pt idx="9">
                  <c:v>0.19101001306051371</c:v>
                </c:pt>
                <c:pt idx="10">
                  <c:v>0.20972995691919724</c:v>
                </c:pt>
                <c:pt idx="11">
                  <c:v>0.24178583124113087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9E-D749-B9A0-85EDC2E931B3}"/>
            </c:ext>
          </c:extLst>
        </c:ser>
        <c:ser>
          <c:idx val="11"/>
          <c:order val="11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Results'!$D$79:$D$90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Results'!$AV$79:$AV$90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9E-D749-B9A0-85EDC2E9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R7H2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Results'!$AF$91:$AF$102</c:f>
              <c:numCache>
                <c:formatCode>0.0%</c:formatCode>
                <c:ptCount val="12"/>
                <c:pt idx="0">
                  <c:v>0.55067030220404456</c:v>
                </c:pt>
                <c:pt idx="1">
                  <c:v>0.56015037593984962</c:v>
                </c:pt>
                <c:pt idx="2">
                  <c:v>0.43701740232799352</c:v>
                </c:pt>
                <c:pt idx="3">
                  <c:v>0.30393806799057554</c:v>
                </c:pt>
                <c:pt idx="4">
                  <c:v>0.38569032979318052</c:v>
                </c:pt>
                <c:pt idx="5">
                  <c:v>0.44453177633056368</c:v>
                </c:pt>
                <c:pt idx="6">
                  <c:v>0.52255515311162326</c:v>
                </c:pt>
                <c:pt idx="7">
                  <c:v>0.49059383499546699</c:v>
                </c:pt>
                <c:pt idx="8">
                  <c:v>0.32461677186654642</c:v>
                </c:pt>
                <c:pt idx="9">
                  <c:v>0.41964991530208912</c:v>
                </c:pt>
                <c:pt idx="10">
                  <c:v>0.45202803630931859</c:v>
                </c:pt>
                <c:pt idx="11">
                  <c:v>0.32361157671248186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0-C640-A718-6A8AF1CB404B}"/>
            </c:ext>
          </c:extLst>
        </c:ser>
        <c:ser>
          <c:idx val="1"/>
          <c:order val="1"/>
          <c:tx>
            <c:v>Orthoclase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Results'!$AG$91:$AG$102</c:f>
              <c:numCache>
                <c:formatCode>0.0%</c:formatCode>
                <c:ptCount val="12"/>
                <c:pt idx="0">
                  <c:v>2.6757555101113384E-2</c:v>
                </c:pt>
                <c:pt idx="1">
                  <c:v>2.4312251216275987E-2</c:v>
                </c:pt>
                <c:pt idx="2">
                  <c:v>1.844877261726403E-2</c:v>
                </c:pt>
                <c:pt idx="3">
                  <c:v>2.0644003141478737E-4</c:v>
                </c:pt>
                <c:pt idx="4">
                  <c:v>1.6456120737842368E-3</c:v>
                </c:pt>
                <c:pt idx="5">
                  <c:v>2.0660229059061305E-4</c:v>
                </c:pt>
                <c:pt idx="6">
                  <c:v>1.0097684118099001E-4</c:v>
                </c:pt>
                <c:pt idx="7">
                  <c:v>1.0426110607434272E-4</c:v>
                </c:pt>
                <c:pt idx="8">
                  <c:v>1.9702434625788995E-2</c:v>
                </c:pt>
                <c:pt idx="9">
                  <c:v>3.1168831168831162E-4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0-C640-A718-6A8AF1CB404B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Results'!$AH$91:$AH$102</c:f>
              <c:numCache>
                <c:formatCode>0.0%</c:formatCode>
                <c:ptCount val="12"/>
                <c:pt idx="0">
                  <c:v>2.3267439218359466E-3</c:v>
                </c:pt>
                <c:pt idx="1">
                  <c:v>2.114108801415303E-3</c:v>
                </c:pt>
                <c:pt idx="2">
                  <c:v>1.6042410971533938E-3</c:v>
                </c:pt>
                <c:pt idx="3">
                  <c:v>1.7951307079546729E-5</c:v>
                </c:pt>
                <c:pt idx="4">
                  <c:v>1.4309670206819451E-4</c:v>
                </c:pt>
                <c:pt idx="5">
                  <c:v>1.7965416573096789E-5</c:v>
                </c:pt>
                <c:pt idx="6">
                  <c:v>8.7805948853034803E-6</c:v>
                </c:pt>
                <c:pt idx="7">
                  <c:v>9.0661831368993672E-6</c:v>
                </c:pt>
                <c:pt idx="8">
                  <c:v>1.7132551848512169E-3</c:v>
                </c:pt>
                <c:pt idx="9">
                  <c:v>2.7103331451157534E-5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0-C640-A718-6A8AF1CB404B}"/>
            </c:ext>
          </c:extLst>
        </c:ser>
        <c:ser>
          <c:idx val="3"/>
          <c:order val="3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Results'!$AL$91:$AL$102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B0-C640-A718-6A8AF1CB404B}"/>
            </c:ext>
          </c:extLst>
        </c:ser>
        <c:ser>
          <c:idx val="4"/>
          <c:order val="4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Results'!$AM$91:$AM$102</c:f>
              <c:numCache>
                <c:formatCode>0.0%</c:formatCode>
                <c:ptCount val="12"/>
                <c:pt idx="0">
                  <c:v>0</c:v>
                </c:pt>
                <c:pt idx="1">
                  <c:v>5.9708093763821326E-3</c:v>
                </c:pt>
                <c:pt idx="2">
                  <c:v>4.0567016249855939E-2</c:v>
                </c:pt>
                <c:pt idx="3">
                  <c:v>6.7093010209805903E-2</c:v>
                </c:pt>
                <c:pt idx="4">
                  <c:v>6.3051984348798204E-2</c:v>
                </c:pt>
                <c:pt idx="5">
                  <c:v>5.4794520547945202E-2</c:v>
                </c:pt>
                <c:pt idx="6">
                  <c:v>4.0390736472396008E-2</c:v>
                </c:pt>
                <c:pt idx="7">
                  <c:v>4.0571169537624671E-2</c:v>
                </c:pt>
                <c:pt idx="8">
                  <c:v>5.0383228133453549E-2</c:v>
                </c:pt>
                <c:pt idx="9">
                  <c:v>5.2286843591191408E-2</c:v>
                </c:pt>
                <c:pt idx="10">
                  <c:v>5.7566356428817633E-2</c:v>
                </c:pt>
                <c:pt idx="11">
                  <c:v>8.8278019890490569E-2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B0-C640-A718-6A8AF1CB404B}"/>
            </c:ext>
          </c:extLst>
        </c:ser>
        <c:ser>
          <c:idx val="9"/>
          <c:order val="5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Results'!$AN$91:$AN$102</c:f>
              <c:numCache>
                <c:formatCode>0.0%</c:formatCode>
                <c:ptCount val="12"/>
                <c:pt idx="0">
                  <c:v>2.3517382413087935E-2</c:v>
                </c:pt>
                <c:pt idx="1">
                  <c:v>1.2052189296771341E-2</c:v>
                </c:pt>
                <c:pt idx="2">
                  <c:v>2.0974991356459603E-2</c:v>
                </c:pt>
                <c:pt idx="3">
                  <c:v>2.8946482665769099E-2</c:v>
                </c:pt>
                <c:pt idx="4">
                  <c:v>1.5762996087199551E-2</c:v>
                </c:pt>
                <c:pt idx="5">
                  <c:v>1.3586346283404445E-2</c:v>
                </c:pt>
                <c:pt idx="6">
                  <c:v>1.0317198990231587E-2</c:v>
                </c:pt>
                <c:pt idx="7">
                  <c:v>1.1219401631912967E-2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B0-C640-A718-6A8AF1CB404B}"/>
            </c:ext>
          </c:extLst>
        </c:ser>
        <c:ser>
          <c:idx val="7"/>
          <c:order val="6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Results'!$AR$91:$AR$102</c:f>
              <c:numCache>
                <c:formatCode>0.0%</c:formatCode>
                <c:ptCount val="12"/>
                <c:pt idx="0">
                  <c:v>6.634855714610316E-2</c:v>
                </c:pt>
                <c:pt idx="1">
                  <c:v>1.9460415745245468E-2</c:v>
                </c:pt>
                <c:pt idx="2">
                  <c:v>4.2871960354961387E-2</c:v>
                </c:pt>
                <c:pt idx="3">
                  <c:v>8.8410187366767631E-2</c:v>
                </c:pt>
                <c:pt idx="4">
                  <c:v>8.7199552822806031E-2</c:v>
                </c:pt>
                <c:pt idx="5">
                  <c:v>5.4794520547945202E-2</c:v>
                </c:pt>
                <c:pt idx="6">
                  <c:v>4.2366370321589283E-2</c:v>
                </c:pt>
                <c:pt idx="7">
                  <c:v>4.3404351767905719E-2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0-C640-A718-6A8AF1CB404B}"/>
            </c:ext>
          </c:extLst>
        </c:ser>
        <c:ser>
          <c:idx val="8"/>
          <c:order val="7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Results'!$AT$91:$AT$102</c:f>
              <c:numCache>
                <c:formatCode>0.0%</c:formatCode>
                <c:ptCount val="12"/>
                <c:pt idx="0">
                  <c:v>1.0111338332197229E-2</c:v>
                </c:pt>
                <c:pt idx="1">
                  <c:v>9.0667846085802743E-3</c:v>
                </c:pt>
                <c:pt idx="2">
                  <c:v>1.0602742883485075E-2</c:v>
                </c:pt>
                <c:pt idx="3">
                  <c:v>1.8848872433524063E-2</c:v>
                </c:pt>
                <c:pt idx="4">
                  <c:v>4.6618222470653996E-2</c:v>
                </c:pt>
                <c:pt idx="5">
                  <c:v>2.9642937345609702E-2</c:v>
                </c:pt>
                <c:pt idx="6">
                  <c:v>1.35001646361541E-2</c:v>
                </c:pt>
                <c:pt idx="7">
                  <c:v>1.405258386219402E-2</c:v>
                </c:pt>
                <c:pt idx="8">
                  <c:v>1.3525698827772765E-3</c:v>
                </c:pt>
                <c:pt idx="9">
                  <c:v>7.7922077922077905E-3</c:v>
                </c:pt>
                <c:pt idx="10">
                  <c:v>8.3879122141790174E-3</c:v>
                </c:pt>
                <c:pt idx="11">
                  <c:v>5.0284948038887027E-3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B0-C640-A718-6A8AF1CB404B}"/>
            </c:ext>
          </c:extLst>
        </c:ser>
        <c:ser>
          <c:idx val="10"/>
          <c:order val="8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Results'!$AU$91:$AU$102</c:f>
              <c:numCache>
                <c:formatCode>0.0%</c:formatCode>
                <c:ptCount val="12"/>
                <c:pt idx="0">
                  <c:v>5.282890252215406E-2</c:v>
                </c:pt>
                <c:pt idx="1">
                  <c:v>4.467049977885891E-2</c:v>
                </c:pt>
                <c:pt idx="2">
                  <c:v>5.5664400138296641E-2</c:v>
                </c:pt>
                <c:pt idx="3">
                  <c:v>0.11107371255469538</c:v>
                </c:pt>
                <c:pt idx="4">
                  <c:v>3.1973169368362211E-2</c:v>
                </c:pt>
                <c:pt idx="5">
                  <c:v>3.402200763530204E-2</c:v>
                </c:pt>
                <c:pt idx="6">
                  <c:v>2.6780814400175611E-2</c:v>
                </c:pt>
                <c:pt idx="7">
                  <c:v>3.8644605621033556E-2</c:v>
                </c:pt>
                <c:pt idx="8">
                  <c:v>3.1109107303877361E-2</c:v>
                </c:pt>
                <c:pt idx="9">
                  <c:v>9.7007340485601334E-2</c:v>
                </c:pt>
                <c:pt idx="10">
                  <c:v>4.1939561070895089E-2</c:v>
                </c:pt>
                <c:pt idx="11">
                  <c:v>4.2239356352665104E-2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B0-C640-A718-6A8AF1CB404B}"/>
            </c:ext>
          </c:extLst>
        </c:ser>
        <c:ser>
          <c:idx val="6"/>
          <c:order val="9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Results'!$AP$91:$AP$102</c:f>
              <c:numCache>
                <c:formatCode>0.0%</c:formatCode>
                <c:ptCount val="12"/>
                <c:pt idx="0">
                  <c:v>9.6568961599636446E-2</c:v>
                </c:pt>
                <c:pt idx="1">
                  <c:v>0.15977443609022557</c:v>
                </c:pt>
                <c:pt idx="2">
                  <c:v>0.18520225884522298</c:v>
                </c:pt>
                <c:pt idx="3">
                  <c:v>0.18972287669695947</c:v>
                </c:pt>
                <c:pt idx="4">
                  <c:v>0.18300726662940189</c:v>
                </c:pt>
                <c:pt idx="5">
                  <c:v>0.18324724904558723</c:v>
                </c:pt>
                <c:pt idx="6">
                  <c:v>0.17111184282735156</c:v>
                </c:pt>
                <c:pt idx="7">
                  <c:v>0.17973708068902994</c:v>
                </c:pt>
                <c:pt idx="8">
                  <c:v>0.39404869251577995</c:v>
                </c:pt>
                <c:pt idx="9">
                  <c:v>0.21038961038961035</c:v>
                </c:pt>
                <c:pt idx="10">
                  <c:v>0.2188900379179593</c:v>
                </c:pt>
                <c:pt idx="11">
                  <c:v>0.22360040227958433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B0-C640-A718-6A8AF1CB404B}"/>
            </c:ext>
          </c:extLst>
        </c:ser>
        <c:ser>
          <c:idx val="5"/>
          <c:order val="10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Results'!$AQ$91:$AQ$102</c:f>
              <c:numCache>
                <c:formatCode>0.0%</c:formatCode>
                <c:ptCount val="12"/>
                <c:pt idx="0">
                  <c:v>0.17087025675982731</c:v>
                </c:pt>
                <c:pt idx="1">
                  <c:v>0.1624281291463954</c:v>
                </c:pt>
                <c:pt idx="2">
                  <c:v>0.18704621412930736</c:v>
                </c:pt>
                <c:pt idx="3">
                  <c:v>0.19174239874340848</c:v>
                </c:pt>
                <c:pt idx="4">
                  <c:v>0.18490776970374509</c:v>
                </c:pt>
                <c:pt idx="5">
                  <c:v>0.18515607455647876</c:v>
                </c:pt>
                <c:pt idx="6">
                  <c:v>0.17286796180441225</c:v>
                </c:pt>
                <c:pt idx="7">
                  <c:v>0.18166364460562109</c:v>
                </c:pt>
                <c:pt idx="8">
                  <c:v>0.17707394048692515</c:v>
                </c:pt>
                <c:pt idx="9">
                  <c:v>0.21253529079616035</c:v>
                </c:pt>
                <c:pt idx="10">
                  <c:v>0.22118809605883025</c:v>
                </c:pt>
                <c:pt idx="11">
                  <c:v>0.22605877751704104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B0-C640-A718-6A8AF1CB404B}"/>
            </c:ext>
          </c:extLst>
        </c:ser>
        <c:ser>
          <c:idx val="11"/>
          <c:order val="11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Results'!$D$91:$D$102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Results'!$AV$91:$AV$102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2.2348865795060902E-4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B0-C640-A718-6A8AF1CB4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R7P1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Results'!$AF$103:$AF$109</c:f>
              <c:numCache>
                <c:formatCode>0.0%</c:formatCode>
                <c:ptCount val="7"/>
                <c:pt idx="0">
                  <c:v>0.58865406006674081</c:v>
                </c:pt>
                <c:pt idx="1">
                  <c:v>0.52965502230928285</c:v>
                </c:pt>
                <c:pt idx="2">
                  <c:v>0.65414049114791539</c:v>
                </c:pt>
                <c:pt idx="3">
                  <c:v>0.57093176639884868</c:v>
                </c:pt>
                <c:pt idx="4">
                  <c:v>0.42600494048955756</c:v>
                </c:pt>
                <c:pt idx="5">
                  <c:v>0.49849716130468663</c:v>
                </c:pt>
                <c:pt idx="6">
                  <c:v>0.42961165048543687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1-6144-A60E-6F49C900772A}"/>
            </c:ext>
          </c:extLst>
        </c:ser>
        <c:ser>
          <c:idx val="1"/>
          <c:order val="1"/>
          <c:tx>
            <c:v>Orthoclase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Results'!$AG$103:$AG$109</c:f>
              <c:numCache>
                <c:formatCode>0.0%</c:formatCode>
                <c:ptCount val="7"/>
                <c:pt idx="0">
                  <c:v>4.3492769744160178E-2</c:v>
                </c:pt>
                <c:pt idx="1">
                  <c:v>7.5490260093590167E-2</c:v>
                </c:pt>
                <c:pt idx="2">
                  <c:v>5.4853226727584227E-2</c:v>
                </c:pt>
                <c:pt idx="3">
                  <c:v>4.5895191269936443E-2</c:v>
                </c:pt>
                <c:pt idx="4">
                  <c:v>1.6941387828430271E-2</c:v>
                </c:pt>
                <c:pt idx="5">
                  <c:v>6.7594344873650241E-3</c:v>
                </c:pt>
                <c:pt idx="6">
                  <c:v>9.0335392762577234E-3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1-6144-A60E-6F49C900772A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Results'!$AH$103:$AH$109</c:f>
              <c:numCache>
                <c:formatCode>0.0%</c:formatCode>
                <c:ptCount val="7"/>
                <c:pt idx="0">
                  <c:v>3.7819799777530591E-3</c:v>
                </c:pt>
                <c:pt idx="1">
                  <c:v>6.5643704429208848E-3</c:v>
                </c:pt>
                <c:pt idx="2">
                  <c:v>4.7698458023986284E-3</c:v>
                </c:pt>
                <c:pt idx="3">
                  <c:v>3.9908861973857778E-3</c:v>
                </c:pt>
                <c:pt idx="4">
                  <c:v>1.4731641589939364E-3</c:v>
                </c:pt>
                <c:pt idx="5">
                  <c:v>5.8777691194478469E-4</c:v>
                </c:pt>
                <c:pt idx="6">
                  <c:v>7.8552515445719326E-4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1-6144-A60E-6F49C900772A}"/>
            </c:ext>
          </c:extLst>
        </c:ser>
        <c:ser>
          <c:idx val="3"/>
          <c:order val="3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Results'!$AL$103:$AL$109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1-6144-A60E-6F49C900772A}"/>
            </c:ext>
          </c:extLst>
        </c:ser>
        <c:ser>
          <c:idx val="4"/>
          <c:order val="4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Results'!$AM$103:$AM$109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1-6144-A60E-6F49C900772A}"/>
            </c:ext>
          </c:extLst>
        </c:ser>
        <c:ser>
          <c:idx val="9"/>
          <c:order val="5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Results'!$AN$103:$AN$109</c:f>
              <c:numCache>
                <c:formatCode>0.0%</c:formatCode>
                <c:ptCount val="7"/>
                <c:pt idx="0">
                  <c:v>0</c:v>
                </c:pt>
                <c:pt idx="1">
                  <c:v>4.5271520296006097E-2</c:v>
                </c:pt>
                <c:pt idx="2">
                  <c:v>7.7098800685322669E-2</c:v>
                </c:pt>
                <c:pt idx="3">
                  <c:v>6.1638086101450995E-2</c:v>
                </c:pt>
                <c:pt idx="4">
                  <c:v>1.7516281158769371E-2</c:v>
                </c:pt>
                <c:pt idx="5">
                  <c:v>4.4528553935210954E-3</c:v>
                </c:pt>
                <c:pt idx="6">
                  <c:v>1.4452780229479259E-2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61-6144-A60E-6F49C900772A}"/>
            </c:ext>
          </c:extLst>
        </c:ser>
        <c:ser>
          <c:idx val="7"/>
          <c:order val="6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Results'!$AR$103:$AR$109</c:f>
              <c:numCache>
                <c:formatCode>0.0%</c:formatCode>
                <c:ptCount val="7"/>
                <c:pt idx="0">
                  <c:v>1.5461624026696328E-2</c:v>
                </c:pt>
                <c:pt idx="1">
                  <c:v>2.0241593209271956E-2</c:v>
                </c:pt>
                <c:pt idx="2">
                  <c:v>3.4266133637921183E-4</c:v>
                </c:pt>
                <c:pt idx="3">
                  <c:v>3.5975536635088134E-4</c:v>
                </c:pt>
                <c:pt idx="4">
                  <c:v>3.0653492027846396E-2</c:v>
                </c:pt>
                <c:pt idx="5">
                  <c:v>3.2283201603027945E-2</c:v>
                </c:pt>
                <c:pt idx="6">
                  <c:v>3.7511032656663723E-2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61-6144-A60E-6F49C900772A}"/>
            </c:ext>
          </c:extLst>
        </c:ser>
        <c:ser>
          <c:idx val="8"/>
          <c:order val="7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Results'!$AT$103:$AT$109</c:f>
              <c:numCache>
                <c:formatCode>0.0%</c:formatCode>
                <c:ptCount val="7"/>
                <c:pt idx="0">
                  <c:v>3.3370411568409341E-3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61-6144-A60E-6F49C900772A}"/>
            </c:ext>
          </c:extLst>
        </c:ser>
        <c:ser>
          <c:idx val="10"/>
          <c:order val="8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Results'!$AU$103:$AU$109</c:f>
              <c:numCache>
                <c:formatCode>0.0%</c:formatCode>
                <c:ptCount val="7"/>
                <c:pt idx="0">
                  <c:v>3.0589543937708564E-2</c:v>
                </c:pt>
                <c:pt idx="1">
                  <c:v>1.8609206660137118E-2</c:v>
                </c:pt>
                <c:pt idx="2">
                  <c:v>5.8937749857224435E-2</c:v>
                </c:pt>
                <c:pt idx="3">
                  <c:v>8.2743734260702709E-2</c:v>
                </c:pt>
                <c:pt idx="4">
                  <c:v>6.2654390298675047E-2</c:v>
                </c:pt>
                <c:pt idx="5">
                  <c:v>5.6217299343203832E-2</c:v>
                </c:pt>
                <c:pt idx="6">
                  <c:v>2.5154457193292141E-2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61-6144-A60E-6F49C900772A}"/>
            </c:ext>
          </c:extLst>
        </c:ser>
        <c:ser>
          <c:idx val="6"/>
          <c:order val="9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Results'!$AP$103:$AP$109</c:f>
              <c:numCache>
                <c:formatCode>0.0%</c:formatCode>
                <c:ptCount val="7"/>
                <c:pt idx="0">
                  <c:v>0.15672969966629588</c:v>
                </c:pt>
                <c:pt idx="1">
                  <c:v>0.15148547175971269</c:v>
                </c:pt>
                <c:pt idx="2">
                  <c:v>8.2581382067390061E-2</c:v>
                </c:pt>
                <c:pt idx="3">
                  <c:v>0.14042451133229403</c:v>
                </c:pt>
                <c:pt idx="4">
                  <c:v>0.28475185268358411</c:v>
                </c:pt>
                <c:pt idx="5">
                  <c:v>0.27129021485027277</c:v>
                </c:pt>
                <c:pt idx="6">
                  <c:v>0.32480141218005298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61-6144-A60E-6F49C900772A}"/>
            </c:ext>
          </c:extLst>
        </c:ser>
        <c:ser>
          <c:idx val="5"/>
          <c:order val="10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Results'!$AQ$103:$AQ$109</c:f>
              <c:numCache>
                <c:formatCode>0.0%</c:formatCode>
                <c:ptCount val="7"/>
                <c:pt idx="0">
                  <c:v>0.15795328142380421</c:v>
                </c:pt>
                <c:pt idx="1">
                  <c:v>0.15268255522907823</c:v>
                </c:pt>
                <c:pt idx="2">
                  <c:v>6.7275842375785253E-2</c:v>
                </c:pt>
                <c:pt idx="3">
                  <c:v>9.4016069073030326E-2</c:v>
                </c:pt>
                <c:pt idx="4">
                  <c:v>0.16000449135414327</c:v>
                </c:pt>
                <c:pt idx="5">
                  <c:v>0.12991205610597795</c:v>
                </c:pt>
                <c:pt idx="6">
                  <c:v>0.15864960282436011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61-6144-A60E-6F49C900772A}"/>
            </c:ext>
          </c:extLst>
        </c:ser>
        <c:ser>
          <c:idx val="11"/>
          <c:order val="11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Results'!$D$103:$D$109</c:f>
              <c:numCache>
                <c:formatCode>General</c:formatCode>
                <c:ptCount val="7"/>
                <c:pt idx="0">
                  <c:v>4</c:v>
                </c:pt>
                <c:pt idx="1">
                  <c:v>14.5</c:v>
                </c:pt>
                <c:pt idx="2">
                  <c:v>32.5</c:v>
                </c:pt>
                <c:pt idx="3">
                  <c:v>59.5</c:v>
                </c:pt>
                <c:pt idx="4">
                  <c:v>88.5</c:v>
                </c:pt>
                <c:pt idx="5">
                  <c:v>125.5</c:v>
                </c:pt>
                <c:pt idx="6">
                  <c:v>152</c:v>
                </c:pt>
              </c:numCache>
            </c:numRef>
          </c:cat>
          <c:val>
            <c:numRef>
              <c:f>'Mineralogy Results'!$AV$103:$AV$109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61-6144-A60E-6F49C900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R7P2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Results'!$AF$110:$AF$123</c:f>
              <c:numCache>
                <c:formatCode>0.0%</c:formatCode>
                <c:ptCount val="14"/>
                <c:pt idx="0">
                  <c:v>0.72124492557510156</c:v>
                </c:pt>
                <c:pt idx="1">
                  <c:v>0.68353873239436624</c:v>
                </c:pt>
                <c:pt idx="2">
                  <c:v>0.65779092702169628</c:v>
                </c:pt>
                <c:pt idx="3">
                  <c:v>0.35562572408623166</c:v>
                </c:pt>
                <c:pt idx="4">
                  <c:v>0.38183770630066782</c:v>
                </c:pt>
                <c:pt idx="5">
                  <c:v>0.27553100242559508</c:v>
                </c:pt>
                <c:pt idx="6">
                  <c:v>0.29897248922770964</c:v>
                </c:pt>
                <c:pt idx="7">
                  <c:v>0.33079285633033784</c:v>
                </c:pt>
                <c:pt idx="8">
                  <c:v>0.29612525343545842</c:v>
                </c:pt>
                <c:pt idx="9">
                  <c:v>0.30122927709484604</c:v>
                </c:pt>
                <c:pt idx="10">
                  <c:v>0.29782657912610366</c:v>
                </c:pt>
                <c:pt idx="11">
                  <c:v>0.28489777973180924</c:v>
                </c:pt>
                <c:pt idx="12">
                  <c:v>0.29574700109051255</c:v>
                </c:pt>
                <c:pt idx="13">
                  <c:v>0.28182015638575147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C-EB48-BAC2-CA26AE48CE89}"/>
            </c:ext>
          </c:extLst>
        </c:ser>
        <c:ser>
          <c:idx val="1"/>
          <c:order val="1"/>
          <c:tx>
            <c:v>Orthoclase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Results'!$AG$110:$AG$123</c:f>
              <c:numCache>
                <c:formatCode>0.0%</c:formatCode>
                <c:ptCount val="14"/>
                <c:pt idx="0">
                  <c:v>6.6531348669373033E-2</c:v>
                </c:pt>
                <c:pt idx="1">
                  <c:v>7.526408450704225E-2</c:v>
                </c:pt>
                <c:pt idx="2">
                  <c:v>6.7718606180144636E-2</c:v>
                </c:pt>
                <c:pt idx="3">
                  <c:v>2.7486881261216244E-2</c:v>
                </c:pt>
                <c:pt idx="4">
                  <c:v>3.9405098236218586E-2</c:v>
                </c:pt>
                <c:pt idx="5">
                  <c:v>5.7642469126693537E-4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C-EB48-BAC2-CA26AE48CE89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Results'!$AH$110:$AH$123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9.2175668388815409E-6</c:v>
                </c:pt>
                <c:pt idx="5">
                  <c:v>1.8445590120541931E-5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C-EB48-BAC2-CA26AE48CE89}"/>
            </c:ext>
          </c:extLst>
        </c:ser>
        <c:ser>
          <c:idx val="3"/>
          <c:order val="3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Results'!$AL$110:$AL$123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C-EB48-BAC2-CA26AE48CE89}"/>
            </c:ext>
          </c:extLst>
        </c:ser>
        <c:ser>
          <c:idx val="4"/>
          <c:order val="4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Results'!$AM$110:$AM$123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4.0442074505592757E-2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7C-EB48-BAC2-CA26AE48CE89}"/>
            </c:ext>
          </c:extLst>
        </c:ser>
        <c:ser>
          <c:idx val="9"/>
          <c:order val="5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Results'!$AN$110:$AN$123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1.6015083710047482E-2</c:v>
                </c:pt>
                <c:pt idx="4">
                  <c:v>3.3644118961917623E-2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C-EB48-BAC2-CA26AE48CE89}"/>
            </c:ext>
          </c:extLst>
        </c:ser>
        <c:ser>
          <c:idx val="7"/>
          <c:order val="6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Results'!$AR$110:$AR$123</c:f>
              <c:numCache>
                <c:formatCode>0.0%</c:formatCode>
                <c:ptCount val="14"/>
                <c:pt idx="0">
                  <c:v>3.9467749210645017E-3</c:v>
                </c:pt>
                <c:pt idx="1">
                  <c:v>7.7024647887323945E-3</c:v>
                </c:pt>
                <c:pt idx="2">
                  <c:v>8.9853166776243682E-3</c:v>
                </c:pt>
                <c:pt idx="3">
                  <c:v>9.0411394561686495E-2</c:v>
                </c:pt>
                <c:pt idx="4">
                  <c:v>0</c:v>
                </c:pt>
                <c:pt idx="5">
                  <c:v>0.14675772639656173</c:v>
                </c:pt>
                <c:pt idx="6">
                  <c:v>3.2040658490774497E-3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C-EB48-BAC2-CA26AE48CE89}"/>
            </c:ext>
          </c:extLst>
        </c:ser>
        <c:ser>
          <c:idx val="8"/>
          <c:order val="7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Results'!$AT$110:$AT$123</c:f>
              <c:numCache>
                <c:formatCode>0.0%</c:formatCode>
                <c:ptCount val="14"/>
                <c:pt idx="0">
                  <c:v>7.555254848894904E-3</c:v>
                </c:pt>
                <c:pt idx="1">
                  <c:v>5.3917253521126758E-3</c:v>
                </c:pt>
                <c:pt idx="2">
                  <c:v>5.9171597633136093E-3</c:v>
                </c:pt>
                <c:pt idx="3">
                  <c:v>1.1244633243224828E-2</c:v>
                </c:pt>
                <c:pt idx="4">
                  <c:v>3.5257193158721889E-2</c:v>
                </c:pt>
                <c:pt idx="5">
                  <c:v>1.6139891355474188E-2</c:v>
                </c:pt>
                <c:pt idx="6">
                  <c:v>5.1706993702353328E-2</c:v>
                </c:pt>
                <c:pt idx="7">
                  <c:v>1.9337959276532819E-2</c:v>
                </c:pt>
                <c:pt idx="8">
                  <c:v>8.2225726514980856E-3</c:v>
                </c:pt>
                <c:pt idx="9">
                  <c:v>5.977218901545055E-3</c:v>
                </c:pt>
                <c:pt idx="10">
                  <c:v>5.0713153724247229E-2</c:v>
                </c:pt>
                <c:pt idx="11">
                  <c:v>9.3866783908551327E-2</c:v>
                </c:pt>
                <c:pt idx="12">
                  <c:v>0.11123227917121045</c:v>
                </c:pt>
                <c:pt idx="13">
                  <c:v>0.11283666377063423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C-EB48-BAC2-CA26AE48CE89}"/>
            </c:ext>
          </c:extLst>
        </c:ser>
        <c:ser>
          <c:idx val="10"/>
          <c:order val="8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Results'!$AU$110:$AU$123</c:f>
              <c:numCache>
                <c:formatCode>0.0%</c:formatCode>
                <c:ptCount val="14"/>
                <c:pt idx="0">
                  <c:v>2.7852954442940916E-2</c:v>
                </c:pt>
                <c:pt idx="1">
                  <c:v>3.3010563380281695E-2</c:v>
                </c:pt>
                <c:pt idx="2">
                  <c:v>2.6079333771641462E-2</c:v>
                </c:pt>
                <c:pt idx="3">
                  <c:v>5.5200926830376432E-2</c:v>
                </c:pt>
                <c:pt idx="4">
                  <c:v>2.5463528392410253E-2</c:v>
                </c:pt>
                <c:pt idx="5">
                  <c:v>5.9487028138747726E-2</c:v>
                </c:pt>
                <c:pt idx="6">
                  <c:v>3.8117335101093802E-2</c:v>
                </c:pt>
                <c:pt idx="7">
                  <c:v>5.9492662950745089E-2</c:v>
                </c:pt>
                <c:pt idx="8">
                  <c:v>4.5055192610948411E-2</c:v>
                </c:pt>
                <c:pt idx="9">
                  <c:v>4.7028307206495992E-2</c:v>
                </c:pt>
                <c:pt idx="10">
                  <c:v>2.569617387366991E-2</c:v>
                </c:pt>
                <c:pt idx="11">
                  <c:v>1.7256539898878875E-2</c:v>
                </c:pt>
                <c:pt idx="12">
                  <c:v>1.5376226826608505E-2</c:v>
                </c:pt>
                <c:pt idx="13">
                  <c:v>1.6398783666377061E-2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C-EB48-BAC2-CA26AE48CE89}"/>
            </c:ext>
          </c:extLst>
        </c:ser>
        <c:ser>
          <c:idx val="6"/>
          <c:order val="9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Results'!$AP$110:$AP$123</c:f>
              <c:numCache>
                <c:formatCode>0.0%</c:formatCode>
                <c:ptCount val="14"/>
                <c:pt idx="0">
                  <c:v>4.0144339197113223E-2</c:v>
                </c:pt>
                <c:pt idx="1">
                  <c:v>4.7755281690140844E-2</c:v>
                </c:pt>
                <c:pt idx="2">
                  <c:v>5.1062897216743369E-2</c:v>
                </c:pt>
                <c:pt idx="3">
                  <c:v>0.26828104768178834</c:v>
                </c:pt>
                <c:pt idx="4">
                  <c:v>0.44394106287763219</c:v>
                </c:pt>
                <c:pt idx="5">
                  <c:v>0.31887813920886859</c:v>
                </c:pt>
                <c:pt idx="6">
                  <c:v>0.38968069826538504</c:v>
                </c:pt>
                <c:pt idx="7">
                  <c:v>0.42304629734956206</c:v>
                </c:pt>
                <c:pt idx="8">
                  <c:v>0.20241045280468573</c:v>
                </c:pt>
                <c:pt idx="9">
                  <c:v>0.20717266268185408</c:v>
                </c:pt>
                <c:pt idx="10">
                  <c:v>0.20817296807788091</c:v>
                </c:pt>
                <c:pt idx="11">
                  <c:v>0.22477467575291274</c:v>
                </c:pt>
                <c:pt idx="12">
                  <c:v>0.15965103598691385</c:v>
                </c:pt>
                <c:pt idx="13">
                  <c:v>0.1591007819287576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C-EB48-BAC2-CA26AE48CE89}"/>
            </c:ext>
          </c:extLst>
        </c:ser>
        <c:ser>
          <c:idx val="5"/>
          <c:order val="10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Results'!$AQ$110:$AQ$123</c:f>
              <c:numCache>
                <c:formatCode>0.0%</c:formatCode>
                <c:ptCount val="14"/>
                <c:pt idx="0">
                  <c:v>0.13272440234551197</c:v>
                </c:pt>
                <c:pt idx="1">
                  <c:v>0.14733714788732397</c:v>
                </c:pt>
                <c:pt idx="2">
                  <c:v>0.18244575936883628</c:v>
                </c:pt>
                <c:pt idx="3">
                  <c:v>0.1743486063469708</c:v>
                </c:pt>
                <c:pt idx="4">
                  <c:v>0</c:v>
                </c:pt>
                <c:pt idx="5">
                  <c:v>0.18261134219336511</c:v>
                </c:pt>
                <c:pt idx="6">
                  <c:v>0.21831841785438075</c:v>
                </c:pt>
                <c:pt idx="7">
                  <c:v>0.16733022409282222</c:v>
                </c:pt>
                <c:pt idx="8">
                  <c:v>0.44818652849740931</c:v>
                </c:pt>
                <c:pt idx="9">
                  <c:v>0.43859253411525884</c:v>
                </c:pt>
                <c:pt idx="10">
                  <c:v>0.41759112519809827</c:v>
                </c:pt>
                <c:pt idx="11">
                  <c:v>0.37920422070784793</c:v>
                </c:pt>
                <c:pt idx="12">
                  <c:v>0.41799345692475459</c:v>
                </c:pt>
                <c:pt idx="13">
                  <c:v>0.4298436142484795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C-EB48-BAC2-CA26AE48CE89}"/>
            </c:ext>
          </c:extLst>
        </c:ser>
        <c:ser>
          <c:idx val="11"/>
          <c:order val="11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Results'!$D$110:$D$123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cat>
          <c:val>
            <c:numRef>
              <c:f>'Mineralogy Results'!$AV$110:$AV$123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C-EB48-BAC2-CA26AE4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R8H1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Results'!$AF$124:$AF$134</c:f>
              <c:numCache>
                <c:formatCode>0.0%</c:formatCode>
                <c:ptCount val="11"/>
                <c:pt idx="0">
                  <c:v>0.49268565047459528</c:v>
                </c:pt>
                <c:pt idx="1">
                  <c:v>0.25323287979309567</c:v>
                </c:pt>
                <c:pt idx="2">
                  <c:v>0.24214480874316943</c:v>
                </c:pt>
                <c:pt idx="3">
                  <c:v>0.17831511538036873</c:v>
                </c:pt>
                <c:pt idx="4">
                  <c:v>0.20595669853830087</c:v>
                </c:pt>
                <c:pt idx="5">
                  <c:v>9.846730620796118E-2</c:v>
                </c:pt>
                <c:pt idx="6">
                  <c:v>0.15670921377239089</c:v>
                </c:pt>
                <c:pt idx="7">
                  <c:v>0.20471677794529405</c:v>
                </c:pt>
                <c:pt idx="8">
                  <c:v>0.25049331286998461</c:v>
                </c:pt>
                <c:pt idx="9">
                  <c:v>0.22387898433279307</c:v>
                </c:pt>
                <c:pt idx="10">
                  <c:v>0.19689400521285841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5-DA47-89CF-A283890C4899}"/>
            </c:ext>
          </c:extLst>
        </c:ser>
        <c:ser>
          <c:idx val="1"/>
          <c:order val="1"/>
          <c:tx>
            <c:v>Microcline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Results'!$AX$124:$AX$134</c:f>
              <c:numCache>
                <c:formatCode>0.0%</c:formatCode>
                <c:ptCount val="11"/>
                <c:pt idx="0">
                  <c:v>3.3500837520938028E-3</c:v>
                </c:pt>
                <c:pt idx="1">
                  <c:v>2.8111998200832113E-3</c:v>
                </c:pt>
                <c:pt idx="2">
                  <c:v>2.5045537340619311E-3</c:v>
                </c:pt>
                <c:pt idx="3">
                  <c:v>2.8707077398697138E-3</c:v>
                </c:pt>
                <c:pt idx="4">
                  <c:v>4.0663809209803272E-3</c:v>
                </c:pt>
                <c:pt idx="5">
                  <c:v>5.5132870217223509E-3</c:v>
                </c:pt>
                <c:pt idx="6">
                  <c:v>8.795452107690659E-3</c:v>
                </c:pt>
                <c:pt idx="7">
                  <c:v>9.1535645057075187E-3</c:v>
                </c:pt>
                <c:pt idx="8">
                  <c:v>3.7601403201052395E-2</c:v>
                </c:pt>
                <c:pt idx="9">
                  <c:v>3.0902215018908698E-2</c:v>
                </c:pt>
                <c:pt idx="10">
                  <c:v>4.4526498696785405E-3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5-DA47-89CF-A283890C4899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Results'!$AH$124:$AH$134</c:f>
              <c:numCache>
                <c:formatCode>0.0%</c:formatCode>
                <c:ptCount val="11"/>
                <c:pt idx="0">
                  <c:v>2.7470686767169183E-2</c:v>
                </c:pt>
                <c:pt idx="1">
                  <c:v>1.5967614978072638E-2</c:v>
                </c:pt>
                <c:pt idx="2">
                  <c:v>1.8670309653916212E-2</c:v>
                </c:pt>
                <c:pt idx="3">
                  <c:v>2.5836369658827421E-2</c:v>
                </c:pt>
                <c:pt idx="4">
                  <c:v>6.5062094735685236E-2</c:v>
                </c:pt>
                <c:pt idx="5">
                  <c:v>7.1441173227478227E-2</c:v>
                </c:pt>
                <c:pt idx="6">
                  <c:v>0.11534913654403092</c:v>
                </c:pt>
                <c:pt idx="7">
                  <c:v>0.16501723023906956</c:v>
                </c:pt>
                <c:pt idx="8">
                  <c:v>0.17381604911203682</c:v>
                </c:pt>
                <c:pt idx="9">
                  <c:v>0.21155591572123178</c:v>
                </c:pt>
                <c:pt idx="10">
                  <c:v>0.19839813205907908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5-DA47-89CF-A283890C4899}"/>
            </c:ext>
          </c:extLst>
        </c:ser>
        <c:ser>
          <c:idx val="13"/>
          <c:order val="3"/>
          <c:tx>
            <c:v>Anorthite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Results'!$AI$124:$AI$134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3.7600617488146438E-3</c:v>
                </c:pt>
                <c:pt idx="6">
                  <c:v>6.0710071865279439E-3</c:v>
                </c:pt>
                <c:pt idx="7">
                  <c:v>8.6851173810036635E-3</c:v>
                </c:pt>
                <c:pt idx="8">
                  <c:v>9.1482131111598336E-3</c:v>
                </c:pt>
                <c:pt idx="9">
                  <c:v>1.113452188006483E-2</c:v>
                </c:pt>
                <c:pt idx="10">
                  <c:v>1.0442006950477848E-2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F5-DA47-89CF-A283890C4899}"/>
            </c:ext>
          </c:extLst>
        </c:ser>
        <c:ser>
          <c:idx val="12"/>
          <c:order val="4"/>
          <c:tx>
            <c:v>Amphibole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Results'!$AK$124:$AK$134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3.4860990443092967E-2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F5-DA47-89CF-A283890C4899}"/>
            </c:ext>
          </c:extLst>
        </c:ser>
        <c:ser>
          <c:idx val="3"/>
          <c:order val="5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Results'!$AL$124:$AL$134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5-DA47-89CF-A283890C4899}"/>
            </c:ext>
          </c:extLst>
        </c:ser>
        <c:ser>
          <c:idx val="4"/>
          <c:order val="6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Results'!$AM$124:$AM$134</c:f>
              <c:numCache>
                <c:formatCode>0.0%</c:formatCode>
                <c:ptCount val="11"/>
                <c:pt idx="0">
                  <c:v>6.3651591289782252E-3</c:v>
                </c:pt>
                <c:pt idx="1">
                  <c:v>5.1388732711121106E-2</c:v>
                </c:pt>
                <c:pt idx="2">
                  <c:v>4.7017304189435338E-2</c:v>
                </c:pt>
                <c:pt idx="3">
                  <c:v>2.771337087335762E-2</c:v>
                </c:pt>
                <c:pt idx="4">
                  <c:v>1.1539729640619847E-2</c:v>
                </c:pt>
                <c:pt idx="5">
                  <c:v>1.5437203660822584E-3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5-DA47-89CF-A283890C4899}"/>
            </c:ext>
          </c:extLst>
        </c:ser>
        <c:ser>
          <c:idx val="9"/>
          <c:order val="7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Results'!$AN$124:$AN$134</c:f>
              <c:numCache>
                <c:formatCode>0.0%</c:formatCode>
                <c:ptCount val="11"/>
                <c:pt idx="0">
                  <c:v>1.7867113344500283E-3</c:v>
                </c:pt>
                <c:pt idx="1">
                  <c:v>4.4079613178904756E-2</c:v>
                </c:pt>
                <c:pt idx="2">
                  <c:v>6.1475409836065587E-2</c:v>
                </c:pt>
                <c:pt idx="3">
                  <c:v>8.2698465275477528E-2</c:v>
                </c:pt>
                <c:pt idx="4">
                  <c:v>6.1435322562918997E-2</c:v>
                </c:pt>
                <c:pt idx="5">
                  <c:v>0.10056235527621567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5-DA47-89CF-A283890C4899}"/>
            </c:ext>
          </c:extLst>
        </c:ser>
        <c:ser>
          <c:idx val="7"/>
          <c:order val="8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Results'!$AR$124:$AR$134</c:f>
              <c:numCache>
                <c:formatCode>0.0%</c:formatCode>
                <c:ptCount val="11"/>
                <c:pt idx="0">
                  <c:v>0</c:v>
                </c:pt>
                <c:pt idx="1">
                  <c:v>1.012031935229956E-3</c:v>
                </c:pt>
                <c:pt idx="2">
                  <c:v>1.2522768670309656E-3</c:v>
                </c:pt>
                <c:pt idx="3">
                  <c:v>2.208236722976703E-3</c:v>
                </c:pt>
                <c:pt idx="4">
                  <c:v>2.1980437410704474E-3</c:v>
                </c:pt>
                <c:pt idx="5">
                  <c:v>3.3079722130334107E-4</c:v>
                </c:pt>
                <c:pt idx="6">
                  <c:v>5.9208409310307852E-2</c:v>
                </c:pt>
                <c:pt idx="7">
                  <c:v>6.1598104673702352E-2</c:v>
                </c:pt>
                <c:pt idx="8">
                  <c:v>6.3363297522473133E-2</c:v>
                </c:pt>
                <c:pt idx="9">
                  <c:v>4.095083738519719E-2</c:v>
                </c:pt>
                <c:pt idx="10">
                  <c:v>5.9404865334491755E-2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F5-DA47-89CF-A283890C4899}"/>
            </c:ext>
          </c:extLst>
        </c:ser>
        <c:ser>
          <c:idx val="8"/>
          <c:order val="9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Results'!$AS$124:$AS$134</c:f>
              <c:numCache>
                <c:formatCode>0.0%</c:formatCode>
                <c:ptCount val="11"/>
                <c:pt idx="0">
                  <c:v>7.9620323841429377E-2</c:v>
                </c:pt>
                <c:pt idx="1">
                  <c:v>0.17103339705386258</c:v>
                </c:pt>
                <c:pt idx="2">
                  <c:v>0.17736794171220402</c:v>
                </c:pt>
                <c:pt idx="3">
                  <c:v>0.28773324500386438</c:v>
                </c:pt>
                <c:pt idx="4">
                  <c:v>0.24079569183426747</c:v>
                </c:pt>
                <c:pt idx="5">
                  <c:v>0.36266402028889627</c:v>
                </c:pt>
                <c:pt idx="6">
                  <c:v>0.48171189531266767</c:v>
                </c:pt>
                <c:pt idx="7">
                  <c:v>0.36754253715270307</c:v>
                </c:pt>
                <c:pt idx="8">
                  <c:v>0.25849594387195785</c:v>
                </c:pt>
                <c:pt idx="9">
                  <c:v>0.28860075634792004</c:v>
                </c:pt>
                <c:pt idx="10">
                  <c:v>0.32428323197219816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5-DA47-89CF-A283890C4899}"/>
            </c:ext>
          </c:extLst>
        </c:ser>
        <c:ser>
          <c:idx val="10"/>
          <c:order val="10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Results'!$AU$124:$AU$134</c:f>
              <c:numCache>
                <c:formatCode>0.0%</c:formatCode>
                <c:ptCount val="11"/>
                <c:pt idx="0">
                  <c:v>3.9307649357900619E-2</c:v>
                </c:pt>
                <c:pt idx="1">
                  <c:v>0.10300236140784887</c:v>
                </c:pt>
                <c:pt idx="2">
                  <c:v>8.1284153005464488E-2</c:v>
                </c:pt>
                <c:pt idx="3">
                  <c:v>5.5205918074417576E-2</c:v>
                </c:pt>
                <c:pt idx="4">
                  <c:v>6.9897790966040221E-2</c:v>
                </c:pt>
                <c:pt idx="5">
                  <c:v>2.4478994376447242E-2</c:v>
                </c:pt>
                <c:pt idx="6">
                  <c:v>2.9389681433015135E-2</c:v>
                </c:pt>
                <c:pt idx="7">
                  <c:v>3.1337497307775151E-2</c:v>
                </c:pt>
                <c:pt idx="8">
                  <c:v>3.5408901556676163E-2</c:v>
                </c:pt>
                <c:pt idx="9">
                  <c:v>3.295515937331172E-2</c:v>
                </c:pt>
                <c:pt idx="10">
                  <c:v>2.9213727193744574E-2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F5-DA47-89CF-A283890C4899}"/>
            </c:ext>
          </c:extLst>
        </c:ser>
        <c:ser>
          <c:idx val="6"/>
          <c:order val="11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Results'!$AP$124:$AP$134</c:f>
              <c:numCache>
                <c:formatCode>0.0%</c:formatCode>
                <c:ptCount val="11"/>
                <c:pt idx="0">
                  <c:v>0.17554438860971527</c:v>
                </c:pt>
                <c:pt idx="1">
                  <c:v>0.17957944450691554</c:v>
                </c:pt>
                <c:pt idx="2">
                  <c:v>0.18499544626593808</c:v>
                </c:pt>
                <c:pt idx="3">
                  <c:v>0.16793640278237826</c:v>
                </c:pt>
                <c:pt idx="4">
                  <c:v>0.17034838993295964</c:v>
                </c:pt>
                <c:pt idx="5">
                  <c:v>0.16639100231558054</c:v>
                </c:pt>
                <c:pt idx="6">
                  <c:v>0.14276520433336912</c:v>
                </c:pt>
                <c:pt idx="7">
                  <c:v>0.15194917079474479</c:v>
                </c:pt>
                <c:pt idx="8">
                  <c:v>0.17167287875465903</c:v>
                </c:pt>
                <c:pt idx="9">
                  <c:v>0.16002160994057268</c:v>
                </c:pt>
                <c:pt idx="10">
                  <c:v>0.14205039096437883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F5-DA47-89CF-A283890C4899}"/>
            </c:ext>
          </c:extLst>
        </c:ser>
        <c:ser>
          <c:idx val="5"/>
          <c:order val="12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Results'!$AQ$124:$AQ$134</c:f>
              <c:numCache>
                <c:formatCode>0.0%</c:formatCode>
                <c:ptCount val="11"/>
                <c:pt idx="0">
                  <c:v>0.17386934673366838</c:v>
                </c:pt>
                <c:pt idx="1">
                  <c:v>0.1778927246148656</c:v>
                </c:pt>
                <c:pt idx="2">
                  <c:v>0.18328779599271405</c:v>
                </c:pt>
                <c:pt idx="3">
                  <c:v>0.16948216848846195</c:v>
                </c:pt>
                <c:pt idx="4">
                  <c:v>0.16869985712715682</c:v>
                </c:pt>
                <c:pt idx="5">
                  <c:v>0.1648472819494983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F5-DA47-89CF-A283890C4899}"/>
            </c:ext>
          </c:extLst>
        </c:ser>
        <c:ser>
          <c:idx val="11"/>
          <c:order val="13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Results'!$D$124:$D$134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cat>
          <c:val>
            <c:numRef>
              <c:f>'Mineralogy Results'!$AV$124:$AV$134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F5-DA47-89CF-A283890C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R8P1 Mineralogy</a:t>
            </a:r>
          </a:p>
        </c:rich>
      </c:tx>
      <c:layout>
        <c:manualLayout>
          <c:xMode val="edge"/>
          <c:yMode val="edge"/>
          <c:x val="0.37780384772591746"/>
          <c:y val="1.415347042617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Quartz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Results'!$AF$137:$AF$148</c:f>
              <c:numCache>
                <c:formatCode>0.0%</c:formatCode>
                <c:ptCount val="12"/>
                <c:pt idx="0">
                  <c:v>0.55679039786619255</c:v>
                </c:pt>
                <c:pt idx="1">
                  <c:v>0.38856953349546763</c:v>
                </c:pt>
                <c:pt idx="2">
                  <c:v>0.1987338910241917</c:v>
                </c:pt>
                <c:pt idx="3">
                  <c:v>0.27015812492990915</c:v>
                </c:pt>
                <c:pt idx="4">
                  <c:v>0.31525735294117641</c:v>
                </c:pt>
                <c:pt idx="5">
                  <c:v>0.38054919908466817</c:v>
                </c:pt>
                <c:pt idx="6">
                  <c:v>0.37577822154352158</c:v>
                </c:pt>
                <c:pt idx="7">
                  <c:v>0.35826007535106741</c:v>
                </c:pt>
                <c:pt idx="8">
                  <c:v>0.35271751286065756</c:v>
                </c:pt>
                <c:pt idx="9">
                  <c:v>0.26704288939051918</c:v>
                </c:pt>
                <c:pt idx="10">
                  <c:v>0.34044956511916863</c:v>
                </c:pt>
                <c:pt idx="11">
                  <c:v>0.31440600819299047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2-9F43-A1D8-A4BAE0BB358D}"/>
            </c:ext>
          </c:extLst>
        </c:ser>
        <c:ser>
          <c:idx val="1"/>
          <c:order val="1"/>
          <c:tx>
            <c:v>Microcline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Results'!$AX$137:$AX$148</c:f>
              <c:numCache>
                <c:formatCode>0.0%</c:formatCode>
                <c:ptCount val="12"/>
                <c:pt idx="0">
                  <c:v>4.9677706156923761E-2</c:v>
                </c:pt>
                <c:pt idx="1">
                  <c:v>4.4550077382268412E-2</c:v>
                </c:pt>
                <c:pt idx="2">
                  <c:v>4.0018087271082969E-2</c:v>
                </c:pt>
                <c:pt idx="3">
                  <c:v>2.0298306605360548E-2</c:v>
                </c:pt>
                <c:pt idx="4">
                  <c:v>2.435661764705882E-2</c:v>
                </c:pt>
                <c:pt idx="5">
                  <c:v>5.0343249427917618E-2</c:v>
                </c:pt>
                <c:pt idx="6">
                  <c:v>5.0393515799365671E-2</c:v>
                </c:pt>
                <c:pt idx="7">
                  <c:v>2.8542071012672674E-2</c:v>
                </c:pt>
                <c:pt idx="8">
                  <c:v>2.8628942071125027E-2</c:v>
                </c:pt>
                <c:pt idx="9">
                  <c:v>1.6930022573363429E-2</c:v>
                </c:pt>
                <c:pt idx="10">
                  <c:v>2.0783915057042811E-2</c:v>
                </c:pt>
                <c:pt idx="11">
                  <c:v>2.6854802002730997E-2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2-9F43-A1D8-A4BAE0BB358D}"/>
            </c:ext>
          </c:extLst>
        </c:ser>
        <c:ser>
          <c:idx val="2"/>
          <c:order val="2"/>
          <c:tx>
            <c:v>Albite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Results'!$AH$137:$AH$148</c:f>
              <c:numCache>
                <c:formatCode>0.0%</c:formatCode>
                <c:ptCount val="12"/>
                <c:pt idx="0">
                  <c:v>9.5354523227383872E-2</c:v>
                </c:pt>
                <c:pt idx="1">
                  <c:v>6.9644041565332743E-2</c:v>
                </c:pt>
                <c:pt idx="2">
                  <c:v>5.6183585801492193E-2</c:v>
                </c:pt>
                <c:pt idx="3">
                  <c:v>9.734215543344174E-2</c:v>
                </c:pt>
                <c:pt idx="4">
                  <c:v>0.17486213235294115</c:v>
                </c:pt>
                <c:pt idx="5">
                  <c:v>0.25034324942791758</c:v>
                </c:pt>
                <c:pt idx="6">
                  <c:v>0.25431692705274284</c:v>
                </c:pt>
                <c:pt idx="7">
                  <c:v>0.27286219888115076</c:v>
                </c:pt>
                <c:pt idx="8">
                  <c:v>0.28517110266159695</c:v>
                </c:pt>
                <c:pt idx="9">
                  <c:v>0.32911963882618506</c:v>
                </c:pt>
                <c:pt idx="10">
                  <c:v>0.2947023607816559</c:v>
                </c:pt>
                <c:pt idx="11">
                  <c:v>0.28823395539371871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2-9F43-A1D8-A4BAE0BB358D}"/>
            </c:ext>
          </c:extLst>
        </c:ser>
        <c:ser>
          <c:idx val="13"/>
          <c:order val="3"/>
          <c:tx>
            <c:v>Anorthite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Results'!$AI$137:$AI$148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5.0564334085778782E-2</c:v>
                </c:pt>
                <c:pt idx="10">
                  <c:v>6.9919801197334236E-2</c:v>
                </c:pt>
                <c:pt idx="11">
                  <c:v>8.7164314974965865E-2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92-9F43-A1D8-A4BAE0BB358D}"/>
            </c:ext>
          </c:extLst>
        </c:ser>
        <c:ser>
          <c:idx val="12"/>
          <c:order val="4"/>
          <c:tx>
            <c:v>Amphibole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Results'!$AK$137:$AK$148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4.5033860045146722E-2</c:v>
                </c:pt>
                <c:pt idx="10">
                  <c:v>1.5587936292782106E-2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92-9F43-A1D8-A4BAE0BB358D}"/>
            </c:ext>
          </c:extLst>
        </c:ser>
        <c:ser>
          <c:idx val="3"/>
          <c:order val="5"/>
          <c:tx>
            <c:v>Hematite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Results'!$AL$137:$AL$148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92-9F43-A1D8-A4BAE0BB358D}"/>
            </c:ext>
          </c:extLst>
        </c:ser>
        <c:ser>
          <c:idx val="4"/>
          <c:order val="6"/>
          <c:tx>
            <c:v>Goethite</c:v>
          </c:tx>
          <c:spPr>
            <a:solidFill>
              <a:srgbClr val="FEA817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Results'!$AM$137:$AM$148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92-9F43-A1D8-A4BAE0BB358D}"/>
            </c:ext>
          </c:extLst>
        </c:ser>
        <c:ser>
          <c:idx val="9"/>
          <c:order val="7"/>
          <c:tx>
            <c:v>Gibbsite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Results'!$AN$137:$AN$148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92-9F43-A1D8-A4BAE0BB358D}"/>
            </c:ext>
          </c:extLst>
        </c:ser>
        <c:ser>
          <c:idx val="7"/>
          <c:order val="8"/>
          <c:tx>
            <c:v>HIV</c:v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Results'!$AR$137:$AR$148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3.3913633280578789E-4</c:v>
                </c:pt>
                <c:pt idx="3">
                  <c:v>3.3643602108332396E-4</c:v>
                </c:pt>
                <c:pt idx="4">
                  <c:v>1.0340073529411763E-3</c:v>
                </c:pt>
                <c:pt idx="5">
                  <c:v>5.7208237986270023E-4</c:v>
                </c:pt>
                <c:pt idx="6">
                  <c:v>3.6767297075061663E-2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92-9F43-A1D8-A4BAE0BB358D}"/>
            </c:ext>
          </c:extLst>
        </c:ser>
        <c:ser>
          <c:idx val="8"/>
          <c:order val="9"/>
          <c:tx>
            <c:v>Biotite</c:v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Results'!$AS$137:$AS$148</c:f>
              <c:numCache>
                <c:formatCode>0.0%</c:formatCode>
                <c:ptCount val="12"/>
                <c:pt idx="0">
                  <c:v>0.10457879528784175</c:v>
                </c:pt>
                <c:pt idx="1">
                  <c:v>0.14426265752818929</c:v>
                </c:pt>
                <c:pt idx="2">
                  <c:v>0.31991860728012661</c:v>
                </c:pt>
                <c:pt idx="3">
                  <c:v>0.28843781540876973</c:v>
                </c:pt>
                <c:pt idx="4">
                  <c:v>0.22518382352941174</c:v>
                </c:pt>
                <c:pt idx="5">
                  <c:v>0.15812356979405034</c:v>
                </c:pt>
                <c:pt idx="6">
                  <c:v>0.14131328556325617</c:v>
                </c:pt>
                <c:pt idx="7">
                  <c:v>0.29272748030597096</c:v>
                </c:pt>
                <c:pt idx="8">
                  <c:v>0.28897338403041822</c:v>
                </c:pt>
                <c:pt idx="9">
                  <c:v>0.27121896162528214</c:v>
                </c:pt>
                <c:pt idx="10">
                  <c:v>0.24534056252117925</c:v>
                </c:pt>
                <c:pt idx="11">
                  <c:v>0.27082385070550752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92-9F43-A1D8-A4BAE0BB358D}"/>
            </c:ext>
          </c:extLst>
        </c:ser>
        <c:ser>
          <c:idx val="10"/>
          <c:order val="10"/>
          <c:tx>
            <c:v>Phengite</c:v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Results'!$AU$137:$AU$148</c:f>
              <c:numCache>
                <c:formatCode>0.0%</c:formatCode>
                <c:ptCount val="12"/>
                <c:pt idx="0">
                  <c:v>1.5003334074238723E-2</c:v>
                </c:pt>
                <c:pt idx="1">
                  <c:v>2.3988503205836835E-2</c:v>
                </c:pt>
                <c:pt idx="2">
                  <c:v>5.3696586027583086E-2</c:v>
                </c:pt>
                <c:pt idx="3">
                  <c:v>4.2615229337221033E-2</c:v>
                </c:pt>
                <c:pt idx="4">
                  <c:v>7.4678308823529396E-2</c:v>
                </c:pt>
                <c:pt idx="5">
                  <c:v>0.11453089244851257</c:v>
                </c:pt>
                <c:pt idx="6">
                  <c:v>4.3462939034417947E-2</c:v>
                </c:pt>
                <c:pt idx="7">
                  <c:v>1.0845986984815616E-2</c:v>
                </c:pt>
                <c:pt idx="8">
                  <c:v>3.7239991053455601E-2</c:v>
                </c:pt>
                <c:pt idx="9">
                  <c:v>6.0948081264108351E-3</c:v>
                </c:pt>
                <c:pt idx="10">
                  <c:v>5.6478030046311981E-3</c:v>
                </c:pt>
                <c:pt idx="11">
                  <c:v>4.5516613563950847E-3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92-9F43-A1D8-A4BAE0BB358D}"/>
            </c:ext>
          </c:extLst>
        </c:ser>
        <c:ser>
          <c:idx val="6"/>
          <c:order val="11"/>
          <c:tx>
            <c:v>Kaolinite 2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Results'!$AP$137:$AP$148</c:f>
              <c:numCache>
                <c:formatCode>0.0%</c:formatCode>
                <c:ptCount val="12"/>
                <c:pt idx="0">
                  <c:v>0</c:v>
                </c:pt>
                <c:pt idx="1">
                  <c:v>0.16371877072739335</c:v>
                </c:pt>
                <c:pt idx="2">
                  <c:v>5.708794935564096E-2</c:v>
                </c:pt>
                <c:pt idx="3">
                  <c:v>5.1362565885387464E-2</c:v>
                </c:pt>
                <c:pt idx="4">
                  <c:v>1.6199448529411759E-2</c:v>
                </c:pt>
                <c:pt idx="5">
                  <c:v>4.1189931350114409E-3</c:v>
                </c:pt>
                <c:pt idx="6">
                  <c:v>5.2860331258075882E-3</c:v>
                </c:pt>
                <c:pt idx="7">
                  <c:v>3.0825436693686491E-3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92-9F43-A1D8-A4BAE0BB358D}"/>
            </c:ext>
          </c:extLst>
        </c:ser>
        <c:ser>
          <c:idx val="5"/>
          <c:order val="12"/>
          <c:tx>
            <c:v>Kaolinite 1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Results'!$AQ$137:$AQ$148</c:f>
              <c:numCache>
                <c:formatCode>0.0%</c:formatCode>
                <c:ptCount val="12"/>
                <c:pt idx="0">
                  <c:v>0.17859524338741944</c:v>
                </c:pt>
                <c:pt idx="1">
                  <c:v>0.16526641609551182</c:v>
                </c:pt>
                <c:pt idx="2">
                  <c:v>0.2740221569070766</c:v>
                </c:pt>
                <c:pt idx="3">
                  <c:v>0.22944936637882696</c:v>
                </c:pt>
                <c:pt idx="4">
                  <c:v>0.16842830882352938</c:v>
                </c:pt>
                <c:pt idx="5">
                  <c:v>4.1418764302059492E-2</c:v>
                </c:pt>
                <c:pt idx="6">
                  <c:v>9.2681780805826369E-2</c:v>
                </c:pt>
                <c:pt idx="7">
                  <c:v>3.3679643794953758E-2</c:v>
                </c:pt>
                <c:pt idx="8">
                  <c:v>7.2690673227465896E-3</c:v>
                </c:pt>
                <c:pt idx="9">
                  <c:v>1.3995485327313768E-2</c:v>
                </c:pt>
                <c:pt idx="10">
                  <c:v>7.5680560262058067E-3</c:v>
                </c:pt>
                <c:pt idx="11">
                  <c:v>7.965407373691398E-3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92-9F43-A1D8-A4BAE0BB358D}"/>
            </c:ext>
          </c:extLst>
        </c:ser>
        <c:ser>
          <c:idx val="11"/>
          <c:order val="13"/>
          <c:tx>
            <c:v>Smectite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'Mineralogy Results'!$D$137:$D$148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cat>
          <c:val>
            <c:numRef>
              <c:f>'Mineralogy Results'!$AV$137:$AV$148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92-9F43-A1D8-A4BAE0BB3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2063948735"/>
        <c:axId val="2064175759"/>
      </c:barChart>
      <c:catAx>
        <c:axId val="20639487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Depth Interval (cm)</a:t>
                </a:r>
              </a:p>
            </c:rich>
          </c:tx>
          <c:layout>
            <c:manualLayout>
              <c:xMode val="edge"/>
              <c:yMode val="edge"/>
              <c:x val="5.3562692903658831E-4"/>
              <c:y val="0.43877815021569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75759"/>
        <c:crosses val="autoZero"/>
        <c:auto val="1"/>
        <c:lblAlgn val="ctr"/>
        <c:lblOffset val="100"/>
        <c:noMultiLvlLbl val="0"/>
      </c:catAx>
      <c:valAx>
        <c:axId val="2064175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Wt%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abundance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4873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SiO</a:t>
            </a:r>
            <a:r>
              <a:rPr lang="en-US" sz="1800" b="1" baseline="-25000">
                <a:solidFill>
                  <a:schemeClr val="tx1"/>
                </a:solidFill>
              </a:rPr>
              <a:t>2</a:t>
            </a:r>
            <a:r>
              <a:rPr lang="en-US" sz="1800" b="1">
                <a:solidFill>
                  <a:schemeClr val="tx1"/>
                </a:solidFill>
              </a:rPr>
              <a:t> Chemistry versus</a:t>
            </a:r>
            <a:r>
              <a:rPr lang="en-US" sz="1800" b="1" baseline="0">
                <a:solidFill>
                  <a:schemeClr val="tx1"/>
                </a:solidFill>
              </a:rPr>
              <a:t> QXRD</a:t>
            </a:r>
            <a:endParaRPr lang="en-US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50653580862010694"/>
          <c:y val="0.80873488636787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39056886636978"/>
          <c:y val="3.5882687914654862E-2"/>
          <c:w val="0.85586169037024939"/>
          <c:h val="0.8662644552199547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1807003855666893E-2"/>
                  <c:y val="0.5826232961615718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6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chemeClr val="tx1"/>
                        </a:solidFill>
                      </a:rPr>
                      <a:t>y = 0.91x + 9.5</a:t>
                    </a:r>
                    <a:br>
                      <a:rPr lang="en-US" sz="1600" b="1" baseline="0">
                        <a:solidFill>
                          <a:schemeClr val="tx1"/>
                        </a:solidFill>
                      </a:rPr>
                    </a:br>
                    <a:r>
                      <a:rPr lang="en-US" sz="1600" b="1" baseline="0">
                        <a:solidFill>
                          <a:schemeClr val="tx1"/>
                        </a:solidFill>
                      </a:rPr>
                      <a:t>R² = 0.73</a:t>
                    </a:r>
                  </a:p>
                  <a:p>
                    <a:pPr>
                      <a:defRPr sz="1600"/>
                    </a:pPr>
                    <a:r>
                      <a:rPr lang="en-US" sz="1600" b="1" baseline="0">
                        <a:solidFill>
                          <a:schemeClr val="tx1"/>
                        </a:solidFill>
                      </a:rPr>
                      <a:t>SE = 4.7%</a:t>
                    </a:r>
                    <a:endParaRPr lang="en-US" sz="1600" b="1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'Chem Results'!$O$7:$O$123</c:f>
              <c:numCache>
                <c:formatCode>General</c:formatCode>
                <c:ptCount val="117"/>
                <c:pt idx="0">
                  <c:v>77.02</c:v>
                </c:pt>
                <c:pt idx="1">
                  <c:v>52.35</c:v>
                </c:pt>
                <c:pt idx="2">
                  <c:v>48.23</c:v>
                </c:pt>
                <c:pt idx="3">
                  <c:v>49.28</c:v>
                </c:pt>
                <c:pt idx="4">
                  <c:v>58.34</c:v>
                </c:pt>
                <c:pt idx="5">
                  <c:v>60.74</c:v>
                </c:pt>
                <c:pt idx="6">
                  <c:v>59.67</c:v>
                </c:pt>
                <c:pt idx="7">
                  <c:v>58.26</c:v>
                </c:pt>
                <c:pt idx="8">
                  <c:v>65.959999999999994</c:v>
                </c:pt>
                <c:pt idx="9">
                  <c:v>81.3</c:v>
                </c:pt>
                <c:pt idx="10">
                  <c:v>81.63</c:v>
                </c:pt>
                <c:pt idx="11">
                  <c:v>66.11</c:v>
                </c:pt>
                <c:pt idx="12">
                  <c:v>51.28</c:v>
                </c:pt>
                <c:pt idx="13">
                  <c:v>51.66</c:v>
                </c:pt>
                <c:pt idx="14">
                  <c:v>49.72</c:v>
                </c:pt>
                <c:pt idx="15">
                  <c:v>51.22</c:v>
                </c:pt>
                <c:pt idx="16">
                  <c:v>54.47</c:v>
                </c:pt>
                <c:pt idx="17">
                  <c:v>55.48</c:v>
                </c:pt>
                <c:pt idx="18">
                  <c:v>56.59</c:v>
                </c:pt>
                <c:pt idx="19">
                  <c:v>62.4</c:v>
                </c:pt>
                <c:pt idx="20">
                  <c:v>73.95</c:v>
                </c:pt>
                <c:pt idx="21">
                  <c:v>76.709999999999994</c:v>
                </c:pt>
                <c:pt idx="22">
                  <c:v>73.75</c:v>
                </c:pt>
                <c:pt idx="23">
                  <c:v>70.12</c:v>
                </c:pt>
                <c:pt idx="24">
                  <c:v>65.98</c:v>
                </c:pt>
                <c:pt idx="25">
                  <c:v>68.989999999999995</c:v>
                </c:pt>
                <c:pt idx="26">
                  <c:v>71.56</c:v>
                </c:pt>
                <c:pt idx="27">
                  <c:v>71.709999999999994</c:v>
                </c:pt>
                <c:pt idx="28">
                  <c:v>70.849999999999994</c:v>
                </c:pt>
                <c:pt idx="29">
                  <c:v>66.010000000000005</c:v>
                </c:pt>
                <c:pt idx="30">
                  <c:v>65.290000000000006</c:v>
                </c:pt>
                <c:pt idx="31">
                  <c:v>67.42</c:v>
                </c:pt>
                <c:pt idx="32">
                  <c:v>70.25</c:v>
                </c:pt>
                <c:pt idx="33">
                  <c:v>68.19</c:v>
                </c:pt>
                <c:pt idx="34">
                  <c:v>71.989999999999995</c:v>
                </c:pt>
                <c:pt idx="35">
                  <c:v>54.69</c:v>
                </c:pt>
                <c:pt idx="36">
                  <c:v>61.27</c:v>
                </c:pt>
                <c:pt idx="37">
                  <c:v>57.8</c:v>
                </c:pt>
                <c:pt idx="38">
                  <c:v>65.05</c:v>
                </c:pt>
                <c:pt idx="39">
                  <c:v>72.73</c:v>
                </c:pt>
                <c:pt idx="40">
                  <c:v>71.72</c:v>
                </c:pt>
                <c:pt idx="41">
                  <c:v>62.79</c:v>
                </c:pt>
                <c:pt idx="42">
                  <c:v>68.540000000000006</c:v>
                </c:pt>
                <c:pt idx="43">
                  <c:v>54.05</c:v>
                </c:pt>
                <c:pt idx="44">
                  <c:v>66.08</c:v>
                </c:pt>
                <c:pt idx="45">
                  <c:v>70.540000000000006</c:v>
                </c:pt>
                <c:pt idx="46">
                  <c:v>72.84</c:v>
                </c:pt>
                <c:pt idx="47">
                  <c:v>74.97</c:v>
                </c:pt>
                <c:pt idx="48">
                  <c:v>64.52</c:v>
                </c:pt>
                <c:pt idx="49">
                  <c:v>52.37</c:v>
                </c:pt>
                <c:pt idx="50">
                  <c:v>54.6</c:v>
                </c:pt>
                <c:pt idx="51">
                  <c:v>53.81</c:v>
                </c:pt>
                <c:pt idx="52">
                  <c:v>56.35</c:v>
                </c:pt>
                <c:pt idx="53">
                  <c:v>58.26</c:v>
                </c:pt>
                <c:pt idx="54">
                  <c:v>58.97</c:v>
                </c:pt>
                <c:pt idx="55">
                  <c:v>58.48</c:v>
                </c:pt>
                <c:pt idx="56">
                  <c:v>57.42</c:v>
                </c:pt>
                <c:pt idx="57">
                  <c:v>57.6</c:v>
                </c:pt>
                <c:pt idx="58">
                  <c:v>54.67</c:v>
                </c:pt>
                <c:pt idx="59">
                  <c:v>70.239999999999995</c:v>
                </c:pt>
                <c:pt idx="60">
                  <c:v>71.790000000000006</c:v>
                </c:pt>
                <c:pt idx="61">
                  <c:v>62.73</c:v>
                </c:pt>
                <c:pt idx="62">
                  <c:v>52.2</c:v>
                </c:pt>
                <c:pt idx="63">
                  <c:v>58.92</c:v>
                </c:pt>
                <c:pt idx="64">
                  <c:v>69.94</c:v>
                </c:pt>
                <c:pt idx="65">
                  <c:v>60.5</c:v>
                </c:pt>
                <c:pt idx="66">
                  <c:v>65.63</c:v>
                </c:pt>
                <c:pt idx="67">
                  <c:v>56.04</c:v>
                </c:pt>
                <c:pt idx="68">
                  <c:v>60.15</c:v>
                </c:pt>
                <c:pt idx="69">
                  <c:v>55.89</c:v>
                </c:pt>
                <c:pt idx="70">
                  <c:v>51.7</c:v>
                </c:pt>
                <c:pt idx="71">
                  <c:v>75.78</c:v>
                </c:pt>
                <c:pt idx="72">
                  <c:v>75.47</c:v>
                </c:pt>
                <c:pt idx="73">
                  <c:v>69.19</c:v>
                </c:pt>
                <c:pt idx="74">
                  <c:v>63.04</c:v>
                </c:pt>
                <c:pt idx="75">
                  <c:v>62.76</c:v>
                </c:pt>
                <c:pt idx="76">
                  <c:v>66.180000000000007</c:v>
                </c:pt>
                <c:pt idx="77">
                  <c:v>61.35</c:v>
                </c:pt>
                <c:pt idx="78">
                  <c:v>81.59</c:v>
                </c:pt>
                <c:pt idx="79">
                  <c:v>85.97</c:v>
                </c:pt>
                <c:pt idx="80">
                  <c:v>84.94</c:v>
                </c:pt>
                <c:pt idx="81">
                  <c:v>58.39</c:v>
                </c:pt>
                <c:pt idx="82">
                  <c:v>55.93</c:v>
                </c:pt>
                <c:pt idx="83">
                  <c:v>53.53</c:v>
                </c:pt>
                <c:pt idx="84">
                  <c:v>55.12</c:v>
                </c:pt>
                <c:pt idx="85">
                  <c:v>56.98</c:v>
                </c:pt>
                <c:pt idx="86">
                  <c:v>55.96</c:v>
                </c:pt>
                <c:pt idx="87">
                  <c:v>54.92</c:v>
                </c:pt>
                <c:pt idx="88">
                  <c:v>57.19</c:v>
                </c:pt>
                <c:pt idx="89">
                  <c:v>57.81</c:v>
                </c:pt>
                <c:pt idx="90">
                  <c:v>56.82</c:v>
                </c:pt>
                <c:pt idx="91">
                  <c:v>57.67</c:v>
                </c:pt>
                <c:pt idx="92">
                  <c:v>67.97</c:v>
                </c:pt>
                <c:pt idx="93">
                  <c:v>52.27</c:v>
                </c:pt>
                <c:pt idx="94">
                  <c:v>51.37</c:v>
                </c:pt>
                <c:pt idx="95">
                  <c:v>51.5</c:v>
                </c:pt>
                <c:pt idx="96">
                  <c:v>58.2</c:v>
                </c:pt>
                <c:pt idx="97">
                  <c:v>52.51</c:v>
                </c:pt>
                <c:pt idx="98">
                  <c:v>58.71</c:v>
                </c:pt>
                <c:pt idx="99">
                  <c:v>60.68</c:v>
                </c:pt>
                <c:pt idx="100">
                  <c:v>62.34</c:v>
                </c:pt>
                <c:pt idx="101">
                  <c:v>62.91</c:v>
                </c:pt>
                <c:pt idx="102">
                  <c:v>62.34</c:v>
                </c:pt>
                <c:pt idx="103">
                  <c:v>53.2</c:v>
                </c:pt>
                <c:pt idx="104">
                  <c:v>52.63</c:v>
                </c:pt>
                <c:pt idx="105">
                  <c:v>76.150000000000006</c:v>
                </c:pt>
                <c:pt idx="106">
                  <c:v>77.87</c:v>
                </c:pt>
                <c:pt idx="107">
                  <c:v>67.319999999999993</c:v>
                </c:pt>
                <c:pt idx="108">
                  <c:v>52.78</c:v>
                </c:pt>
                <c:pt idx="109">
                  <c:v>57.08</c:v>
                </c:pt>
                <c:pt idx="110">
                  <c:v>58.73</c:v>
                </c:pt>
                <c:pt idx="111">
                  <c:v>55.77</c:v>
                </c:pt>
                <c:pt idx="112">
                  <c:v>63.64</c:v>
                </c:pt>
                <c:pt idx="113">
                  <c:v>63.97</c:v>
                </c:pt>
                <c:pt idx="114">
                  <c:v>58.42</c:v>
                </c:pt>
                <c:pt idx="115">
                  <c:v>63.75</c:v>
                </c:pt>
                <c:pt idx="116">
                  <c:v>66.290000000000006</c:v>
                </c:pt>
              </c:numCache>
            </c:numRef>
          </c:xVal>
          <c:yVal>
            <c:numRef>
              <c:f>'Chem Results'!$DY$7:$DY$123</c:f>
              <c:numCache>
                <c:formatCode>0.0</c:formatCode>
                <c:ptCount val="117"/>
                <c:pt idx="0">
                  <c:v>82.943701598290289</c:v>
                </c:pt>
                <c:pt idx="1">
                  <c:v>56.855404981987832</c:v>
                </c:pt>
                <c:pt idx="2">
                  <c:v>52.085384571241697</c:v>
                </c:pt>
                <c:pt idx="3">
                  <c:v>51.345624187343262</c:v>
                </c:pt>
                <c:pt idx="4">
                  <c:v>64.743429565681581</c:v>
                </c:pt>
                <c:pt idx="5">
                  <c:v>60.260662777754547</c:v>
                </c:pt>
                <c:pt idx="6">
                  <c:v>62.660262536203206</c:v>
                </c:pt>
                <c:pt idx="7">
                  <c:v>63.041876258913717</c:v>
                </c:pt>
                <c:pt idx="8">
                  <c:v>65.082502346267958</c:v>
                </c:pt>
                <c:pt idx="9">
                  <c:v>88.169146657594567</c:v>
                </c:pt>
                <c:pt idx="10">
                  <c:v>87.453867417357799</c:v>
                </c:pt>
                <c:pt idx="11">
                  <c:v>71.89601913370889</c:v>
                </c:pt>
                <c:pt idx="12">
                  <c:v>57.695200209684025</c:v>
                </c:pt>
                <c:pt idx="13">
                  <c:v>56.641075474100269</c:v>
                </c:pt>
                <c:pt idx="14">
                  <c:v>53.469256910612785</c:v>
                </c:pt>
                <c:pt idx="15">
                  <c:v>54.648893591943903</c:v>
                </c:pt>
                <c:pt idx="16">
                  <c:v>54.907620336908501</c:v>
                </c:pt>
                <c:pt idx="17">
                  <c:v>59.774288343576053</c:v>
                </c:pt>
                <c:pt idx="18">
                  <c:v>61.230551754284654</c:v>
                </c:pt>
                <c:pt idx="19">
                  <c:v>65.756696054686998</c:v>
                </c:pt>
                <c:pt idx="20">
                  <c:v>82.918779263022429</c:v>
                </c:pt>
                <c:pt idx="21">
                  <c:v>80.938580860693705</c:v>
                </c:pt>
                <c:pt idx="22">
                  <c:v>79.130661055257093</c:v>
                </c:pt>
                <c:pt idx="23">
                  <c:v>77.025531991868533</c:v>
                </c:pt>
                <c:pt idx="24">
                  <c:v>72.259652942307468</c:v>
                </c:pt>
                <c:pt idx="25">
                  <c:v>75.009865843032017</c:v>
                </c:pt>
                <c:pt idx="26">
                  <c:v>78.478904885005988</c:v>
                </c:pt>
                <c:pt idx="27">
                  <c:v>76.725025711355158</c:v>
                </c:pt>
                <c:pt idx="28">
                  <c:v>75.755028049044896</c:v>
                </c:pt>
                <c:pt idx="29">
                  <c:v>72.216479824073673</c:v>
                </c:pt>
                <c:pt idx="30">
                  <c:v>71.494692982597201</c:v>
                </c:pt>
                <c:pt idx="31">
                  <c:v>70.824705584805642</c:v>
                </c:pt>
                <c:pt idx="32">
                  <c:v>74.036366804202189</c:v>
                </c:pt>
                <c:pt idx="33">
                  <c:v>73.687842759226797</c:v>
                </c:pt>
                <c:pt idx="34">
                  <c:v>79.658829027426819</c:v>
                </c:pt>
                <c:pt idx="35">
                  <c:v>61.02911501923991</c:v>
                </c:pt>
                <c:pt idx="36">
                  <c:v>65.093833516873929</c:v>
                </c:pt>
                <c:pt idx="37">
                  <c:v>67.001278987772778</c:v>
                </c:pt>
                <c:pt idx="38">
                  <c:v>73.922183278573598</c:v>
                </c:pt>
                <c:pt idx="39">
                  <c:v>74.440214353908814</c:v>
                </c:pt>
                <c:pt idx="40">
                  <c:v>70.673690203507988</c:v>
                </c:pt>
                <c:pt idx="41">
                  <c:v>64.795566201994191</c:v>
                </c:pt>
                <c:pt idx="42">
                  <c:v>70.3556510802063</c:v>
                </c:pt>
                <c:pt idx="43">
                  <c:v>59.722027272750744</c:v>
                </c:pt>
                <c:pt idx="44">
                  <c:v>66.892950618350383</c:v>
                </c:pt>
                <c:pt idx="45">
                  <c:v>70.408680716981237</c:v>
                </c:pt>
                <c:pt idx="46">
                  <c:v>72.181842270776244</c:v>
                </c:pt>
                <c:pt idx="47">
                  <c:v>80.329572590632594</c:v>
                </c:pt>
                <c:pt idx="48">
                  <c:v>72.362232015451596</c:v>
                </c:pt>
                <c:pt idx="49">
                  <c:v>56.046329303637258</c:v>
                </c:pt>
                <c:pt idx="50">
                  <c:v>55.367886034630509</c:v>
                </c:pt>
                <c:pt idx="51">
                  <c:v>56.760027831218288</c:v>
                </c:pt>
                <c:pt idx="52">
                  <c:v>59.07361556816079</c:v>
                </c:pt>
                <c:pt idx="53">
                  <c:v>63.356229106882623</c:v>
                </c:pt>
                <c:pt idx="54">
                  <c:v>58.695439608449618</c:v>
                </c:pt>
                <c:pt idx="55">
                  <c:v>58.783825464707363</c:v>
                </c:pt>
                <c:pt idx="56">
                  <c:v>57.471601934354844</c:v>
                </c:pt>
                <c:pt idx="57">
                  <c:v>56.093656924975754</c:v>
                </c:pt>
                <c:pt idx="58">
                  <c:v>54.10921210524581</c:v>
                </c:pt>
                <c:pt idx="59">
                  <c:v>75.170630558352386</c:v>
                </c:pt>
                <c:pt idx="60">
                  <c:v>76.149753175288254</c:v>
                </c:pt>
                <c:pt idx="61">
                  <c:v>67.307105643356252</c:v>
                </c:pt>
                <c:pt idx="62">
                  <c:v>58.157606137927822</c:v>
                </c:pt>
                <c:pt idx="63">
                  <c:v>62.805147428436157</c:v>
                </c:pt>
                <c:pt idx="64">
                  <c:v>66.728245978625196</c:v>
                </c:pt>
                <c:pt idx="65">
                  <c:v>71.853990056146174</c:v>
                </c:pt>
                <c:pt idx="66">
                  <c:v>70.145481778376805</c:v>
                </c:pt>
                <c:pt idx="67">
                  <c:v>61.999127142216693</c:v>
                </c:pt>
                <c:pt idx="68">
                  <c:v>66.96344867991229</c:v>
                </c:pt>
                <c:pt idx="69">
                  <c:v>68.145785868389922</c:v>
                </c:pt>
                <c:pt idx="70">
                  <c:v>60.162757223618911</c:v>
                </c:pt>
                <c:pt idx="71">
                  <c:v>78.882229508171491</c:v>
                </c:pt>
                <c:pt idx="72">
                  <c:v>74.188428186923332</c:v>
                </c:pt>
                <c:pt idx="73">
                  <c:v>79.314175972185296</c:v>
                </c:pt>
                <c:pt idx="74">
                  <c:v>75.515458871805578</c:v>
                </c:pt>
                <c:pt idx="75">
                  <c:v>68.88678450725169</c:v>
                </c:pt>
                <c:pt idx="76">
                  <c:v>73.12363887429575</c:v>
                </c:pt>
                <c:pt idx="77">
                  <c:v>68.807274336832663</c:v>
                </c:pt>
                <c:pt idx="78">
                  <c:v>80.56889595797206</c:v>
                </c:pt>
                <c:pt idx="79">
                  <c:v>80.102783800066376</c:v>
                </c:pt>
                <c:pt idx="80">
                  <c:v>80.701057619132229</c:v>
                </c:pt>
                <c:pt idx="81">
                  <c:v>62.995614588864242</c:v>
                </c:pt>
                <c:pt idx="82">
                  <c:v>53.115505563792567</c:v>
                </c:pt>
                <c:pt idx="83">
                  <c:v>51.43245813398417</c:v>
                </c:pt>
                <c:pt idx="84">
                  <c:v>55.352771470121766</c:v>
                </c:pt>
                <c:pt idx="85">
                  <c:v>55.644819484354876</c:v>
                </c:pt>
                <c:pt idx="86">
                  <c:v>57.972077389412235</c:v>
                </c:pt>
                <c:pt idx="87">
                  <c:v>58.780182935627778</c:v>
                </c:pt>
                <c:pt idx="88">
                  <c:v>58.903918670097532</c:v>
                </c:pt>
                <c:pt idx="89">
                  <c:v>57.771761898911244</c:v>
                </c:pt>
                <c:pt idx="90">
                  <c:v>62.252237699190637</c:v>
                </c:pt>
                <c:pt idx="91">
                  <c:v>62.553737860387685</c:v>
                </c:pt>
                <c:pt idx="92">
                  <c:v>62.553737860387685</c:v>
                </c:pt>
                <c:pt idx="93">
                  <c:v>73.336179580280415</c:v>
                </c:pt>
                <c:pt idx="94">
                  <c:v>56.541025561562307</c:v>
                </c:pt>
                <c:pt idx="95">
                  <c:v>51.81009843544139</c:v>
                </c:pt>
                <c:pt idx="96">
                  <c:v>50.320426975248026</c:v>
                </c:pt>
                <c:pt idx="97">
                  <c:v>48.830755515054662</c:v>
                </c:pt>
                <c:pt idx="98">
                  <c:v>57.360994445943291</c:v>
                </c:pt>
                <c:pt idx="99">
                  <c:v>61.011385985090037</c:v>
                </c:pt>
                <c:pt idx="100">
                  <c:v>64.167564551655701</c:v>
                </c:pt>
                <c:pt idx="101">
                  <c:v>63.598396906424917</c:v>
                </c:pt>
                <c:pt idx="102">
                  <c:v>61.393824512531523</c:v>
                </c:pt>
                <c:pt idx="103">
                  <c:v>55.64235915885439</c:v>
                </c:pt>
                <c:pt idx="104">
                  <c:v>55.492510241504625</c:v>
                </c:pt>
                <c:pt idx="105">
                  <c:v>79.411371658628553</c:v>
                </c:pt>
                <c:pt idx="106">
                  <c:v>69.761610307438517</c:v>
                </c:pt>
                <c:pt idx="107">
                  <c:v>59.425462637998628</c:v>
                </c:pt>
                <c:pt idx="108">
                  <c:v>63.738938968740165</c:v>
                </c:pt>
                <c:pt idx="109">
                  <c:v>68.113898155076939</c:v>
                </c:pt>
                <c:pt idx="110">
                  <c:v>73.96547426452058</c:v>
                </c:pt>
                <c:pt idx="111">
                  <c:v>73.174951214165858</c:v>
                </c:pt>
                <c:pt idx="112">
                  <c:v>72.34100297522032</c:v>
                </c:pt>
                <c:pt idx="113">
                  <c:v>72.459619548091737</c:v>
                </c:pt>
                <c:pt idx="114">
                  <c:v>68.496716958122164</c:v>
                </c:pt>
                <c:pt idx="115">
                  <c:v>71.533547063478338</c:v>
                </c:pt>
                <c:pt idx="116">
                  <c:v>69.979953615790407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7-1C4B-B27C-A1013F75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33855"/>
        <c:axId val="813165327"/>
      </c:scatterChart>
      <c:valAx>
        <c:axId val="813233855"/>
        <c:scaling>
          <c:orientation val="minMax"/>
          <c:max val="90"/>
          <c:min val="4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Wt%</a:t>
                </a:r>
                <a:r>
                  <a:rPr lang="en-US" sz="16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SiO</a:t>
                </a:r>
                <a:r>
                  <a:rPr lang="en-US" sz="1600" b="1" baseline="-250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2</a:t>
                </a:r>
                <a:r>
                  <a:rPr lang="en-US" sz="16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Chemical</a:t>
                </a:r>
                <a:endParaRPr lang="en-US" sz="16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65327"/>
        <c:crosses val="autoZero"/>
        <c:crossBetween val="midCat"/>
      </c:valAx>
      <c:valAx>
        <c:axId val="813165327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Wt%</a:t>
                </a:r>
                <a:r>
                  <a:rPr lang="en-US" sz="16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SiO</a:t>
                </a:r>
                <a:r>
                  <a:rPr lang="en-US" sz="1600" b="1" baseline="-250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2</a:t>
                </a:r>
                <a:r>
                  <a:rPr lang="en-US" sz="16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QXRD</a:t>
                </a:r>
                <a:endParaRPr lang="en-US" sz="16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33855"/>
        <c:crosses val="autoZero"/>
        <c:crossBetween val="midCat"/>
      </c:valAx>
      <c:spPr>
        <a:noFill/>
        <a:ln w="19050"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Al</a:t>
            </a:r>
            <a:r>
              <a:rPr lang="en-US" sz="1800" baseline="-25000"/>
              <a:t>2</a:t>
            </a:r>
            <a:r>
              <a:rPr lang="en-US" sz="1800" b="1" i="0" baseline="0">
                <a:effectLst/>
              </a:rPr>
              <a:t>O</a:t>
            </a:r>
            <a:r>
              <a:rPr lang="en-US" sz="1800" b="1" i="0" baseline="-25000">
                <a:effectLst/>
              </a:rPr>
              <a:t>3</a:t>
            </a:r>
            <a:r>
              <a:rPr lang="en-US" sz="1800" b="1" i="0" baseline="0">
                <a:effectLst/>
              </a:rPr>
              <a:t> Chemistry versus QXRD</a:t>
            </a:r>
            <a:endParaRPr lang="en-US" sz="1800">
              <a:effectLst/>
            </a:endParaRPr>
          </a:p>
        </c:rich>
      </c:tx>
      <c:layout>
        <c:manualLayout>
          <c:xMode val="edge"/>
          <c:yMode val="edge"/>
          <c:x val="0.48938400535783583"/>
          <c:y val="0.81141697298205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7605998773204"/>
          <c:y val="3.5882687914654862E-2"/>
          <c:w val="0.83797616514151951"/>
          <c:h val="0.84915254039631305"/>
        </c:manualLayout>
      </c:layout>
      <c:scatterChart>
        <c:scatterStyle val="lineMarker"/>
        <c:varyColors val="0"/>
        <c:ser>
          <c:idx val="0"/>
          <c:order val="0"/>
          <c:tx>
            <c:v>Al2O3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6936587269075754E-2"/>
                  <c:y val="0.3946989900147466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6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y = 0.69x + 4.19</a:t>
                    </a:r>
                    <a:b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</a:b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R² = 0.61</a:t>
                    </a:r>
                  </a:p>
                  <a:p>
                    <a:pPr>
                      <a:defRPr sz="1600"/>
                    </a:pPr>
                    <a:r>
                      <a:rPr lang="en-US" sz="1600" b="1" i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SE</a:t>
                    </a: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 = 3.3%</a:t>
                    </a:r>
                    <a:endParaRPr lang="en-US" sz="1600" b="1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'Chem Results'!$DZ$7:$DZ$123</c:f>
              <c:numCache>
                <c:formatCode>0.0</c:formatCode>
                <c:ptCount val="117"/>
                <c:pt idx="0">
                  <c:v>11.005021800828969</c:v>
                </c:pt>
                <c:pt idx="1">
                  <c:v>29.067903123349716</c:v>
                </c:pt>
                <c:pt idx="2">
                  <c:v>31.681567616614142</c:v>
                </c:pt>
                <c:pt idx="3">
                  <c:v>28.565717621703612</c:v>
                </c:pt>
                <c:pt idx="4">
                  <c:v>21.47224368457066</c:v>
                </c:pt>
                <c:pt idx="5">
                  <c:v>24.920135857403178</c:v>
                </c:pt>
                <c:pt idx="6">
                  <c:v>23.158475505563445</c:v>
                </c:pt>
                <c:pt idx="7">
                  <c:v>22.378247301607512</c:v>
                </c:pt>
                <c:pt idx="8">
                  <c:v>21.380899937241107</c:v>
                </c:pt>
                <c:pt idx="9">
                  <c:v>7.5244891007406585</c:v>
                </c:pt>
                <c:pt idx="10">
                  <c:v>7.9509323221552419</c:v>
                </c:pt>
                <c:pt idx="11">
                  <c:v>18.983480815718035</c:v>
                </c:pt>
                <c:pt idx="12">
                  <c:v>27.961118393728015</c:v>
                </c:pt>
                <c:pt idx="13">
                  <c:v>28.977945795316522</c:v>
                </c:pt>
                <c:pt idx="14">
                  <c:v>28.76064963918688</c:v>
                </c:pt>
                <c:pt idx="15">
                  <c:v>28.270406089702437</c:v>
                </c:pt>
                <c:pt idx="16">
                  <c:v>27.249861341460868</c:v>
                </c:pt>
                <c:pt idx="17">
                  <c:v>22.921225618699872</c:v>
                </c:pt>
                <c:pt idx="18">
                  <c:v>19.531577060653085</c:v>
                </c:pt>
                <c:pt idx="19">
                  <c:v>15.619107788212617</c:v>
                </c:pt>
                <c:pt idx="20">
                  <c:v>10.004957088181358</c:v>
                </c:pt>
                <c:pt idx="21">
                  <c:v>11.009635469121488</c:v>
                </c:pt>
                <c:pt idx="22">
                  <c:v>11.855709381083015</c:v>
                </c:pt>
                <c:pt idx="23">
                  <c:v>13.317994867264622</c:v>
                </c:pt>
                <c:pt idx="24">
                  <c:v>17.171848233074012</c:v>
                </c:pt>
                <c:pt idx="25">
                  <c:v>14.837095960398575</c:v>
                </c:pt>
                <c:pt idx="26">
                  <c:v>12.329870413439258</c:v>
                </c:pt>
                <c:pt idx="27">
                  <c:v>13.373439270883807</c:v>
                </c:pt>
                <c:pt idx="28">
                  <c:v>15.087447439335728</c:v>
                </c:pt>
                <c:pt idx="29">
                  <c:v>16.601926385299613</c:v>
                </c:pt>
                <c:pt idx="30">
                  <c:v>17.468178075300024</c:v>
                </c:pt>
                <c:pt idx="31">
                  <c:v>17.187980320193954</c:v>
                </c:pt>
                <c:pt idx="32">
                  <c:v>15.173517712803275</c:v>
                </c:pt>
                <c:pt idx="33">
                  <c:v>15.891495218944888</c:v>
                </c:pt>
                <c:pt idx="34">
                  <c:v>11.306816393713536</c:v>
                </c:pt>
                <c:pt idx="35">
                  <c:v>23.035251393207592</c:v>
                </c:pt>
                <c:pt idx="36">
                  <c:v>20.662945204747928</c:v>
                </c:pt>
                <c:pt idx="37">
                  <c:v>19.828283222347096</c:v>
                </c:pt>
                <c:pt idx="38">
                  <c:v>15.772565494775193</c:v>
                </c:pt>
                <c:pt idx="39">
                  <c:v>14.697366152101266</c:v>
                </c:pt>
                <c:pt idx="40">
                  <c:v>16.316947007217063</c:v>
                </c:pt>
                <c:pt idx="41">
                  <c:v>21.544610543294272</c:v>
                </c:pt>
                <c:pt idx="42">
                  <c:v>18.037405789400129</c:v>
                </c:pt>
                <c:pt idx="43">
                  <c:v>25.027573861330648</c:v>
                </c:pt>
                <c:pt idx="44">
                  <c:v>20.633694400356706</c:v>
                </c:pt>
                <c:pt idx="45">
                  <c:v>17.540796279186516</c:v>
                </c:pt>
                <c:pt idx="46">
                  <c:v>16.119269416098785</c:v>
                </c:pt>
                <c:pt idx="47">
                  <c:v>13.383285770925434</c:v>
                </c:pt>
                <c:pt idx="48">
                  <c:v>18.99089349110394</c:v>
                </c:pt>
                <c:pt idx="49">
                  <c:v>21.901605333243829</c:v>
                </c:pt>
                <c:pt idx="50">
                  <c:v>23.488437657595046</c:v>
                </c:pt>
                <c:pt idx="51">
                  <c:v>23.238422910978809</c:v>
                </c:pt>
                <c:pt idx="52">
                  <c:v>22.094915942474248</c:v>
                </c:pt>
                <c:pt idx="53">
                  <c:v>21.131484371156279</c:v>
                </c:pt>
                <c:pt idx="54">
                  <c:v>22.067742906584854</c:v>
                </c:pt>
                <c:pt idx="55">
                  <c:v>21.123105101197716</c:v>
                </c:pt>
                <c:pt idx="56">
                  <c:v>22.657335556874493</c:v>
                </c:pt>
                <c:pt idx="57">
                  <c:v>23.550490037756209</c:v>
                </c:pt>
                <c:pt idx="58">
                  <c:v>24.975164402915357</c:v>
                </c:pt>
                <c:pt idx="59">
                  <c:v>16.713969352933713</c:v>
                </c:pt>
                <c:pt idx="60">
                  <c:v>15.967329344816472</c:v>
                </c:pt>
                <c:pt idx="61">
                  <c:v>19.819678565535593</c:v>
                </c:pt>
                <c:pt idx="62">
                  <c:v>23.881726181204328</c:v>
                </c:pt>
                <c:pt idx="63">
                  <c:v>21.166721823125673</c:v>
                </c:pt>
                <c:pt idx="64">
                  <c:v>19.313981228793249</c:v>
                </c:pt>
                <c:pt idx="65">
                  <c:v>16.981922478377147</c:v>
                </c:pt>
                <c:pt idx="66">
                  <c:v>18.073188065835947</c:v>
                </c:pt>
                <c:pt idx="67">
                  <c:v>23.604159775524518</c:v>
                </c:pt>
                <c:pt idx="68">
                  <c:v>19.413008431985212</c:v>
                </c:pt>
                <c:pt idx="69">
                  <c:v>18.735982183231759</c:v>
                </c:pt>
                <c:pt idx="70">
                  <c:v>20.158107059911163</c:v>
                </c:pt>
                <c:pt idx="71">
                  <c:v>14.577701371104792</c:v>
                </c:pt>
                <c:pt idx="72">
                  <c:v>17.57030710080306</c:v>
                </c:pt>
                <c:pt idx="73">
                  <c:v>13.456719232258768</c:v>
                </c:pt>
                <c:pt idx="74">
                  <c:v>16.13868485330514</c:v>
                </c:pt>
                <c:pt idx="75">
                  <c:v>21.494947641349903</c:v>
                </c:pt>
                <c:pt idx="76">
                  <c:v>18.634249407249786</c:v>
                </c:pt>
                <c:pt idx="77">
                  <c:v>21.943254119166859</c:v>
                </c:pt>
                <c:pt idx="78">
                  <c:v>13.404699972853237</c:v>
                </c:pt>
                <c:pt idx="79">
                  <c:v>13.638044880464012</c:v>
                </c:pt>
                <c:pt idx="80">
                  <c:v>13.245309292768651</c:v>
                </c:pt>
                <c:pt idx="81">
                  <c:v>21.526791321822756</c:v>
                </c:pt>
                <c:pt idx="82">
                  <c:v>24.638581667980116</c:v>
                </c:pt>
                <c:pt idx="83">
                  <c:v>25.148754576644212</c:v>
                </c:pt>
                <c:pt idx="84">
                  <c:v>23.363824386938798</c:v>
                </c:pt>
                <c:pt idx="85">
                  <c:v>23.959019060986801</c:v>
                </c:pt>
                <c:pt idx="86">
                  <c:v>23.60567663974291</c:v>
                </c:pt>
                <c:pt idx="87">
                  <c:v>23.646031452733759</c:v>
                </c:pt>
                <c:pt idx="88">
                  <c:v>23.418573922988514</c:v>
                </c:pt>
                <c:pt idx="89">
                  <c:v>23.339959885587628</c:v>
                </c:pt>
                <c:pt idx="90">
                  <c:v>23.515641466890866</c:v>
                </c:pt>
                <c:pt idx="91">
                  <c:v>23.421537930761573</c:v>
                </c:pt>
                <c:pt idx="92">
                  <c:v>23.421537930761573</c:v>
                </c:pt>
                <c:pt idx="93">
                  <c:v>17.713844194112088</c:v>
                </c:pt>
                <c:pt idx="94">
                  <c:v>25.198808788884758</c:v>
                </c:pt>
                <c:pt idx="95">
                  <c:v>29.329753234427475</c:v>
                </c:pt>
                <c:pt idx="96">
                  <c:v>30.947867290206354</c:v>
                </c:pt>
                <c:pt idx="97">
                  <c:v>32.565981345985229</c:v>
                </c:pt>
                <c:pt idx="98">
                  <c:v>25.552667632523995</c:v>
                </c:pt>
                <c:pt idx="99">
                  <c:v>23.70456424474617</c:v>
                </c:pt>
                <c:pt idx="100">
                  <c:v>22.083161225902408</c:v>
                </c:pt>
                <c:pt idx="101">
                  <c:v>22.279330447292196</c:v>
                </c:pt>
                <c:pt idx="102">
                  <c:v>22.735653809450369</c:v>
                </c:pt>
                <c:pt idx="103">
                  <c:v>25.97090131723812</c:v>
                </c:pt>
                <c:pt idx="104">
                  <c:v>26.639684781680611</c:v>
                </c:pt>
                <c:pt idx="105">
                  <c:v>13.324462677171791</c:v>
                </c:pt>
                <c:pt idx="106">
                  <c:v>19.887880044061955</c:v>
                </c:pt>
                <c:pt idx="107">
                  <c:v>25.76396963757125</c:v>
                </c:pt>
                <c:pt idx="108">
                  <c:v>23.003158182153786</c:v>
                </c:pt>
                <c:pt idx="109">
                  <c:v>19.770750806501152</c:v>
                </c:pt>
                <c:pt idx="110">
                  <c:v>15.214055516001771</c:v>
                </c:pt>
                <c:pt idx="111">
                  <c:v>16.493355880141877</c:v>
                </c:pt>
                <c:pt idx="112">
                  <c:v>16.298963917751571</c:v>
                </c:pt>
                <c:pt idx="113">
                  <c:v>15.929865813295018</c:v>
                </c:pt>
                <c:pt idx="114">
                  <c:v>17.653680951315074</c:v>
                </c:pt>
                <c:pt idx="115">
                  <c:v>16.544597353119929</c:v>
                </c:pt>
                <c:pt idx="116">
                  <c:v>17.815783159250305</c:v>
                </c:pt>
              </c:numCache>
            </c:numRef>
          </c:xVal>
          <c:yVal>
            <c:numRef>
              <c:f>'Chem Results'!$P$7:$P$123</c:f>
              <c:numCache>
                <c:formatCode>General</c:formatCode>
                <c:ptCount val="117"/>
                <c:pt idx="0">
                  <c:v>9.65</c:v>
                </c:pt>
                <c:pt idx="1">
                  <c:v>24.28</c:v>
                </c:pt>
                <c:pt idx="2">
                  <c:v>25.46</c:v>
                </c:pt>
                <c:pt idx="3">
                  <c:v>23.68</c:v>
                </c:pt>
                <c:pt idx="4">
                  <c:v>19.72</c:v>
                </c:pt>
                <c:pt idx="5">
                  <c:v>18.87</c:v>
                </c:pt>
                <c:pt idx="6">
                  <c:v>19</c:v>
                </c:pt>
                <c:pt idx="7">
                  <c:v>19.8</c:v>
                </c:pt>
                <c:pt idx="8">
                  <c:v>17.55</c:v>
                </c:pt>
                <c:pt idx="9">
                  <c:v>7.84</c:v>
                </c:pt>
                <c:pt idx="10">
                  <c:v>7.87</c:v>
                </c:pt>
                <c:pt idx="11">
                  <c:v>17.010000000000002</c:v>
                </c:pt>
                <c:pt idx="12">
                  <c:v>25</c:v>
                </c:pt>
                <c:pt idx="13">
                  <c:v>24.13</c:v>
                </c:pt>
                <c:pt idx="14">
                  <c:v>25.85</c:v>
                </c:pt>
                <c:pt idx="15">
                  <c:v>24.26</c:v>
                </c:pt>
                <c:pt idx="16">
                  <c:v>22.83</c:v>
                </c:pt>
                <c:pt idx="17">
                  <c:v>22.03</c:v>
                </c:pt>
                <c:pt idx="18">
                  <c:v>20.309999999999999</c:v>
                </c:pt>
                <c:pt idx="19">
                  <c:v>17.690000000000001</c:v>
                </c:pt>
                <c:pt idx="20">
                  <c:v>11.01</c:v>
                </c:pt>
                <c:pt idx="21">
                  <c:v>11.4</c:v>
                </c:pt>
                <c:pt idx="22">
                  <c:v>12.91</c:v>
                </c:pt>
                <c:pt idx="23">
                  <c:v>14.94</c:v>
                </c:pt>
                <c:pt idx="24">
                  <c:v>17.100000000000001</c:v>
                </c:pt>
                <c:pt idx="25">
                  <c:v>16.510000000000002</c:v>
                </c:pt>
                <c:pt idx="26">
                  <c:v>14.25</c:v>
                </c:pt>
                <c:pt idx="27">
                  <c:v>14.71</c:v>
                </c:pt>
                <c:pt idx="28">
                  <c:v>15.47</c:v>
                </c:pt>
                <c:pt idx="29">
                  <c:v>16.77</c:v>
                </c:pt>
                <c:pt idx="30">
                  <c:v>17.05</c:v>
                </c:pt>
                <c:pt idx="31">
                  <c:v>15.94</c:v>
                </c:pt>
                <c:pt idx="32">
                  <c:v>15.82</c:v>
                </c:pt>
                <c:pt idx="33">
                  <c:v>15.9</c:v>
                </c:pt>
                <c:pt idx="34">
                  <c:v>12.81</c:v>
                </c:pt>
                <c:pt idx="35">
                  <c:v>22.09</c:v>
                </c:pt>
                <c:pt idx="36">
                  <c:v>19.02</c:v>
                </c:pt>
                <c:pt idx="37">
                  <c:v>20.53</c:v>
                </c:pt>
                <c:pt idx="38">
                  <c:v>18.170000000000002</c:v>
                </c:pt>
                <c:pt idx="39">
                  <c:v>14</c:v>
                </c:pt>
                <c:pt idx="40">
                  <c:v>14.47</c:v>
                </c:pt>
                <c:pt idx="41">
                  <c:v>18.93</c:v>
                </c:pt>
                <c:pt idx="42">
                  <c:v>16.57</c:v>
                </c:pt>
                <c:pt idx="43">
                  <c:v>20.72</c:v>
                </c:pt>
                <c:pt idx="44">
                  <c:v>17.71</c:v>
                </c:pt>
                <c:pt idx="45">
                  <c:v>16.3</c:v>
                </c:pt>
                <c:pt idx="46">
                  <c:v>14.83</c:v>
                </c:pt>
                <c:pt idx="47">
                  <c:v>10.84</c:v>
                </c:pt>
                <c:pt idx="48">
                  <c:v>16.98</c:v>
                </c:pt>
                <c:pt idx="49">
                  <c:v>23.66</c:v>
                </c:pt>
                <c:pt idx="50">
                  <c:v>22.62</c:v>
                </c:pt>
                <c:pt idx="51">
                  <c:v>23.58</c:v>
                </c:pt>
                <c:pt idx="52">
                  <c:v>22.1</c:v>
                </c:pt>
                <c:pt idx="53">
                  <c:v>20.92</c:v>
                </c:pt>
                <c:pt idx="54">
                  <c:v>20.079999999999998</c:v>
                </c:pt>
                <c:pt idx="55">
                  <c:v>20.86</c:v>
                </c:pt>
                <c:pt idx="56">
                  <c:v>21.36</c:v>
                </c:pt>
                <c:pt idx="57">
                  <c:v>20.13</c:v>
                </c:pt>
                <c:pt idx="58">
                  <c:v>20.63</c:v>
                </c:pt>
                <c:pt idx="59">
                  <c:v>12.63</c:v>
                </c:pt>
                <c:pt idx="60">
                  <c:v>13.66</c:v>
                </c:pt>
                <c:pt idx="61">
                  <c:v>19.47</c:v>
                </c:pt>
                <c:pt idx="62">
                  <c:v>24.79</c:v>
                </c:pt>
                <c:pt idx="63">
                  <c:v>21.14</c:v>
                </c:pt>
                <c:pt idx="64">
                  <c:v>15.06</c:v>
                </c:pt>
                <c:pt idx="65">
                  <c:v>19.55</c:v>
                </c:pt>
                <c:pt idx="66">
                  <c:v>17.079999999999998</c:v>
                </c:pt>
                <c:pt idx="67">
                  <c:v>21.58</c:v>
                </c:pt>
                <c:pt idx="68">
                  <c:v>20.05</c:v>
                </c:pt>
                <c:pt idx="69">
                  <c:v>20.94</c:v>
                </c:pt>
                <c:pt idx="70">
                  <c:v>18.829999999999998</c:v>
                </c:pt>
                <c:pt idx="71">
                  <c:v>9.41</c:v>
                </c:pt>
                <c:pt idx="72">
                  <c:v>10.89</c:v>
                </c:pt>
                <c:pt idx="73">
                  <c:v>15.07</c:v>
                </c:pt>
                <c:pt idx="74">
                  <c:v>19.059999999999999</c:v>
                </c:pt>
                <c:pt idx="75">
                  <c:v>18.739999999999998</c:v>
                </c:pt>
                <c:pt idx="76">
                  <c:v>15.82</c:v>
                </c:pt>
                <c:pt idx="77">
                  <c:v>19.559999999999999</c:v>
                </c:pt>
                <c:pt idx="78">
                  <c:v>3.93</c:v>
                </c:pt>
                <c:pt idx="79">
                  <c:v>5.42</c:v>
                </c:pt>
                <c:pt idx="80">
                  <c:v>6.63</c:v>
                </c:pt>
                <c:pt idx="81">
                  <c:v>21.32</c:v>
                </c:pt>
                <c:pt idx="82">
                  <c:v>22.76</c:v>
                </c:pt>
                <c:pt idx="83">
                  <c:v>23.57</c:v>
                </c:pt>
                <c:pt idx="84">
                  <c:v>21.87</c:v>
                </c:pt>
                <c:pt idx="85">
                  <c:v>20.88</c:v>
                </c:pt>
                <c:pt idx="86">
                  <c:v>21.53</c:v>
                </c:pt>
                <c:pt idx="87">
                  <c:v>22.65</c:v>
                </c:pt>
                <c:pt idx="88">
                  <c:v>20.93</c:v>
                </c:pt>
                <c:pt idx="89">
                  <c:v>20.46</c:v>
                </c:pt>
                <c:pt idx="90">
                  <c:v>20.99</c:v>
                </c:pt>
                <c:pt idx="91">
                  <c:v>19.829999999999998</c:v>
                </c:pt>
                <c:pt idx="92">
                  <c:v>13.64</c:v>
                </c:pt>
                <c:pt idx="93">
                  <c:v>23.56</c:v>
                </c:pt>
                <c:pt idx="94">
                  <c:v>24.75</c:v>
                </c:pt>
                <c:pt idx="95">
                  <c:v>23.33</c:v>
                </c:pt>
                <c:pt idx="96">
                  <c:v>22.46</c:v>
                </c:pt>
                <c:pt idx="97">
                  <c:v>21.36</c:v>
                </c:pt>
                <c:pt idx="98">
                  <c:v>18.420000000000002</c:v>
                </c:pt>
                <c:pt idx="99">
                  <c:v>17.47</c:v>
                </c:pt>
                <c:pt idx="100">
                  <c:v>18.100000000000001</c:v>
                </c:pt>
                <c:pt idx="101">
                  <c:v>18.22</c:v>
                </c:pt>
                <c:pt idx="102">
                  <c:v>17.14</c:v>
                </c:pt>
                <c:pt idx="103">
                  <c:v>17.260000000000002</c:v>
                </c:pt>
                <c:pt idx="104">
                  <c:v>16.98</c:v>
                </c:pt>
                <c:pt idx="105">
                  <c:v>9.09</c:v>
                </c:pt>
                <c:pt idx="106">
                  <c:v>8.94</c:v>
                </c:pt>
                <c:pt idx="107">
                  <c:v>15.14</c:v>
                </c:pt>
                <c:pt idx="108">
                  <c:v>22.83</c:v>
                </c:pt>
                <c:pt idx="109">
                  <c:v>22.35</c:v>
                </c:pt>
                <c:pt idx="110">
                  <c:v>18.68</c:v>
                </c:pt>
                <c:pt idx="111">
                  <c:v>19.309999999999999</c:v>
                </c:pt>
                <c:pt idx="112">
                  <c:v>16.28</c:v>
                </c:pt>
                <c:pt idx="113">
                  <c:v>16.579999999999998</c:v>
                </c:pt>
                <c:pt idx="114">
                  <c:v>17.3</c:v>
                </c:pt>
                <c:pt idx="115">
                  <c:v>15.62</c:v>
                </c:pt>
                <c:pt idx="116">
                  <c:v>15.25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7-1C4B-B27C-A1013F75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33855"/>
        <c:axId val="813165327"/>
      </c:scatterChart>
      <c:valAx>
        <c:axId val="813233855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Wt% Al</a:t>
                </a:r>
                <a:r>
                  <a:rPr lang="en-US" sz="1600" b="1" i="0" baseline="-25000">
                    <a:effectLst/>
                  </a:rPr>
                  <a:t>2</a:t>
                </a:r>
                <a:r>
                  <a:rPr lang="en-US" sz="1600" b="1" i="0" baseline="0">
                    <a:effectLst/>
                  </a:rPr>
                  <a:t>O</a:t>
                </a:r>
                <a:r>
                  <a:rPr lang="en-US" sz="1600" b="1" i="0" baseline="-25000">
                    <a:effectLst/>
                  </a:rPr>
                  <a:t>3</a:t>
                </a:r>
                <a:r>
                  <a:rPr lang="en-US" sz="1600" b="1" i="0" baseline="0">
                    <a:effectLst/>
                  </a:rPr>
                  <a:t> Chemical</a:t>
                </a:r>
                <a:endParaRPr lang="en-US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65327"/>
        <c:crosses val="autoZero"/>
        <c:crossBetween val="midCat"/>
      </c:valAx>
      <c:valAx>
        <c:axId val="813165327"/>
        <c:scaling>
          <c:orientation val="minMax"/>
          <c:max val="35"/>
          <c:min val="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</a:rPr>
                  <a:t>Wt% Al</a:t>
                </a:r>
                <a:r>
                  <a:rPr lang="en-US" sz="1600" b="1" i="0" baseline="-2500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</a:rPr>
                  <a:t>2</a:t>
                </a:r>
                <a:r>
                  <a:rPr lang="en-US" sz="1600" b="1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</a:rPr>
                  <a:t>O</a:t>
                </a:r>
                <a:r>
                  <a:rPr lang="en-US" sz="1600" b="1" i="0" baseline="-2500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</a:rPr>
                  <a:t>3</a:t>
                </a:r>
                <a:r>
                  <a:rPr lang="en-US" sz="1600" b="1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effectLst/>
                  </a:rPr>
                  <a:t> QXRD</a:t>
                </a:r>
                <a:endParaRPr lang="en-US" sz="1600">
                  <a:solidFill>
                    <a:schemeClr val="tx1">
                      <a:lumMod val="95000"/>
                      <a:lumOff val="5000"/>
                    </a:scheme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33855"/>
        <c:crosses val="autoZero"/>
        <c:crossBetween val="midCat"/>
      </c:valAx>
      <c:spPr>
        <a:noFill/>
        <a:ln w="190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Fe</a:t>
            </a:r>
            <a:r>
              <a:rPr lang="en-US" sz="1800" baseline="-25000"/>
              <a:t>2</a:t>
            </a:r>
            <a:r>
              <a:rPr lang="en-US" sz="1800"/>
              <a:t>O</a:t>
            </a:r>
            <a:r>
              <a:rPr lang="en-US" sz="1800" baseline="-25000"/>
              <a:t>3</a:t>
            </a:r>
            <a:r>
              <a:rPr lang="en-US" sz="1800"/>
              <a:t> total </a:t>
            </a:r>
            <a:r>
              <a:rPr lang="en-US" sz="1800" b="1" i="0" u="none" strike="noStrike" baseline="0">
                <a:effectLst/>
              </a:rPr>
              <a:t>Chemistry versus QXRD</a:t>
            </a:r>
            <a:r>
              <a:rPr lang="en-US" sz="1800" b="1" i="0" u="none" strike="noStrike" baseline="0"/>
              <a:t> </a:t>
            </a:r>
            <a:endParaRPr lang="en-US" sz="1800"/>
          </a:p>
        </c:rich>
      </c:tx>
      <c:layout>
        <c:manualLayout>
          <c:xMode val="edge"/>
          <c:yMode val="edge"/>
          <c:x val="0.39127567817933734"/>
          <c:y val="0.79872840243310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4887397819312"/>
          <c:y val="3.5882687914654862E-2"/>
          <c:w val="0.81810335115105848"/>
          <c:h val="0.84348866011120649"/>
        </c:manualLayout>
      </c:layout>
      <c:scatterChart>
        <c:scatterStyle val="lineMarker"/>
        <c:varyColors val="0"/>
        <c:ser>
          <c:idx val="0"/>
          <c:order val="0"/>
          <c:tx>
            <c:v>Fe2O3 Total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3046972722083374E-2"/>
                  <c:y val="0.4769696144929819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y = 0.71x + 4.06</a:t>
                    </a:r>
                    <a:b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</a:b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R² = 0.60</a:t>
                    </a:r>
                  </a:p>
                  <a:p>
                    <a:pPr>
                      <a:defRPr b="1"/>
                    </a:pPr>
                    <a:r>
                      <a:rPr lang="en-US" sz="1600" b="1" i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SE</a:t>
                    </a: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 = 1.90%</a:t>
                    </a:r>
                    <a:endParaRPr lang="en-US" sz="1600" b="1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'Chem Results'!$EP$7:$EP$123</c:f>
              <c:numCache>
                <c:formatCode>0.00</c:formatCode>
                <c:ptCount val="117"/>
                <c:pt idx="0">
                  <c:v>1.8614304287303682</c:v>
                </c:pt>
                <c:pt idx="1">
                  <c:v>3.4072241414306115</c:v>
                </c:pt>
                <c:pt idx="2">
                  <c:v>4.5409782801529053</c:v>
                </c:pt>
                <c:pt idx="3">
                  <c:v>9.034279801091273</c:v>
                </c:pt>
                <c:pt idx="4">
                  <c:v>4.4723033736722027</c:v>
                </c:pt>
                <c:pt idx="5">
                  <c:v>4.289919739320716</c:v>
                </c:pt>
                <c:pt idx="6">
                  <c:v>4.29640858282142</c:v>
                </c:pt>
                <c:pt idx="7">
                  <c:v>5.004248416283601</c:v>
                </c:pt>
                <c:pt idx="8">
                  <c:v>4.2464085410646</c:v>
                </c:pt>
                <c:pt idx="9">
                  <c:v>1.2880261030640858</c:v>
                </c:pt>
                <c:pt idx="10">
                  <c:v>1.3497428660972346</c:v>
                </c:pt>
                <c:pt idx="11">
                  <c:v>1.9406846863812197</c:v>
                </c:pt>
                <c:pt idx="12">
                  <c:v>3.8979205343788008</c:v>
                </c:pt>
                <c:pt idx="13">
                  <c:v>3.6927258742637483</c:v>
                </c:pt>
                <c:pt idx="14">
                  <c:v>6.8690495752752518</c:v>
                </c:pt>
                <c:pt idx="15">
                  <c:v>5.9965243256443035</c:v>
                </c:pt>
                <c:pt idx="16">
                  <c:v>6.6507269955976502</c:v>
                </c:pt>
                <c:pt idx="17">
                  <c:v>6.7953133222341808</c:v>
                </c:pt>
                <c:pt idx="18">
                  <c:v>6.9006745786082098</c:v>
                </c:pt>
                <c:pt idx="19">
                  <c:v>6.138680190513286</c:v>
                </c:pt>
                <c:pt idx="20">
                  <c:v>0.46078804203571067</c:v>
                </c:pt>
                <c:pt idx="21">
                  <c:v>0.5902618433148985</c:v>
                </c:pt>
                <c:pt idx="22">
                  <c:v>0.66201220649727177</c:v>
                </c:pt>
                <c:pt idx="23">
                  <c:v>0.76423246033097136</c:v>
                </c:pt>
                <c:pt idx="24">
                  <c:v>0.92524310432132773</c:v>
                </c:pt>
                <c:pt idx="25">
                  <c:v>0.87378324892635961</c:v>
                </c:pt>
                <c:pt idx="26">
                  <c:v>0.94045641202810459</c:v>
                </c:pt>
                <c:pt idx="27">
                  <c:v>0.86934771248314247</c:v>
                </c:pt>
                <c:pt idx="28">
                  <c:v>1.2353395529962037</c:v>
                </c:pt>
                <c:pt idx="29">
                  <c:v>2.2584429508919155</c:v>
                </c:pt>
                <c:pt idx="30">
                  <c:v>2.5238446440535678</c:v>
                </c:pt>
                <c:pt idx="31">
                  <c:v>3.1541428392931343</c:v>
                </c:pt>
                <c:pt idx="32">
                  <c:v>1.7273631820575408</c:v>
                </c:pt>
                <c:pt idx="33">
                  <c:v>1.5637592143105998</c:v>
                </c:pt>
                <c:pt idx="34">
                  <c:v>2.3975001296489862</c:v>
                </c:pt>
                <c:pt idx="35">
                  <c:v>5.7924080226138672</c:v>
                </c:pt>
                <c:pt idx="36">
                  <c:v>4.6208761544214871</c:v>
                </c:pt>
                <c:pt idx="37">
                  <c:v>4.1188970840476404</c:v>
                </c:pt>
                <c:pt idx="38">
                  <c:v>1.7600841903131013</c:v>
                </c:pt>
                <c:pt idx="39">
                  <c:v>1.3531010188896753</c:v>
                </c:pt>
                <c:pt idx="40">
                  <c:v>2.8511143634453706</c:v>
                </c:pt>
                <c:pt idx="41">
                  <c:v>3.9245032722839994</c:v>
                </c:pt>
                <c:pt idx="42">
                  <c:v>2.9571462698558775</c:v>
                </c:pt>
                <c:pt idx="43">
                  <c:v>4.1103853178907332</c:v>
                </c:pt>
                <c:pt idx="44">
                  <c:v>3.1188780002394556</c:v>
                </c:pt>
                <c:pt idx="45">
                  <c:v>3.048748798737726</c:v>
                </c:pt>
                <c:pt idx="46">
                  <c:v>2.2600003047789174</c:v>
                </c:pt>
                <c:pt idx="47">
                  <c:v>0.58177961786511823</c:v>
                </c:pt>
                <c:pt idx="48">
                  <c:v>0.92951215026252765</c:v>
                </c:pt>
                <c:pt idx="49">
                  <c:v>12.0736599843782</c:v>
                </c:pt>
                <c:pt idx="50">
                  <c:v>10.448362812917281</c:v>
                </c:pt>
                <c:pt idx="51">
                  <c:v>9.5611579741246047</c:v>
                </c:pt>
                <c:pt idx="52">
                  <c:v>9.2728720315479354</c:v>
                </c:pt>
                <c:pt idx="53">
                  <c:v>6.5867226208708995</c:v>
                </c:pt>
                <c:pt idx="54">
                  <c:v>8.9530410399437681</c:v>
                </c:pt>
                <c:pt idx="55">
                  <c:v>9.613374001571442</c:v>
                </c:pt>
                <c:pt idx="56">
                  <c:v>8.9594278632847342</c:v>
                </c:pt>
                <c:pt idx="57">
                  <c:v>8.8302641208050598</c:v>
                </c:pt>
                <c:pt idx="58">
                  <c:v>8.9528263633992999</c:v>
                </c:pt>
                <c:pt idx="59">
                  <c:v>0.83801309944441604</c:v>
                </c:pt>
                <c:pt idx="60">
                  <c:v>1.1933645840353007</c:v>
                </c:pt>
                <c:pt idx="61">
                  <c:v>4.296077407730583</c:v>
                </c:pt>
                <c:pt idx="62">
                  <c:v>7.1096084738417469</c:v>
                </c:pt>
                <c:pt idx="63">
                  <c:v>6.8407480732591699</c:v>
                </c:pt>
                <c:pt idx="64">
                  <c:v>5.7461633912495769</c:v>
                </c:pt>
                <c:pt idx="65">
                  <c:v>4.1655313520921196</c:v>
                </c:pt>
                <c:pt idx="66">
                  <c:v>4.2653509013344246</c:v>
                </c:pt>
                <c:pt idx="67">
                  <c:v>4.9932667704126068</c:v>
                </c:pt>
                <c:pt idx="68">
                  <c:v>5.3014699829320122</c:v>
                </c:pt>
                <c:pt idx="69">
                  <c:v>5.4966180788991759</c:v>
                </c:pt>
                <c:pt idx="70">
                  <c:v>9.6353384700586595</c:v>
                </c:pt>
                <c:pt idx="71">
                  <c:v>0.50782459392701385</c:v>
                </c:pt>
                <c:pt idx="72">
                  <c:v>0.40324770473793403</c:v>
                </c:pt>
                <c:pt idx="73">
                  <c:v>0.41670167642527073</c:v>
                </c:pt>
                <c:pt idx="74">
                  <c:v>0.6222097275293772</c:v>
                </c:pt>
                <c:pt idx="75">
                  <c:v>0.864451856464174</c:v>
                </c:pt>
                <c:pt idx="76">
                  <c:v>0.81862767974378303</c:v>
                </c:pt>
                <c:pt idx="77">
                  <c:v>0.76943578729399642</c:v>
                </c:pt>
                <c:pt idx="78">
                  <c:v>0.40836370039840891</c:v>
                </c:pt>
                <c:pt idx="79">
                  <c:v>0.41986265695437353</c:v>
                </c:pt>
                <c:pt idx="80">
                  <c:v>0.41337627796513982</c:v>
                </c:pt>
                <c:pt idx="81">
                  <c:v>6.1436590509308981</c:v>
                </c:pt>
                <c:pt idx="82">
                  <c:v>10.857302112991013</c:v>
                </c:pt>
                <c:pt idx="83">
                  <c:v>11.767969635700583</c:v>
                </c:pt>
                <c:pt idx="84">
                  <c:v>10.268411823559592</c:v>
                </c:pt>
                <c:pt idx="85">
                  <c:v>9.286759058151473</c:v>
                </c:pt>
                <c:pt idx="86">
                  <c:v>7.7850962458634294</c:v>
                </c:pt>
                <c:pt idx="87">
                  <c:v>7.0106471503006365</c:v>
                </c:pt>
                <c:pt idx="88">
                  <c:v>7.2138505104874611</c:v>
                </c:pt>
                <c:pt idx="89">
                  <c:v>8.144937076330244</c:v>
                </c:pt>
                <c:pt idx="90">
                  <c:v>3.6373306228794151</c:v>
                </c:pt>
                <c:pt idx="91">
                  <c:v>3.5566646457074453</c:v>
                </c:pt>
                <c:pt idx="92">
                  <c:v>3.5566646457074453</c:v>
                </c:pt>
                <c:pt idx="93">
                  <c:v>1.5455528876537159</c:v>
                </c:pt>
                <c:pt idx="94">
                  <c:v>6.2639324564300045</c:v>
                </c:pt>
                <c:pt idx="95">
                  <c:v>4.845400604477101</c:v>
                </c:pt>
                <c:pt idx="96">
                  <c:v>3.9308296287280315</c:v>
                </c:pt>
                <c:pt idx="97">
                  <c:v>3.0162586529789626</c:v>
                </c:pt>
                <c:pt idx="98">
                  <c:v>3.9291797158205988</c:v>
                </c:pt>
                <c:pt idx="99">
                  <c:v>3.1719556267941802</c:v>
                </c:pt>
                <c:pt idx="100">
                  <c:v>2.4743485374851057</c:v>
                </c:pt>
                <c:pt idx="101">
                  <c:v>2.5651265027068559</c:v>
                </c:pt>
                <c:pt idx="102">
                  <c:v>3.5067696575491505</c:v>
                </c:pt>
                <c:pt idx="103">
                  <c:v>4.2703314404192394</c:v>
                </c:pt>
                <c:pt idx="104">
                  <c:v>3.7008947710394793</c:v>
                </c:pt>
                <c:pt idx="105">
                  <c:v>0.79724284934104861</c:v>
                </c:pt>
                <c:pt idx="106">
                  <c:v>1.3677273147406106</c:v>
                </c:pt>
                <c:pt idx="107">
                  <c:v>2.5661610942972852</c:v>
                </c:pt>
                <c:pt idx="108">
                  <c:v>2.2852373694925072</c:v>
                </c:pt>
                <c:pt idx="109">
                  <c:v>1.9529100350357094</c:v>
                </c:pt>
                <c:pt idx="110">
                  <c:v>1.6633173341512184</c:v>
                </c:pt>
                <c:pt idx="111">
                  <c:v>1.3426735840713853</c:v>
                </c:pt>
                <c:pt idx="112">
                  <c:v>2.0839264627931744</c:v>
                </c:pt>
                <c:pt idx="113">
                  <c:v>2.1823195324964582</c:v>
                </c:pt>
                <c:pt idx="114">
                  <c:v>2.7705573544981186</c:v>
                </c:pt>
                <c:pt idx="115">
                  <c:v>2.0246504207529057</c:v>
                </c:pt>
                <c:pt idx="116">
                  <c:v>1.8967857486794446</c:v>
                </c:pt>
              </c:numCache>
            </c:numRef>
          </c:xVal>
          <c:yVal>
            <c:numRef>
              <c:f>'Chem Results'!$Q$7:$Q$123</c:f>
              <c:numCache>
                <c:formatCode>General</c:formatCode>
                <c:ptCount val="117"/>
                <c:pt idx="0">
                  <c:v>4.25</c:v>
                </c:pt>
                <c:pt idx="1">
                  <c:v>9.65</c:v>
                </c:pt>
                <c:pt idx="2">
                  <c:v>11.92</c:v>
                </c:pt>
                <c:pt idx="3">
                  <c:v>12.09</c:v>
                </c:pt>
                <c:pt idx="4">
                  <c:v>7.78</c:v>
                </c:pt>
                <c:pt idx="5">
                  <c:v>6.65</c:v>
                </c:pt>
                <c:pt idx="6">
                  <c:v>7.72</c:v>
                </c:pt>
                <c:pt idx="7">
                  <c:v>8.69</c:v>
                </c:pt>
                <c:pt idx="8">
                  <c:v>4.63</c:v>
                </c:pt>
                <c:pt idx="9">
                  <c:v>2.64</c:v>
                </c:pt>
                <c:pt idx="10">
                  <c:v>2.64</c:v>
                </c:pt>
                <c:pt idx="11">
                  <c:v>5.59</c:v>
                </c:pt>
                <c:pt idx="12">
                  <c:v>9.64</c:v>
                </c:pt>
                <c:pt idx="13">
                  <c:v>10.25</c:v>
                </c:pt>
                <c:pt idx="14">
                  <c:v>11.14</c:v>
                </c:pt>
                <c:pt idx="15">
                  <c:v>10.65</c:v>
                </c:pt>
                <c:pt idx="16">
                  <c:v>10.31</c:v>
                </c:pt>
                <c:pt idx="17">
                  <c:v>8.9499999999999993</c:v>
                </c:pt>
                <c:pt idx="18">
                  <c:v>8.84</c:v>
                </c:pt>
                <c:pt idx="19">
                  <c:v>6.11</c:v>
                </c:pt>
                <c:pt idx="20">
                  <c:v>2.61</c:v>
                </c:pt>
                <c:pt idx="21">
                  <c:v>2.4500000000000002</c:v>
                </c:pt>
                <c:pt idx="22">
                  <c:v>2.84</c:v>
                </c:pt>
                <c:pt idx="23">
                  <c:v>3.17</c:v>
                </c:pt>
                <c:pt idx="24">
                  <c:v>3.96</c:v>
                </c:pt>
                <c:pt idx="25">
                  <c:v>3.35</c:v>
                </c:pt>
                <c:pt idx="26">
                  <c:v>2.86</c:v>
                </c:pt>
                <c:pt idx="27">
                  <c:v>2.5499999999999998</c:v>
                </c:pt>
                <c:pt idx="28">
                  <c:v>3.46</c:v>
                </c:pt>
                <c:pt idx="29">
                  <c:v>4.8</c:v>
                </c:pt>
                <c:pt idx="30">
                  <c:v>5.58</c:v>
                </c:pt>
                <c:pt idx="31">
                  <c:v>4.54</c:v>
                </c:pt>
                <c:pt idx="32">
                  <c:v>3.29</c:v>
                </c:pt>
                <c:pt idx="33">
                  <c:v>4</c:v>
                </c:pt>
                <c:pt idx="34">
                  <c:v>3.93</c:v>
                </c:pt>
                <c:pt idx="35">
                  <c:v>8.4499999999999993</c:v>
                </c:pt>
                <c:pt idx="36">
                  <c:v>6.16</c:v>
                </c:pt>
                <c:pt idx="37">
                  <c:v>8.1999999999999993</c:v>
                </c:pt>
                <c:pt idx="38">
                  <c:v>5.99</c:v>
                </c:pt>
                <c:pt idx="39">
                  <c:v>2.69</c:v>
                </c:pt>
                <c:pt idx="40">
                  <c:v>2.98</c:v>
                </c:pt>
                <c:pt idx="41">
                  <c:v>6.74</c:v>
                </c:pt>
                <c:pt idx="42">
                  <c:v>4.0599999999999996</c:v>
                </c:pt>
                <c:pt idx="43">
                  <c:v>10.32</c:v>
                </c:pt>
                <c:pt idx="44">
                  <c:v>5.86</c:v>
                </c:pt>
                <c:pt idx="45">
                  <c:v>3.49</c:v>
                </c:pt>
                <c:pt idx="46">
                  <c:v>2.74</c:v>
                </c:pt>
                <c:pt idx="47">
                  <c:v>4.51</c:v>
                </c:pt>
                <c:pt idx="48">
                  <c:v>7.11</c:v>
                </c:pt>
                <c:pt idx="49">
                  <c:v>11.31</c:v>
                </c:pt>
                <c:pt idx="50">
                  <c:v>10.56</c:v>
                </c:pt>
                <c:pt idx="51">
                  <c:v>10.49</c:v>
                </c:pt>
                <c:pt idx="52">
                  <c:v>9.8699999999999992</c:v>
                </c:pt>
                <c:pt idx="53">
                  <c:v>8.9700000000000006</c:v>
                </c:pt>
                <c:pt idx="54">
                  <c:v>8.8699999999999992</c:v>
                </c:pt>
                <c:pt idx="55">
                  <c:v>8.9</c:v>
                </c:pt>
                <c:pt idx="56">
                  <c:v>9.23</c:v>
                </c:pt>
                <c:pt idx="57">
                  <c:v>8.7200000000000006</c:v>
                </c:pt>
                <c:pt idx="58">
                  <c:v>10.86</c:v>
                </c:pt>
                <c:pt idx="59">
                  <c:v>4.49</c:v>
                </c:pt>
                <c:pt idx="60">
                  <c:v>4.91</c:v>
                </c:pt>
                <c:pt idx="61">
                  <c:v>6.97</c:v>
                </c:pt>
                <c:pt idx="62">
                  <c:v>9.57</c:v>
                </c:pt>
                <c:pt idx="63">
                  <c:v>8.51</c:v>
                </c:pt>
                <c:pt idx="64">
                  <c:v>6.86</c:v>
                </c:pt>
                <c:pt idx="65">
                  <c:v>8.32</c:v>
                </c:pt>
                <c:pt idx="66">
                  <c:v>7.5</c:v>
                </c:pt>
                <c:pt idx="67">
                  <c:v>10.11</c:v>
                </c:pt>
                <c:pt idx="68">
                  <c:v>8.1</c:v>
                </c:pt>
                <c:pt idx="69">
                  <c:v>9.8000000000000007</c:v>
                </c:pt>
                <c:pt idx="70">
                  <c:v>14.8</c:v>
                </c:pt>
                <c:pt idx="71">
                  <c:v>3.2</c:v>
                </c:pt>
                <c:pt idx="72">
                  <c:v>3.87</c:v>
                </c:pt>
                <c:pt idx="73">
                  <c:v>4.95</c:v>
                </c:pt>
                <c:pt idx="74">
                  <c:v>6.5</c:v>
                </c:pt>
                <c:pt idx="75">
                  <c:v>7.27</c:v>
                </c:pt>
                <c:pt idx="76">
                  <c:v>7.59</c:v>
                </c:pt>
                <c:pt idx="77">
                  <c:v>8.2200000000000006</c:v>
                </c:pt>
                <c:pt idx="78">
                  <c:v>2.84</c:v>
                </c:pt>
                <c:pt idx="79">
                  <c:v>3.65</c:v>
                </c:pt>
                <c:pt idx="80">
                  <c:v>3.22</c:v>
                </c:pt>
                <c:pt idx="81">
                  <c:v>8.89</c:v>
                </c:pt>
                <c:pt idx="82">
                  <c:v>9.66</c:v>
                </c:pt>
                <c:pt idx="83">
                  <c:v>10.77</c:v>
                </c:pt>
                <c:pt idx="84">
                  <c:v>9.57</c:v>
                </c:pt>
                <c:pt idx="85">
                  <c:v>9.86</c:v>
                </c:pt>
                <c:pt idx="86">
                  <c:v>9.7799999999999994</c:v>
                </c:pt>
                <c:pt idx="87">
                  <c:v>10.01</c:v>
                </c:pt>
                <c:pt idx="88">
                  <c:v>8.94</c:v>
                </c:pt>
                <c:pt idx="89">
                  <c:v>9.19</c:v>
                </c:pt>
                <c:pt idx="90">
                  <c:v>9.94</c:v>
                </c:pt>
                <c:pt idx="91">
                  <c:v>8.9600000000000009</c:v>
                </c:pt>
                <c:pt idx="92">
                  <c:v>4.79</c:v>
                </c:pt>
                <c:pt idx="93">
                  <c:v>8.35</c:v>
                </c:pt>
                <c:pt idx="94">
                  <c:v>8.1199999999999992</c:v>
                </c:pt>
                <c:pt idx="95">
                  <c:v>7.93</c:v>
                </c:pt>
                <c:pt idx="96">
                  <c:v>5.09</c:v>
                </c:pt>
                <c:pt idx="97">
                  <c:v>6.9</c:v>
                </c:pt>
                <c:pt idx="98">
                  <c:v>6.11</c:v>
                </c:pt>
                <c:pt idx="99">
                  <c:v>5.48</c:v>
                </c:pt>
                <c:pt idx="100">
                  <c:v>5.56</c:v>
                </c:pt>
                <c:pt idx="101">
                  <c:v>5.81</c:v>
                </c:pt>
                <c:pt idx="102">
                  <c:v>5.94</c:v>
                </c:pt>
                <c:pt idx="103">
                  <c:v>8.69</c:v>
                </c:pt>
                <c:pt idx="104">
                  <c:v>8.56</c:v>
                </c:pt>
                <c:pt idx="105">
                  <c:v>3.35</c:v>
                </c:pt>
                <c:pt idx="106">
                  <c:v>4.12</c:v>
                </c:pt>
                <c:pt idx="107">
                  <c:v>5.51</c:v>
                </c:pt>
                <c:pt idx="108">
                  <c:v>6.98</c:v>
                </c:pt>
                <c:pt idx="109">
                  <c:v>5.83</c:v>
                </c:pt>
                <c:pt idx="110">
                  <c:v>6.73</c:v>
                </c:pt>
                <c:pt idx="111">
                  <c:v>7.88</c:v>
                </c:pt>
                <c:pt idx="112">
                  <c:v>6.53</c:v>
                </c:pt>
                <c:pt idx="113">
                  <c:v>6.02</c:v>
                </c:pt>
                <c:pt idx="114">
                  <c:v>7.27</c:v>
                </c:pt>
                <c:pt idx="115">
                  <c:v>6.27</c:v>
                </c:pt>
                <c:pt idx="116">
                  <c:v>5.03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11-B845-A4F4-53804972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33855"/>
        <c:axId val="813165327"/>
      </c:scatterChart>
      <c:valAx>
        <c:axId val="813233855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Wt% Fe</a:t>
                </a:r>
                <a:r>
                  <a:rPr lang="en-US" sz="1800" b="1" i="0" baseline="-25000">
                    <a:effectLst/>
                  </a:rPr>
                  <a:t>3</a:t>
                </a:r>
                <a:r>
                  <a:rPr lang="en-US" sz="1800" b="1" i="0" baseline="0">
                    <a:effectLst/>
                  </a:rPr>
                  <a:t>O</a:t>
                </a:r>
                <a:r>
                  <a:rPr lang="en-US" sz="1800" b="1" i="0" baseline="-25000">
                    <a:effectLst/>
                  </a:rPr>
                  <a:t>3</a:t>
                </a:r>
                <a:r>
                  <a:rPr lang="en-US" sz="1800" b="1" i="0" baseline="0">
                    <a:effectLst/>
                  </a:rPr>
                  <a:t> Chemical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65327"/>
        <c:crosses val="autoZero"/>
        <c:crossBetween val="midCat"/>
      </c:valAx>
      <c:valAx>
        <c:axId val="813165327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Wt% Fe</a:t>
                </a:r>
                <a:r>
                  <a:rPr lang="en-US" sz="1800" b="1" i="0" baseline="-25000">
                    <a:effectLst/>
                  </a:rPr>
                  <a:t>2</a:t>
                </a:r>
                <a:r>
                  <a:rPr lang="en-US" sz="1800" b="1" i="0" baseline="0">
                    <a:effectLst/>
                  </a:rPr>
                  <a:t>O</a:t>
                </a:r>
                <a:r>
                  <a:rPr lang="en-US" sz="1800" b="1" i="0" baseline="-25000">
                    <a:effectLst/>
                  </a:rPr>
                  <a:t>3</a:t>
                </a:r>
                <a:r>
                  <a:rPr lang="en-US" sz="1800" b="1" i="0" baseline="0">
                    <a:effectLst/>
                  </a:rPr>
                  <a:t> QXRD</a:t>
                </a:r>
                <a:endParaRPr lang="en-US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1.4911073030234097E-2"/>
              <c:y val="0.32247824007423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95000"/>
                      <a:lumOff val="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33855"/>
        <c:crosses val="autoZero"/>
        <c:crossBetween val="midCat"/>
        <c:majorUnit val="5"/>
      </c:valAx>
      <c:spPr>
        <a:noFill/>
        <a:ln w="190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K</a:t>
            </a:r>
            <a:r>
              <a:rPr lang="en-US" sz="1800" b="1" i="0" baseline="-25000">
                <a:effectLst/>
              </a:rPr>
              <a:t>2</a:t>
            </a:r>
            <a:r>
              <a:rPr lang="en-US" sz="1800" b="1" i="0" baseline="0">
                <a:effectLst/>
              </a:rPr>
              <a:t>O Chemistry versus QXRD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48268843183155363"/>
          <c:y val="0.81169697167593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39056886636978"/>
          <c:y val="3.5882687914654862E-2"/>
          <c:w val="0.85586169037024939"/>
          <c:h val="0.84605042525066587"/>
        </c:manualLayout>
      </c:layout>
      <c:scatterChart>
        <c:scatterStyle val="lineMarker"/>
        <c:varyColors val="0"/>
        <c:ser>
          <c:idx val="0"/>
          <c:order val="0"/>
          <c:tx>
            <c:v>K2O 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4391374362371737E-2"/>
                  <c:y val="0.4723412382923760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y = 0.87x - 0.14</a:t>
                    </a:r>
                    <a:b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</a:b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R² = 0.79</a:t>
                    </a:r>
                  </a:p>
                  <a:p>
                    <a:pPr>
                      <a:defRPr b="1"/>
                    </a:pPr>
                    <a:r>
                      <a:rPr lang="en-US" sz="1600" b="1" i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SE</a:t>
                    </a: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 = 0.79%</a:t>
                    </a:r>
                  </a:p>
                  <a:p>
                    <a:pPr>
                      <a:defRPr b="1"/>
                    </a:pPr>
                    <a:endParaRPr lang="en-US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'Chem Results'!$EG$7:$EG$123</c:f>
              <c:numCache>
                <c:formatCode>0.0</c:formatCode>
                <c:ptCount val="117"/>
                <c:pt idx="0">
                  <c:v>0.27677754123377918</c:v>
                </c:pt>
                <c:pt idx="1">
                  <c:v>0.34386402315127118</c:v>
                </c:pt>
                <c:pt idx="2">
                  <c:v>0.29113821399054868</c:v>
                </c:pt>
                <c:pt idx="3">
                  <c:v>0.35965821915833307</c:v>
                </c:pt>
                <c:pt idx="4">
                  <c:v>1.2003797310694575</c:v>
                </c:pt>
                <c:pt idx="5">
                  <c:v>1.2653103416300469</c:v>
                </c:pt>
                <c:pt idx="6">
                  <c:v>1.2079208722090915</c:v>
                </c:pt>
                <c:pt idx="7">
                  <c:v>1.0935418942404751</c:v>
                </c:pt>
                <c:pt idx="8">
                  <c:v>1.2293975926516061</c:v>
                </c:pt>
                <c:pt idx="9">
                  <c:v>0.40368692684997287</c:v>
                </c:pt>
                <c:pt idx="10">
                  <c:v>0.56089492728463564</c:v>
                </c:pt>
                <c:pt idx="11">
                  <c:v>0.5453938867193836</c:v>
                </c:pt>
                <c:pt idx="12">
                  <c:v>0.42487474873091607</c:v>
                </c:pt>
                <c:pt idx="13">
                  <c:v>0.2886729167210067</c:v>
                </c:pt>
                <c:pt idx="14">
                  <c:v>0.23324996563274153</c:v>
                </c:pt>
                <c:pt idx="15">
                  <c:v>0.50548766786401456</c:v>
                </c:pt>
                <c:pt idx="16">
                  <c:v>0.90260818174954083</c:v>
                </c:pt>
                <c:pt idx="17">
                  <c:v>1.9981104385293651</c:v>
                </c:pt>
                <c:pt idx="18">
                  <c:v>1.5859745358038388</c:v>
                </c:pt>
                <c:pt idx="19">
                  <c:v>0.97669358855181054</c:v>
                </c:pt>
                <c:pt idx="20">
                  <c:v>4.6064289149606319</c:v>
                </c:pt>
                <c:pt idx="21">
                  <c:v>5.2863441766204122</c:v>
                </c:pt>
                <c:pt idx="22">
                  <c:v>6.1917622886495227</c:v>
                </c:pt>
                <c:pt idx="23">
                  <c:v>6.1632574070160802</c:v>
                </c:pt>
                <c:pt idx="24">
                  <c:v>5.1251209814828496</c:v>
                </c:pt>
                <c:pt idx="25">
                  <c:v>5.925724261291224</c:v>
                </c:pt>
                <c:pt idx="26">
                  <c:v>5.6923287665455291</c:v>
                </c:pt>
                <c:pt idx="27">
                  <c:v>6.34314272633776</c:v>
                </c:pt>
                <c:pt idx="28">
                  <c:v>3.5779535635586974</c:v>
                </c:pt>
                <c:pt idx="29">
                  <c:v>3.931509559894903</c:v>
                </c:pt>
                <c:pt idx="30">
                  <c:v>2.7309519759143268</c:v>
                </c:pt>
                <c:pt idx="31">
                  <c:v>3.1374878190211217</c:v>
                </c:pt>
                <c:pt idx="32">
                  <c:v>5.0568513117051763</c:v>
                </c:pt>
                <c:pt idx="33">
                  <c:v>4.2980036800093693</c:v>
                </c:pt>
                <c:pt idx="34">
                  <c:v>3.4590534184586788</c:v>
                </c:pt>
                <c:pt idx="35">
                  <c:v>1.3677491959629424</c:v>
                </c:pt>
                <c:pt idx="36">
                  <c:v>2.1352234093696913</c:v>
                </c:pt>
                <c:pt idx="37">
                  <c:v>1.8353302908155844</c:v>
                </c:pt>
                <c:pt idx="38">
                  <c:v>4.0926981530012538</c:v>
                </c:pt>
                <c:pt idx="39">
                  <c:v>6.2546141960355239</c:v>
                </c:pt>
                <c:pt idx="40">
                  <c:v>5.8356873881225093</c:v>
                </c:pt>
                <c:pt idx="41">
                  <c:v>1.9294097739317622</c:v>
                </c:pt>
                <c:pt idx="42">
                  <c:v>2.4991892565931</c:v>
                </c:pt>
                <c:pt idx="43">
                  <c:v>2.2325413551159587</c:v>
                </c:pt>
                <c:pt idx="44">
                  <c:v>2.1611258618243276</c:v>
                </c:pt>
                <c:pt idx="45">
                  <c:v>3.2976688588995842</c:v>
                </c:pt>
                <c:pt idx="46">
                  <c:v>4.78887112844615</c:v>
                </c:pt>
                <c:pt idx="47">
                  <c:v>1.2632187325950175</c:v>
                </c:pt>
                <c:pt idx="48">
                  <c:v>1.2099496122718043</c:v>
                </c:pt>
                <c:pt idx="49">
                  <c:v>0.92990882996537694</c:v>
                </c:pt>
                <c:pt idx="50">
                  <c:v>1.1832301795078148</c:v>
                </c:pt>
                <c:pt idx="51">
                  <c:v>0.98031162747975986</c:v>
                </c:pt>
                <c:pt idx="52">
                  <c:v>0.68952231585448043</c:v>
                </c:pt>
                <c:pt idx="53">
                  <c:v>0.74871492694320685</c:v>
                </c:pt>
                <c:pt idx="54">
                  <c:v>1.3041390884010524</c:v>
                </c:pt>
                <c:pt idx="55">
                  <c:v>1.5708851356814448</c:v>
                </c:pt>
                <c:pt idx="56">
                  <c:v>1.5628004100855333</c:v>
                </c:pt>
                <c:pt idx="57">
                  <c:v>2.0628470626615583</c:v>
                </c:pt>
                <c:pt idx="58">
                  <c:v>1.9048599444442034</c:v>
                </c:pt>
                <c:pt idx="59">
                  <c:v>1.3827775177864294</c:v>
                </c:pt>
                <c:pt idx="60">
                  <c:v>1.0561962283912509</c:v>
                </c:pt>
                <c:pt idx="61">
                  <c:v>1.1852340680571651</c:v>
                </c:pt>
                <c:pt idx="62">
                  <c:v>1.7442080275149641</c:v>
                </c:pt>
                <c:pt idx="63">
                  <c:v>0.99625353721854304</c:v>
                </c:pt>
                <c:pt idx="64">
                  <c:v>0.77568571638523653</c:v>
                </c:pt>
                <c:pt idx="65">
                  <c:v>0.55305909636833639</c:v>
                </c:pt>
                <c:pt idx="66">
                  <c:v>0.6979742449677544</c:v>
                </c:pt>
                <c:pt idx="67">
                  <c:v>0.70206194804466449</c:v>
                </c:pt>
                <c:pt idx="68">
                  <c:v>1.1741184691997042</c:v>
                </c:pt>
                <c:pt idx="69">
                  <c:v>0.53262142250534583</c:v>
                </c:pt>
                <c:pt idx="70">
                  <c:v>0.51873060446146468</c:v>
                </c:pt>
                <c:pt idx="71">
                  <c:v>1.1703983420329207</c:v>
                </c:pt>
                <c:pt idx="72">
                  <c:v>1.5735243317996532</c:v>
                </c:pt>
                <c:pt idx="73">
                  <c:v>1.6141327422691383</c:v>
                </c:pt>
                <c:pt idx="74">
                  <c:v>1.7390277977635655</c:v>
                </c:pt>
                <c:pt idx="75">
                  <c:v>1.1350888221707556</c:v>
                </c:pt>
                <c:pt idx="76">
                  <c:v>0.89443410502703724</c:v>
                </c:pt>
                <c:pt idx="77">
                  <c:v>0.5928154091761153</c:v>
                </c:pt>
                <c:pt idx="78">
                  <c:v>1.206841616951827</c:v>
                </c:pt>
                <c:pt idx="79">
                  <c:v>1.413094796142599</c:v>
                </c:pt>
                <c:pt idx="80">
                  <c:v>1.3264484129085483</c:v>
                </c:pt>
                <c:pt idx="81">
                  <c:v>1.1857618809956738</c:v>
                </c:pt>
                <c:pt idx="82">
                  <c:v>1.050126813662787</c:v>
                </c:pt>
                <c:pt idx="83">
                  <c:v>1.0446616526767145</c:v>
                </c:pt>
                <c:pt idx="84">
                  <c:v>0.80273579651265692</c:v>
                </c:pt>
                <c:pt idx="85">
                  <c:v>0.65971277187772326</c:v>
                </c:pt>
                <c:pt idx="86">
                  <c:v>0.70768366900625279</c:v>
                </c:pt>
                <c:pt idx="87">
                  <c:v>0.71206115886519561</c:v>
                </c:pt>
                <c:pt idx="88">
                  <c:v>0.66403819190158153</c:v>
                </c:pt>
                <c:pt idx="89">
                  <c:v>0.77679133563947089</c:v>
                </c:pt>
                <c:pt idx="90">
                  <c:v>1.245550156380252</c:v>
                </c:pt>
                <c:pt idx="91">
                  <c:v>1.235484387154681</c:v>
                </c:pt>
                <c:pt idx="92">
                  <c:v>1.235484387154681</c:v>
                </c:pt>
                <c:pt idx="93">
                  <c:v>1.3517079257172553</c:v>
                </c:pt>
                <c:pt idx="94">
                  <c:v>3.0489733521721867</c:v>
                </c:pt>
                <c:pt idx="95">
                  <c:v>3.7287482618303462</c:v>
                </c:pt>
                <c:pt idx="96">
                  <c:v>3.9635911108727857</c:v>
                </c:pt>
                <c:pt idx="97">
                  <c:v>4.1984339599152252</c:v>
                </c:pt>
                <c:pt idx="98">
                  <c:v>5.7968417135260975</c:v>
                </c:pt>
                <c:pt idx="99">
                  <c:v>4.6325116027149393</c:v>
                </c:pt>
                <c:pt idx="100">
                  <c:v>4.0197471313750857</c:v>
                </c:pt>
                <c:pt idx="101">
                  <c:v>4.1066100810260044</c:v>
                </c:pt>
                <c:pt idx="102">
                  <c:v>4.0640392012653122</c:v>
                </c:pt>
                <c:pt idx="103">
                  <c:v>4.6213578705290308</c:v>
                </c:pt>
                <c:pt idx="104">
                  <c:v>3.9621834077766449</c:v>
                </c:pt>
                <c:pt idx="105">
                  <c:v>2.1164296062957102</c:v>
                </c:pt>
                <c:pt idx="106">
                  <c:v>2.5519321251904645</c:v>
                </c:pt>
                <c:pt idx="107">
                  <c:v>4.6715443349620855</c:v>
                </c:pt>
                <c:pt idx="108">
                  <c:v>3.8775455323563239</c:v>
                </c:pt>
                <c:pt idx="109">
                  <c:v>3.6551169039928526</c:v>
                </c:pt>
                <c:pt idx="110">
                  <c:v>3.849618650131053</c:v>
                </c:pt>
                <c:pt idx="111">
                  <c:v>2.990804140502048</c:v>
                </c:pt>
                <c:pt idx="112">
                  <c:v>3.6920103045337007</c:v>
                </c:pt>
                <c:pt idx="113">
                  <c:v>3.9604363943392618</c:v>
                </c:pt>
                <c:pt idx="114">
                  <c:v>3.213779451220264</c:v>
                </c:pt>
                <c:pt idx="115">
                  <c:v>3.0012650158178564</c:v>
                </c:pt>
                <c:pt idx="116">
                  <c:v>3.3596741185946479</c:v>
                </c:pt>
              </c:numCache>
            </c:numRef>
          </c:xVal>
          <c:yVal>
            <c:numRef>
              <c:f>'Chem Results'!$V$7:$V$123</c:f>
              <c:numCache>
                <c:formatCode>General</c:formatCode>
                <c:ptCount val="117"/>
                <c:pt idx="0">
                  <c:v>0.28000000000000003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0.11</c:v>
                </c:pt>
                <c:pt idx="4">
                  <c:v>1.45</c:v>
                </c:pt>
                <c:pt idx="5">
                  <c:v>1.57</c:v>
                </c:pt>
                <c:pt idx="6">
                  <c:v>1.32</c:v>
                </c:pt>
                <c:pt idx="7">
                  <c:v>1.35</c:v>
                </c:pt>
                <c:pt idx="8">
                  <c:v>1.26</c:v>
                </c:pt>
                <c:pt idx="9">
                  <c:v>0.61</c:v>
                </c:pt>
                <c:pt idx="10">
                  <c:v>0.62</c:v>
                </c:pt>
                <c:pt idx="11">
                  <c:v>0.51</c:v>
                </c:pt>
                <c:pt idx="12">
                  <c:v>0.19</c:v>
                </c:pt>
                <c:pt idx="13">
                  <c:v>0.1</c:v>
                </c:pt>
                <c:pt idx="14">
                  <c:v>0.09</c:v>
                </c:pt>
                <c:pt idx="15">
                  <c:v>0.17</c:v>
                </c:pt>
                <c:pt idx="16">
                  <c:v>0.45</c:v>
                </c:pt>
                <c:pt idx="17">
                  <c:v>0.76</c:v>
                </c:pt>
                <c:pt idx="18">
                  <c:v>1.1299999999999999</c:v>
                </c:pt>
                <c:pt idx="19">
                  <c:v>1.17</c:v>
                </c:pt>
                <c:pt idx="20">
                  <c:v>4.91</c:v>
                </c:pt>
                <c:pt idx="21">
                  <c:v>5.0599999999999996</c:v>
                </c:pt>
                <c:pt idx="22">
                  <c:v>5.46</c:v>
                </c:pt>
                <c:pt idx="23">
                  <c:v>5.37</c:v>
                </c:pt>
                <c:pt idx="24">
                  <c:v>5.17</c:v>
                </c:pt>
                <c:pt idx="25">
                  <c:v>6.03</c:v>
                </c:pt>
                <c:pt idx="26">
                  <c:v>6.46</c:v>
                </c:pt>
                <c:pt idx="27">
                  <c:v>6.37</c:v>
                </c:pt>
                <c:pt idx="28">
                  <c:v>3.89</c:v>
                </c:pt>
                <c:pt idx="29">
                  <c:v>3.11</c:v>
                </c:pt>
                <c:pt idx="30">
                  <c:v>2.57</c:v>
                </c:pt>
                <c:pt idx="31">
                  <c:v>4.18</c:v>
                </c:pt>
                <c:pt idx="32">
                  <c:v>5.61</c:v>
                </c:pt>
                <c:pt idx="33">
                  <c:v>3.95</c:v>
                </c:pt>
                <c:pt idx="34">
                  <c:v>2.93</c:v>
                </c:pt>
                <c:pt idx="35">
                  <c:v>1.1000000000000001</c:v>
                </c:pt>
                <c:pt idx="36">
                  <c:v>3.24</c:v>
                </c:pt>
                <c:pt idx="37">
                  <c:v>1.36</c:v>
                </c:pt>
                <c:pt idx="38">
                  <c:v>2.83</c:v>
                </c:pt>
                <c:pt idx="39">
                  <c:v>6.6</c:v>
                </c:pt>
                <c:pt idx="40">
                  <c:v>6.65</c:v>
                </c:pt>
                <c:pt idx="41">
                  <c:v>2.11</c:v>
                </c:pt>
                <c:pt idx="42">
                  <c:v>2.68</c:v>
                </c:pt>
                <c:pt idx="43">
                  <c:v>1.97</c:v>
                </c:pt>
                <c:pt idx="44">
                  <c:v>2.41</c:v>
                </c:pt>
                <c:pt idx="45">
                  <c:v>3.23</c:v>
                </c:pt>
                <c:pt idx="46">
                  <c:v>5.74</c:v>
                </c:pt>
                <c:pt idx="47">
                  <c:v>0.9</c:v>
                </c:pt>
                <c:pt idx="48">
                  <c:v>0.72</c:v>
                </c:pt>
                <c:pt idx="49">
                  <c:v>0.43</c:v>
                </c:pt>
                <c:pt idx="50">
                  <c:v>0.32</c:v>
                </c:pt>
                <c:pt idx="51">
                  <c:v>0.4</c:v>
                </c:pt>
                <c:pt idx="52">
                  <c:v>0.46</c:v>
                </c:pt>
                <c:pt idx="53">
                  <c:v>0.63</c:v>
                </c:pt>
                <c:pt idx="54">
                  <c:v>0.83</c:v>
                </c:pt>
                <c:pt idx="55">
                  <c:v>0.76</c:v>
                </c:pt>
                <c:pt idx="56">
                  <c:v>0.81</c:v>
                </c:pt>
                <c:pt idx="57">
                  <c:v>0.68</c:v>
                </c:pt>
                <c:pt idx="58">
                  <c:v>0.67</c:v>
                </c:pt>
                <c:pt idx="59">
                  <c:v>0.75</c:v>
                </c:pt>
                <c:pt idx="60">
                  <c:v>0.75</c:v>
                </c:pt>
                <c:pt idx="61">
                  <c:v>0.71</c:v>
                </c:pt>
                <c:pt idx="62">
                  <c:v>0.64</c:v>
                </c:pt>
                <c:pt idx="63">
                  <c:v>0.56000000000000005</c:v>
                </c:pt>
                <c:pt idx="64">
                  <c:v>0.37</c:v>
                </c:pt>
                <c:pt idx="65">
                  <c:v>0.46</c:v>
                </c:pt>
                <c:pt idx="66">
                  <c:v>0.53</c:v>
                </c:pt>
                <c:pt idx="67">
                  <c:v>0.91</c:v>
                </c:pt>
                <c:pt idx="68">
                  <c:v>2.2599999999999998</c:v>
                </c:pt>
                <c:pt idx="69">
                  <c:v>0.96</c:v>
                </c:pt>
                <c:pt idx="70">
                  <c:v>1.42</c:v>
                </c:pt>
                <c:pt idx="71">
                  <c:v>1.31</c:v>
                </c:pt>
                <c:pt idx="72">
                  <c:v>1.38</c:v>
                </c:pt>
                <c:pt idx="73">
                  <c:v>1.32</c:v>
                </c:pt>
                <c:pt idx="74">
                  <c:v>1.1499999999999999</c:v>
                </c:pt>
                <c:pt idx="75">
                  <c:v>0.87</c:v>
                </c:pt>
                <c:pt idx="76">
                  <c:v>0.49</c:v>
                </c:pt>
                <c:pt idx="77">
                  <c:v>0.59</c:v>
                </c:pt>
                <c:pt idx="78">
                  <c:v>1.1599999999999999</c:v>
                </c:pt>
                <c:pt idx="79">
                  <c:v>1.56</c:v>
                </c:pt>
                <c:pt idx="80">
                  <c:v>1.41</c:v>
                </c:pt>
                <c:pt idx="81">
                  <c:v>0.62</c:v>
                </c:pt>
                <c:pt idx="82">
                  <c:v>0.26</c:v>
                </c:pt>
                <c:pt idx="83">
                  <c:v>0.25</c:v>
                </c:pt>
                <c:pt idx="84">
                  <c:v>0.2</c:v>
                </c:pt>
                <c:pt idx="85">
                  <c:v>0.31</c:v>
                </c:pt>
                <c:pt idx="86">
                  <c:v>0.64</c:v>
                </c:pt>
                <c:pt idx="87">
                  <c:v>0.67</c:v>
                </c:pt>
                <c:pt idx="88">
                  <c:v>0.76</c:v>
                </c:pt>
                <c:pt idx="89">
                  <c:v>0.97</c:v>
                </c:pt>
                <c:pt idx="90">
                  <c:v>0.84</c:v>
                </c:pt>
                <c:pt idx="91">
                  <c:v>1.01</c:v>
                </c:pt>
                <c:pt idx="92">
                  <c:v>2.0299999999999998</c:v>
                </c:pt>
                <c:pt idx="93">
                  <c:v>1.42</c:v>
                </c:pt>
                <c:pt idx="94">
                  <c:v>1.4</c:v>
                </c:pt>
                <c:pt idx="95">
                  <c:v>1.61</c:v>
                </c:pt>
                <c:pt idx="96">
                  <c:v>1.83</c:v>
                </c:pt>
                <c:pt idx="97">
                  <c:v>2.94</c:v>
                </c:pt>
                <c:pt idx="98">
                  <c:v>3.98</c:v>
                </c:pt>
                <c:pt idx="99">
                  <c:v>3.94</c:v>
                </c:pt>
                <c:pt idx="100">
                  <c:v>3.07</c:v>
                </c:pt>
                <c:pt idx="101">
                  <c:v>2.33</c:v>
                </c:pt>
                <c:pt idx="102">
                  <c:v>2.09</c:v>
                </c:pt>
                <c:pt idx="103">
                  <c:v>4</c:v>
                </c:pt>
                <c:pt idx="104">
                  <c:v>4.13</c:v>
                </c:pt>
                <c:pt idx="105">
                  <c:v>1.44</c:v>
                </c:pt>
                <c:pt idx="106">
                  <c:v>1.54</c:v>
                </c:pt>
                <c:pt idx="107">
                  <c:v>1.68</c:v>
                </c:pt>
                <c:pt idx="108">
                  <c:v>1.7</c:v>
                </c:pt>
                <c:pt idx="109">
                  <c:v>1.34</c:v>
                </c:pt>
                <c:pt idx="110">
                  <c:v>1.54</c:v>
                </c:pt>
                <c:pt idx="111">
                  <c:v>1.71</c:v>
                </c:pt>
                <c:pt idx="112">
                  <c:v>1.44</c:v>
                </c:pt>
                <c:pt idx="113">
                  <c:v>1.86</c:v>
                </c:pt>
                <c:pt idx="114">
                  <c:v>1.86</c:v>
                </c:pt>
                <c:pt idx="115">
                  <c:v>1.83</c:v>
                </c:pt>
                <c:pt idx="116">
                  <c:v>1.61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7-1C4B-B27C-A1013F75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33855"/>
        <c:axId val="813165327"/>
      </c:scatterChart>
      <c:valAx>
        <c:axId val="813233855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Wt% K</a:t>
                </a:r>
                <a:r>
                  <a:rPr lang="en-US" sz="1800" b="1" i="0" baseline="-25000">
                    <a:effectLst/>
                  </a:rPr>
                  <a:t>2</a:t>
                </a:r>
                <a:r>
                  <a:rPr lang="en-US" sz="1800" b="1" i="0" baseline="0">
                    <a:effectLst/>
                  </a:rPr>
                  <a:t>O Chemical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41207189422591239"/>
              <c:y val="0.92484423657418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95000"/>
                      <a:lumOff val="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65327"/>
        <c:crosses val="autoZero"/>
        <c:crossBetween val="midCat"/>
      </c:valAx>
      <c:valAx>
        <c:axId val="813165327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Wt% K</a:t>
                </a:r>
                <a:r>
                  <a:rPr lang="en-US" sz="1800" b="1" i="0" baseline="-25000">
                    <a:effectLst/>
                  </a:rPr>
                  <a:t>2</a:t>
                </a:r>
                <a:r>
                  <a:rPr lang="en-US" sz="1800" b="1" i="0" baseline="0">
                    <a:effectLst/>
                  </a:rPr>
                  <a:t>O QXRD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33855"/>
        <c:crosses val="autoZero"/>
        <c:crossBetween val="midCat"/>
      </c:valAx>
      <c:spPr>
        <a:noFill/>
        <a:ln w="190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LOI Chemistry versus H</a:t>
            </a:r>
            <a:r>
              <a:rPr lang="en-US" sz="1800" b="1" i="0" baseline="-25000">
                <a:effectLst/>
              </a:rPr>
              <a:t>2</a:t>
            </a:r>
            <a:r>
              <a:rPr lang="en-US" sz="1800" b="1" i="0" baseline="0">
                <a:effectLst/>
              </a:rPr>
              <a:t>O QXRD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44054179237134311"/>
          <c:y val="0.7893610991902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39056886636978"/>
          <c:y val="3.5882687914654862E-2"/>
          <c:w val="0.85586169037024939"/>
          <c:h val="0.83998621625987924"/>
        </c:manualLayout>
      </c:layout>
      <c:scatterChart>
        <c:scatterStyle val="lineMarker"/>
        <c:varyColors val="0"/>
        <c:ser>
          <c:idx val="0"/>
          <c:order val="0"/>
          <c:tx>
            <c:v>LOI vs H2O 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0722360775584716E-4"/>
                  <c:y val="0.5347016799132230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y = 0.94x + 1.98</a:t>
                    </a:r>
                    <a:b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</a:b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R² = 0.74</a:t>
                    </a:r>
                  </a:p>
                  <a:p>
                    <a:pPr>
                      <a:defRPr/>
                    </a:pP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SE = 1.37%</a:t>
                    </a:r>
                    <a:endParaRPr lang="en-US" sz="1600" b="1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'Chem Results'!$EJ$7:$EJ$123</c:f>
              <c:numCache>
                <c:formatCode>0.0</c:formatCode>
                <c:ptCount val="117"/>
                <c:pt idx="0">
                  <c:v>3.8171686356796157</c:v>
                </c:pt>
                <c:pt idx="1">
                  <c:v>10.235339813862856</c:v>
                </c:pt>
                <c:pt idx="2">
                  <c:v>11.308446579058023</c:v>
                </c:pt>
                <c:pt idx="3">
                  <c:v>10.395074330255122</c:v>
                </c:pt>
                <c:pt idx="4">
                  <c:v>6.7662857886531924</c:v>
                </c:pt>
                <c:pt idx="5">
                  <c:v>7.9340654519025637</c:v>
                </c:pt>
                <c:pt idx="6">
                  <c:v>7.3197998765972825</c:v>
                </c:pt>
                <c:pt idx="7">
                  <c:v>7.2080920136681357</c:v>
                </c:pt>
                <c:pt idx="8">
                  <c:v>6.6146222714997149</c:v>
                </c:pt>
                <c:pt idx="9">
                  <c:v>2.5398303046400748</c:v>
                </c:pt>
                <c:pt idx="10">
                  <c:v>2.6152368406862183</c:v>
                </c:pt>
                <c:pt idx="11">
                  <c:v>6.4929400742689696</c:v>
                </c:pt>
                <c:pt idx="12">
                  <c:v>9.9015136277850893</c:v>
                </c:pt>
                <c:pt idx="13">
                  <c:v>10.268225408682783</c:v>
                </c:pt>
                <c:pt idx="14">
                  <c:v>10.555544900257649</c:v>
                </c:pt>
                <c:pt idx="15">
                  <c:v>10.064638175811066</c:v>
                </c:pt>
                <c:pt idx="16">
                  <c:v>9.3233919570990871</c:v>
                </c:pt>
                <c:pt idx="17">
                  <c:v>7.3325375775370354</c:v>
                </c:pt>
                <c:pt idx="18">
                  <c:v>5.2228603142961223</c:v>
                </c:pt>
                <c:pt idx="19">
                  <c:v>3.2017363149258529</c:v>
                </c:pt>
                <c:pt idx="20">
                  <c:v>1.6164156834122707</c:v>
                </c:pt>
                <c:pt idx="21">
                  <c:v>1.718651854410773</c:v>
                </c:pt>
                <c:pt idx="22">
                  <c:v>1.643770496580206</c:v>
                </c:pt>
                <c:pt idx="23">
                  <c:v>2.1999645380921642</c:v>
                </c:pt>
                <c:pt idx="24">
                  <c:v>4.0853977341027656</c:v>
                </c:pt>
                <c:pt idx="25">
                  <c:v>2.8634445878436847</c:v>
                </c:pt>
                <c:pt idx="26">
                  <c:v>2.0010967056360482</c:v>
                </c:pt>
                <c:pt idx="27">
                  <c:v>2.1293574066172738</c:v>
                </c:pt>
                <c:pt idx="28">
                  <c:v>3.9209170400495195</c:v>
                </c:pt>
                <c:pt idx="29">
                  <c:v>4.1713741589968247</c:v>
                </c:pt>
                <c:pt idx="30">
                  <c:v>4.9832298937056558</c:v>
                </c:pt>
                <c:pt idx="31">
                  <c:v>4.5350763189257597</c:v>
                </c:pt>
                <c:pt idx="32">
                  <c:v>3.2142981768477075</c:v>
                </c:pt>
                <c:pt idx="33">
                  <c:v>3.7327796160322819</c:v>
                </c:pt>
                <c:pt idx="34">
                  <c:v>2.7773955386342468</c:v>
                </c:pt>
                <c:pt idx="35">
                  <c:v>8.139459584739523</c:v>
                </c:pt>
                <c:pt idx="36">
                  <c:v>6.9730393684150824</c:v>
                </c:pt>
                <c:pt idx="37">
                  <c:v>6.6973357914722547</c:v>
                </c:pt>
                <c:pt idx="38">
                  <c:v>4.0177200602525316</c:v>
                </c:pt>
                <c:pt idx="39">
                  <c:v>2.5525850360802997</c:v>
                </c:pt>
                <c:pt idx="40">
                  <c:v>3.1066128180878323</c:v>
                </c:pt>
                <c:pt idx="41">
                  <c:v>6.4628055886895259</c:v>
                </c:pt>
                <c:pt idx="42">
                  <c:v>5.0162951157895623</c:v>
                </c:pt>
                <c:pt idx="43">
                  <c:v>7.6863166338779987</c:v>
                </c:pt>
                <c:pt idx="44">
                  <c:v>6.1400318474631179</c:v>
                </c:pt>
                <c:pt idx="45">
                  <c:v>4.4588247011550823</c:v>
                </c:pt>
                <c:pt idx="46">
                  <c:v>3.168005100611885</c:v>
                </c:pt>
                <c:pt idx="47">
                  <c:v>4.2376975811986304</c:v>
                </c:pt>
                <c:pt idx="48">
                  <c:v>6.2092680067342494</c:v>
                </c:pt>
                <c:pt idx="49">
                  <c:v>8.8196273832605474</c:v>
                </c:pt>
                <c:pt idx="50">
                  <c:v>8.5646447765899723</c:v>
                </c:pt>
                <c:pt idx="51">
                  <c:v>8.8562214037197187</c:v>
                </c:pt>
                <c:pt idx="52">
                  <c:v>8.6512240956460342</c:v>
                </c:pt>
                <c:pt idx="53">
                  <c:v>7.9979652218196362</c:v>
                </c:pt>
                <c:pt idx="54">
                  <c:v>7.7084026801395895</c:v>
                </c:pt>
                <c:pt idx="55">
                  <c:v>7.4159105100809821</c:v>
                </c:pt>
                <c:pt idx="56">
                  <c:v>7.963912450057661</c:v>
                </c:pt>
                <c:pt idx="57">
                  <c:v>7.3859319516730677</c:v>
                </c:pt>
                <c:pt idx="58">
                  <c:v>8.274289788388856</c:v>
                </c:pt>
                <c:pt idx="59">
                  <c:v>5.5221510898970081</c:v>
                </c:pt>
                <c:pt idx="60">
                  <c:v>5.4071885786924883</c:v>
                </c:pt>
                <c:pt idx="61">
                  <c:v>7.0790436396088934</c:v>
                </c:pt>
                <c:pt idx="62">
                  <c:v>8.5277314025676567</c:v>
                </c:pt>
                <c:pt idx="63">
                  <c:v>7.599336978594164</c:v>
                </c:pt>
                <c:pt idx="64">
                  <c:v>7.0336726463576875</c:v>
                </c:pt>
                <c:pt idx="65">
                  <c:v>6.1942240903611587</c:v>
                </c:pt>
                <c:pt idx="66">
                  <c:v>6.5358293123911722</c:v>
                </c:pt>
                <c:pt idx="67">
                  <c:v>8.6076938914428585</c:v>
                </c:pt>
                <c:pt idx="68">
                  <c:v>6.8956161869757917</c:v>
                </c:pt>
                <c:pt idx="69">
                  <c:v>6.9477082770670471</c:v>
                </c:pt>
                <c:pt idx="70">
                  <c:v>7.5732187294326261</c:v>
                </c:pt>
                <c:pt idx="71">
                  <c:v>4.6924020474588293</c:v>
                </c:pt>
                <c:pt idx="72">
                  <c:v>6.0963329146940879</c:v>
                </c:pt>
                <c:pt idx="73">
                  <c:v>5.0183796824662306</c:v>
                </c:pt>
                <c:pt idx="74">
                  <c:v>5.7643641659523741</c:v>
                </c:pt>
                <c:pt idx="75">
                  <c:v>7.3924563399155403</c:v>
                </c:pt>
                <c:pt idx="76">
                  <c:v>6.3224656229550424</c:v>
                </c:pt>
                <c:pt idx="77">
                  <c:v>7.7295378199509353</c:v>
                </c:pt>
                <c:pt idx="78">
                  <c:v>4.2795078264077473</c:v>
                </c:pt>
                <c:pt idx="79">
                  <c:v>4.2771712092456404</c:v>
                </c:pt>
                <c:pt idx="80">
                  <c:v>4.1678475430763307</c:v>
                </c:pt>
                <c:pt idx="81">
                  <c:v>7.6212870860086195</c:v>
                </c:pt>
                <c:pt idx="82">
                  <c:v>9.9028281123503703</c:v>
                </c:pt>
                <c:pt idx="83">
                  <c:v>10.13865683476137</c:v>
                </c:pt>
                <c:pt idx="84">
                  <c:v>9.5616944123189533</c:v>
                </c:pt>
                <c:pt idx="85">
                  <c:v>10.095344297024527</c:v>
                </c:pt>
                <c:pt idx="86">
                  <c:v>9.618437561121473</c:v>
                </c:pt>
                <c:pt idx="87">
                  <c:v>9.5734377329929501</c:v>
                </c:pt>
                <c:pt idx="88">
                  <c:v>9.1842871855155099</c:v>
                </c:pt>
                <c:pt idx="89">
                  <c:v>9.0932904681211593</c:v>
                </c:pt>
                <c:pt idx="90">
                  <c:v>8.0718639716075575</c:v>
                </c:pt>
                <c:pt idx="91">
                  <c:v>7.9879585704389271</c:v>
                </c:pt>
                <c:pt idx="92">
                  <c:v>7.9879585704389271</c:v>
                </c:pt>
                <c:pt idx="93">
                  <c:v>5.4839257930718404</c:v>
                </c:pt>
                <c:pt idx="94">
                  <c:v>8.1930835144984524</c:v>
                </c:pt>
                <c:pt idx="95">
                  <c:v>9.2737345990523323</c:v>
                </c:pt>
                <c:pt idx="96">
                  <c:v>9.4755654184356768</c:v>
                </c:pt>
                <c:pt idx="97">
                  <c:v>9.6773962378190213</c:v>
                </c:pt>
                <c:pt idx="98">
                  <c:v>4.6798811025624154</c:v>
                </c:pt>
                <c:pt idx="99">
                  <c:v>4.381717336108804</c:v>
                </c:pt>
                <c:pt idx="100">
                  <c:v>4.2531636268750592</c:v>
                </c:pt>
                <c:pt idx="101">
                  <c:v>3.963458170926347</c:v>
                </c:pt>
                <c:pt idx="102">
                  <c:v>4.1133092092604491</c:v>
                </c:pt>
                <c:pt idx="103">
                  <c:v>5.104393213902819</c:v>
                </c:pt>
                <c:pt idx="104">
                  <c:v>5.1969759244009701</c:v>
                </c:pt>
                <c:pt idx="105">
                  <c:v>2.9788642172780522</c:v>
                </c:pt>
                <c:pt idx="106">
                  <c:v>5.2636237761653648</c:v>
                </c:pt>
                <c:pt idx="107">
                  <c:v>6.1441648690115125</c:v>
                </c:pt>
                <c:pt idx="108">
                  <c:v>5.2670398137367833</c:v>
                </c:pt>
                <c:pt idx="109">
                  <c:v>3.8231691748076675</c:v>
                </c:pt>
                <c:pt idx="110">
                  <c:v>1.7859275423720948</c:v>
                </c:pt>
                <c:pt idx="111">
                  <c:v>2.5190522514453475</c:v>
                </c:pt>
                <c:pt idx="112">
                  <c:v>1.7391696649069175</c:v>
                </c:pt>
                <c:pt idx="113">
                  <c:v>1.4300473750495635</c:v>
                </c:pt>
                <c:pt idx="114">
                  <c:v>1.4120895127593216</c:v>
                </c:pt>
                <c:pt idx="115">
                  <c:v>1.1522302771005644</c:v>
                </c:pt>
                <c:pt idx="116">
                  <c:v>1.2215990434909429</c:v>
                </c:pt>
              </c:numCache>
            </c:numRef>
          </c:xVal>
          <c:yVal>
            <c:numRef>
              <c:f>'Chem Results'!$Y$7:$Y$123</c:f>
              <c:numCache>
                <c:formatCode>General</c:formatCode>
                <c:ptCount val="117"/>
                <c:pt idx="0">
                  <c:v>7.26</c:v>
                </c:pt>
                <c:pt idx="1">
                  <c:v>11.96</c:v>
                </c:pt>
                <c:pt idx="2">
                  <c:v>12.44</c:v>
                </c:pt>
                <c:pt idx="3">
                  <c:v>12.79</c:v>
                </c:pt>
                <c:pt idx="4">
                  <c:v>8.86</c:v>
                </c:pt>
                <c:pt idx="5">
                  <c:v>8.94</c:v>
                </c:pt>
                <c:pt idx="6">
                  <c:v>9.01</c:v>
                </c:pt>
                <c:pt idx="7">
                  <c:v>9.25</c:v>
                </c:pt>
                <c:pt idx="8">
                  <c:v>7.7</c:v>
                </c:pt>
                <c:pt idx="9">
                  <c:v>6.34</c:v>
                </c:pt>
                <c:pt idx="10">
                  <c:v>5.75</c:v>
                </c:pt>
                <c:pt idx="11">
                  <c:v>8.7100000000000009</c:v>
                </c:pt>
                <c:pt idx="12">
                  <c:v>12.17</c:v>
                </c:pt>
                <c:pt idx="13">
                  <c:v>12</c:v>
                </c:pt>
                <c:pt idx="14">
                  <c:v>12.31</c:v>
                </c:pt>
                <c:pt idx="15">
                  <c:v>11.94</c:v>
                </c:pt>
                <c:pt idx="16">
                  <c:v>10.81</c:v>
                </c:pt>
                <c:pt idx="17">
                  <c:v>10.45</c:v>
                </c:pt>
                <c:pt idx="18">
                  <c:v>7.78</c:v>
                </c:pt>
                <c:pt idx="19">
                  <c:v>3.81</c:v>
                </c:pt>
                <c:pt idx="20">
                  <c:v>5.89</c:v>
                </c:pt>
                <c:pt idx="21">
                  <c:v>3.85</c:v>
                </c:pt>
                <c:pt idx="22">
                  <c:v>3.54</c:v>
                </c:pt>
                <c:pt idx="23">
                  <c:v>4.6500000000000004</c:v>
                </c:pt>
                <c:pt idx="24">
                  <c:v>5.59</c:v>
                </c:pt>
                <c:pt idx="25">
                  <c:v>4.51</c:v>
                </c:pt>
                <c:pt idx="26">
                  <c:v>3.35</c:v>
                </c:pt>
                <c:pt idx="27">
                  <c:v>3.16</c:v>
                </c:pt>
                <c:pt idx="28">
                  <c:v>4.99</c:v>
                </c:pt>
                <c:pt idx="29">
                  <c:v>6.04</c:v>
                </c:pt>
                <c:pt idx="30">
                  <c:v>6.81</c:v>
                </c:pt>
                <c:pt idx="31">
                  <c:v>5.3</c:v>
                </c:pt>
                <c:pt idx="32">
                  <c:v>3.87</c:v>
                </c:pt>
                <c:pt idx="33">
                  <c:v>5.05</c:v>
                </c:pt>
                <c:pt idx="34">
                  <c:v>6.62</c:v>
                </c:pt>
                <c:pt idx="35">
                  <c:v>11.03</c:v>
                </c:pt>
                <c:pt idx="36">
                  <c:v>7.79</c:v>
                </c:pt>
                <c:pt idx="37">
                  <c:v>9.57</c:v>
                </c:pt>
                <c:pt idx="38">
                  <c:v>6.7</c:v>
                </c:pt>
                <c:pt idx="39">
                  <c:v>2.96</c:v>
                </c:pt>
                <c:pt idx="40">
                  <c:v>2.92</c:v>
                </c:pt>
                <c:pt idx="41">
                  <c:v>7.07</c:v>
                </c:pt>
                <c:pt idx="42">
                  <c:v>5.93</c:v>
                </c:pt>
                <c:pt idx="43">
                  <c:v>9.76</c:v>
                </c:pt>
                <c:pt idx="44">
                  <c:v>7.09</c:v>
                </c:pt>
                <c:pt idx="45">
                  <c:v>5.47</c:v>
                </c:pt>
                <c:pt idx="46">
                  <c:v>3.36</c:v>
                </c:pt>
                <c:pt idx="47">
                  <c:v>6.87</c:v>
                </c:pt>
                <c:pt idx="48">
                  <c:v>8.67</c:v>
                </c:pt>
                <c:pt idx="49">
                  <c:v>11.85</c:v>
                </c:pt>
                <c:pt idx="50">
                  <c:v>11.01</c:v>
                </c:pt>
                <c:pt idx="51">
                  <c:v>10.9</c:v>
                </c:pt>
                <c:pt idx="52">
                  <c:v>9.99</c:v>
                </c:pt>
                <c:pt idx="53">
                  <c:v>9.69</c:v>
                </c:pt>
                <c:pt idx="54">
                  <c:v>9.23</c:v>
                </c:pt>
                <c:pt idx="55">
                  <c:v>9.4700000000000006</c:v>
                </c:pt>
                <c:pt idx="56">
                  <c:v>9.83</c:v>
                </c:pt>
                <c:pt idx="57">
                  <c:v>9.5500000000000007</c:v>
                </c:pt>
                <c:pt idx="58">
                  <c:v>10.31</c:v>
                </c:pt>
                <c:pt idx="59">
                  <c:v>9.67</c:v>
                </c:pt>
                <c:pt idx="60">
                  <c:v>7.75</c:v>
                </c:pt>
                <c:pt idx="61">
                  <c:v>9.23</c:v>
                </c:pt>
                <c:pt idx="62">
                  <c:v>11.76</c:v>
                </c:pt>
                <c:pt idx="63">
                  <c:v>9.9</c:v>
                </c:pt>
                <c:pt idx="64">
                  <c:v>7.1</c:v>
                </c:pt>
                <c:pt idx="65">
                  <c:v>9.42</c:v>
                </c:pt>
                <c:pt idx="66">
                  <c:v>8.0399999999999991</c:v>
                </c:pt>
                <c:pt idx="67">
                  <c:v>9.77</c:v>
                </c:pt>
                <c:pt idx="68">
                  <c:v>8.01</c:v>
                </c:pt>
                <c:pt idx="69">
                  <c:v>9.4</c:v>
                </c:pt>
                <c:pt idx="70">
                  <c:v>9.19</c:v>
                </c:pt>
                <c:pt idx="71">
                  <c:v>7.7</c:v>
                </c:pt>
                <c:pt idx="72">
                  <c:v>6.09</c:v>
                </c:pt>
                <c:pt idx="73">
                  <c:v>7.24</c:v>
                </c:pt>
                <c:pt idx="74">
                  <c:v>8.8699999999999992</c:v>
                </c:pt>
                <c:pt idx="75">
                  <c:v>8.67</c:v>
                </c:pt>
                <c:pt idx="76">
                  <c:v>7.54</c:v>
                </c:pt>
                <c:pt idx="77">
                  <c:v>8.91</c:v>
                </c:pt>
                <c:pt idx="78">
                  <c:v>9.08</c:v>
                </c:pt>
                <c:pt idx="79">
                  <c:v>3.27</c:v>
                </c:pt>
                <c:pt idx="80">
                  <c:v>2.85</c:v>
                </c:pt>
                <c:pt idx="81">
                  <c:v>10.31</c:v>
                </c:pt>
                <c:pt idx="82">
                  <c:v>10.89</c:v>
                </c:pt>
                <c:pt idx="83">
                  <c:v>11.11</c:v>
                </c:pt>
                <c:pt idx="84">
                  <c:v>11.01</c:v>
                </c:pt>
                <c:pt idx="85">
                  <c:v>10.52</c:v>
                </c:pt>
                <c:pt idx="86">
                  <c:v>10.41</c:v>
                </c:pt>
                <c:pt idx="87">
                  <c:v>10.72</c:v>
                </c:pt>
                <c:pt idx="88">
                  <c:v>9.8699999999999992</c:v>
                </c:pt>
                <c:pt idx="89">
                  <c:v>9.5500000000000007</c:v>
                </c:pt>
                <c:pt idx="90">
                  <c:v>10.119999999999999</c:v>
                </c:pt>
                <c:pt idx="91">
                  <c:v>9.59</c:v>
                </c:pt>
                <c:pt idx="92">
                  <c:v>7.47</c:v>
                </c:pt>
                <c:pt idx="93">
                  <c:v>11.89</c:v>
                </c:pt>
                <c:pt idx="94">
                  <c:v>11.26</c:v>
                </c:pt>
                <c:pt idx="95">
                  <c:v>10.73</c:v>
                </c:pt>
                <c:pt idx="96">
                  <c:v>8.77</c:v>
                </c:pt>
                <c:pt idx="97">
                  <c:v>8.08</c:v>
                </c:pt>
                <c:pt idx="98">
                  <c:v>5.2</c:v>
                </c:pt>
                <c:pt idx="99">
                  <c:v>4.2699999999999996</c:v>
                </c:pt>
                <c:pt idx="100">
                  <c:v>4.13</c:v>
                </c:pt>
                <c:pt idx="101">
                  <c:v>3.92</c:v>
                </c:pt>
                <c:pt idx="102">
                  <c:v>3.85</c:v>
                </c:pt>
                <c:pt idx="103">
                  <c:v>4.21</c:v>
                </c:pt>
                <c:pt idx="104">
                  <c:v>3.38</c:v>
                </c:pt>
                <c:pt idx="105">
                  <c:v>5.38</c:v>
                </c:pt>
                <c:pt idx="106">
                  <c:v>2.75</c:v>
                </c:pt>
                <c:pt idx="107">
                  <c:v>5.88</c:v>
                </c:pt>
                <c:pt idx="108">
                  <c:v>10.48</c:v>
                </c:pt>
                <c:pt idx="109">
                  <c:v>9.09</c:v>
                </c:pt>
                <c:pt idx="110">
                  <c:v>7.37</c:v>
                </c:pt>
                <c:pt idx="111">
                  <c:v>7.58</c:v>
                </c:pt>
                <c:pt idx="112">
                  <c:v>2.4900000000000002</c:v>
                </c:pt>
                <c:pt idx="113">
                  <c:v>2.2400000000000002</c:v>
                </c:pt>
                <c:pt idx="114">
                  <c:v>2.48</c:v>
                </c:pt>
                <c:pt idx="115">
                  <c:v>2.14</c:v>
                </c:pt>
                <c:pt idx="116">
                  <c:v>2.0499999999999998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7-1C4B-B27C-A1013F75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33855"/>
        <c:axId val="813165327"/>
      </c:scatterChart>
      <c:valAx>
        <c:axId val="813233855"/>
        <c:scaling>
          <c:orientation val="minMax"/>
          <c:max val="14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Wt% LOI Chemical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65327"/>
        <c:crosses val="autoZero"/>
        <c:crossBetween val="midCat"/>
      </c:valAx>
      <c:valAx>
        <c:axId val="813165327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Wt% H</a:t>
                </a:r>
                <a:r>
                  <a:rPr lang="en-US" sz="1800" b="1" i="0" baseline="-25000">
                    <a:effectLst/>
                  </a:rPr>
                  <a:t>2</a:t>
                </a:r>
                <a:r>
                  <a:rPr lang="en-US" sz="1800" b="1" i="0" baseline="0">
                    <a:effectLst/>
                  </a:rPr>
                  <a:t>O QXRD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33855"/>
        <c:crosses val="autoZero"/>
        <c:crossBetween val="midCat"/>
      </c:valAx>
      <c:spPr>
        <a:noFill/>
        <a:ln w="190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Na</a:t>
            </a:r>
            <a:r>
              <a:rPr lang="en-US" sz="1800" b="1" i="0" baseline="-25000">
                <a:effectLst/>
              </a:rPr>
              <a:t>2</a:t>
            </a:r>
            <a:r>
              <a:rPr lang="en-US" sz="1800" b="1" i="0" baseline="0">
                <a:effectLst/>
              </a:rPr>
              <a:t>O Chemistry versus QXRD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48467571323059977"/>
          <c:y val="0.78503820390342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12343677628531"/>
          <c:y val="3.5882687914654862E-2"/>
          <c:w val="0.8141287883529662"/>
          <c:h val="0.84146721181475537"/>
        </c:manualLayout>
      </c:layout>
      <c:scatterChart>
        <c:scatterStyle val="lineMarker"/>
        <c:varyColors val="0"/>
        <c:ser>
          <c:idx val="0"/>
          <c:order val="0"/>
          <c:tx>
            <c:v>Na2O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311202007936607"/>
                  <c:y val="0.4441741379632048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y = 1.04x + 0.077</a:t>
                    </a:r>
                    <a:b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</a:b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R² = 0.93</a:t>
                    </a:r>
                  </a:p>
                  <a:p>
                    <a:pPr>
                      <a:defRPr/>
                    </a:pPr>
                    <a:r>
                      <a:rPr lang="en-US" sz="1600" b="1" i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SE</a:t>
                    </a:r>
                    <a:r>
                      <a:rPr lang="en-US" sz="1600" b="1" baseline="0"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rPr>
                      <a:t> = 0.25%</a:t>
                    </a:r>
                    <a:endParaRPr lang="en-US" sz="1600" b="1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'Chem Results'!$EF$7:$EF$123</c:f>
              <c:numCache>
                <c:formatCode>0.0</c:formatCode>
                <c:ptCount val="117"/>
                <c:pt idx="0">
                  <c:v>1.2280167644713387E-2</c:v>
                </c:pt>
                <c:pt idx="1">
                  <c:v>1.40634083776058E-2</c:v>
                </c:pt>
                <c:pt idx="2">
                  <c:v>1.0504112136193218E-2</c:v>
                </c:pt>
                <c:pt idx="3">
                  <c:v>0</c:v>
                </c:pt>
                <c:pt idx="4">
                  <c:v>4.1395787580384615E-3</c:v>
                </c:pt>
                <c:pt idx="5">
                  <c:v>8.7074070107845628E-3</c:v>
                </c:pt>
                <c:pt idx="6">
                  <c:v>3.5575692808116469E-3</c:v>
                </c:pt>
                <c:pt idx="7">
                  <c:v>8.4023565285315949E-4</c:v>
                </c:pt>
                <c:pt idx="8">
                  <c:v>3.1859092412177324E-4</c:v>
                </c:pt>
                <c:pt idx="9">
                  <c:v>2.0562973927156437E-2</c:v>
                </c:pt>
                <c:pt idx="10">
                  <c:v>3.0502409419740525E-2</c:v>
                </c:pt>
                <c:pt idx="11">
                  <c:v>2.2865726436490506E-2</c:v>
                </c:pt>
                <c:pt idx="12">
                  <c:v>1.6661262188133383E-2</c:v>
                </c:pt>
                <c:pt idx="13">
                  <c:v>6.1625207231173294E-3</c:v>
                </c:pt>
                <c:pt idx="14">
                  <c:v>4.3220464251511742E-3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1.1215218619707903</c:v>
                </c:pt>
                <c:pt idx="19">
                  <c:v>3.2446536358193381</c:v>
                </c:pt>
                <c:pt idx="20">
                  <c:v>0.25542076724578994</c:v>
                </c:pt>
                <c:pt idx="21">
                  <c:v>0.29025207227381605</c:v>
                </c:pt>
                <c:pt idx="22">
                  <c:v>0.34326100806048693</c:v>
                </c:pt>
                <c:pt idx="23">
                  <c:v>0.33566447759458062</c:v>
                </c:pt>
                <c:pt idx="24">
                  <c:v>0.29019899803165317</c:v>
                </c:pt>
                <c:pt idx="25">
                  <c:v>0.34264702279005338</c:v>
                </c:pt>
                <c:pt idx="26">
                  <c:v>0.3213235131926182</c:v>
                </c:pt>
                <c:pt idx="27">
                  <c:v>0.35691386061443525</c:v>
                </c:pt>
                <c:pt idx="28">
                  <c:v>0.19660177096182133</c:v>
                </c:pt>
                <c:pt idx="29">
                  <c:v>0.17165475582808951</c:v>
                </c:pt>
                <c:pt idx="30">
                  <c:v>9.8072456307457881E-2</c:v>
                </c:pt>
                <c:pt idx="31">
                  <c:v>0.10473337862750927</c:v>
                </c:pt>
                <c:pt idx="32">
                  <c:v>0.22163189669486696</c:v>
                </c:pt>
                <c:pt idx="33">
                  <c:v>0.34373712669935846</c:v>
                </c:pt>
                <c:pt idx="34">
                  <c:v>0.165229046727766</c:v>
                </c:pt>
                <c:pt idx="35">
                  <c:v>3.3467078282857089E-2</c:v>
                </c:pt>
                <c:pt idx="36">
                  <c:v>9.5963847830118604E-2</c:v>
                </c:pt>
                <c:pt idx="37">
                  <c:v>7.2521165659643727E-2</c:v>
                </c:pt>
                <c:pt idx="38">
                  <c:v>0.22506929687664359</c:v>
                </c:pt>
                <c:pt idx="39">
                  <c:v>0.34743526895567933</c:v>
                </c:pt>
                <c:pt idx="40">
                  <c:v>0.28745366003972883</c:v>
                </c:pt>
                <c:pt idx="41">
                  <c:v>3.1595859734628418E-2</c:v>
                </c:pt>
                <c:pt idx="42">
                  <c:v>9.1460109497859071E-2</c:v>
                </c:pt>
                <c:pt idx="43">
                  <c:v>6.4761371433043627E-2</c:v>
                </c:pt>
                <c:pt idx="44">
                  <c:v>7.912986211792665E-2</c:v>
                </c:pt>
                <c:pt idx="45">
                  <c:v>0.14305275001819875</c:v>
                </c:pt>
                <c:pt idx="46">
                  <c:v>0.62510088745322134</c:v>
                </c:pt>
                <c:pt idx="47">
                  <c:v>3.4957560950918024E-2</c:v>
                </c:pt>
                <c:pt idx="48">
                  <c:v>2.8349378012200031E-2</c:v>
                </c:pt>
                <c:pt idx="49">
                  <c:v>2.4521672759649712E-3</c:v>
                </c:pt>
                <c:pt idx="50">
                  <c:v>1.1572517045796678E-3</c:v>
                </c:pt>
                <c:pt idx="51">
                  <c:v>0</c:v>
                </c:pt>
                <c:pt idx="52">
                  <c:v>2.1130255959402093E-4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2.7507646640100709E-2</c:v>
                </c:pt>
                <c:pt idx="60">
                  <c:v>2.4993793825910902E-2</c:v>
                </c:pt>
                <c:pt idx="61">
                  <c:v>1.8965944989426494E-2</c:v>
                </c:pt>
                <c:pt idx="62">
                  <c:v>2.1222714164542521E-4</c:v>
                </c:pt>
                <c:pt idx="63">
                  <c:v>1.6917433323516376E-3</c:v>
                </c:pt>
                <c:pt idx="64">
                  <c:v>2.1239394941451547E-4</c:v>
                </c:pt>
                <c:pt idx="65">
                  <c:v>1.0380751363657532E-4</c:v>
                </c:pt>
                <c:pt idx="66">
                  <c:v>1.0718384595907046E-4</c:v>
                </c:pt>
                <c:pt idx="67">
                  <c:v>2.0254750764330375E-2</c:v>
                </c:pt>
                <c:pt idx="68">
                  <c:v>3.2042583514720632E-4</c:v>
                </c:pt>
                <c:pt idx="69">
                  <c:v>0</c:v>
                </c:pt>
                <c:pt idx="70">
                  <c:v>0</c:v>
                </c:pt>
                <c:pt idx="71">
                  <c:v>4.4711997676941707E-2</c:v>
                </c:pt>
                <c:pt idx="72">
                  <c:v>7.7606470082065462E-2</c:v>
                </c:pt>
                <c:pt idx="73">
                  <c:v>5.6390921075929308E-2</c:v>
                </c:pt>
                <c:pt idx="74">
                  <c:v>4.7181766015711765E-2</c:v>
                </c:pt>
                <c:pt idx="75">
                  <c:v>1.7416303851990268E-2</c:v>
                </c:pt>
                <c:pt idx="76">
                  <c:v>6.9489209556971264E-3</c:v>
                </c:pt>
                <c:pt idx="77">
                  <c:v>9.2867754689003237E-3</c:v>
                </c:pt>
                <c:pt idx="78">
                  <c:v>5.2927435292178263E-2</c:v>
                </c:pt>
                <c:pt idx="79">
                  <c:v>6.1309764068532994E-2</c:v>
                </c:pt>
                <c:pt idx="80">
                  <c:v>5.8726211026550686E-2</c:v>
                </c:pt>
                <c:pt idx="81">
                  <c:v>3.5741879448853445E-2</c:v>
                </c:pt>
                <c:pt idx="82">
                  <c:v>1.1033484096393344E-4</c:v>
                </c:pt>
                <c:pt idx="83">
                  <c:v>2.1692437081257743E-4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0.32476884863028765</c:v>
                </c:pt>
                <c:pt idx="94">
                  <c:v>0.18877518337102622</c:v>
                </c:pt>
                <c:pt idx="95">
                  <c:v>0.30544733366156557</c:v>
                </c:pt>
                <c:pt idx="96">
                  <c:v>0.57502595163594628</c:v>
                </c:pt>
                <c:pt idx="97">
                  <c:v>0.84460456961032693</c:v>
                </c:pt>
                <c:pt idx="98">
                  <c:v>1.3637011183380452</c:v>
                </c:pt>
                <c:pt idx="99">
                  <c:v>1.950896106935019</c:v>
                </c:pt>
                <c:pt idx="100">
                  <c:v>2.0549190714462369</c:v>
                </c:pt>
                <c:pt idx="101">
                  <c:v>2.5010940480681239</c:v>
                </c:pt>
                <c:pt idx="102">
                  <c:v>2.3455377532181974</c:v>
                </c:pt>
                <c:pt idx="103">
                  <c:v>2.0004018660728673</c:v>
                </c:pt>
                <c:pt idx="104">
                  <c:v>2.8141886341657689</c:v>
                </c:pt>
                <c:pt idx="105">
                  <c:v>1.1273172375602281</c:v>
                </c:pt>
                <c:pt idx="106">
                  <c:v>0.82335819940856125</c:v>
                </c:pt>
                <c:pt idx="107">
                  <c:v>0.6642236004990818</c:v>
                </c:pt>
                <c:pt idx="108">
                  <c:v>1.1508157772412007</c:v>
                </c:pt>
                <c:pt idx="109">
                  <c:v>2.0672862631586031</c:v>
                </c:pt>
                <c:pt idx="110">
                  <c:v>2.9596525768783297</c:v>
                </c:pt>
                <c:pt idx="111">
                  <c:v>3.0066308966407891</c:v>
                </c:pt>
                <c:pt idx="112">
                  <c:v>3.2258801141902347</c:v>
                </c:pt>
                <c:pt idx="113">
                  <c:v>3.3714006300243731</c:v>
                </c:pt>
                <c:pt idx="114">
                  <c:v>3.8909768463065939</c:v>
                </c:pt>
                <c:pt idx="115">
                  <c:v>3.4840827683300333</c:v>
                </c:pt>
                <c:pt idx="116">
                  <c:v>3.4076108334228596</c:v>
                </c:pt>
              </c:numCache>
            </c:numRef>
          </c:xVal>
          <c:yVal>
            <c:numRef>
              <c:f>'Chem Results'!$U$7:$U$123</c:f>
              <c:numCache>
                <c:formatCode>General</c:formatCode>
                <c:ptCount val="117"/>
                <c:pt idx="0">
                  <c:v>0.06</c:v>
                </c:pt>
                <c:pt idx="1">
                  <c:v>0.03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0.12</c:v>
                </c:pt>
                <c:pt idx="9">
                  <c:v>7.0000000000000007E-2</c:v>
                </c:pt>
                <c:pt idx="10">
                  <c:v>0.12</c:v>
                </c:pt>
                <c:pt idx="11">
                  <c:v>0.06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0.04</c:v>
                </c:pt>
                <c:pt idx="16">
                  <c:v>0.06</c:v>
                </c:pt>
                <c:pt idx="17">
                  <c:v>0.05</c:v>
                </c:pt>
                <c:pt idx="18">
                  <c:v>1.1000000000000001</c:v>
                </c:pt>
                <c:pt idx="19">
                  <c:v>2.74</c:v>
                </c:pt>
                <c:pt idx="20">
                  <c:v>0.3</c:v>
                </c:pt>
                <c:pt idx="21">
                  <c:v>0.3</c:v>
                </c:pt>
                <c:pt idx="22">
                  <c:v>0.28999999999999998</c:v>
                </c:pt>
                <c:pt idx="23">
                  <c:v>0.35</c:v>
                </c:pt>
                <c:pt idx="24">
                  <c:v>0.26</c:v>
                </c:pt>
                <c:pt idx="25">
                  <c:v>0.32</c:v>
                </c:pt>
                <c:pt idx="26">
                  <c:v>0.31</c:v>
                </c:pt>
                <c:pt idx="27">
                  <c:v>0.36</c:v>
                </c:pt>
                <c:pt idx="28">
                  <c:v>0.19</c:v>
                </c:pt>
                <c:pt idx="29">
                  <c:v>0.15</c:v>
                </c:pt>
                <c:pt idx="30">
                  <c:v>0.1</c:v>
                </c:pt>
                <c:pt idx="31">
                  <c:v>0.25</c:v>
                </c:pt>
                <c:pt idx="32">
                  <c:v>0.44</c:v>
                </c:pt>
                <c:pt idx="33">
                  <c:v>0.4</c:v>
                </c:pt>
                <c:pt idx="34">
                  <c:v>0.23</c:v>
                </c:pt>
                <c:pt idx="35">
                  <c:v>0.06</c:v>
                </c:pt>
                <c:pt idx="36">
                  <c:v>0.19</c:v>
                </c:pt>
                <c:pt idx="37">
                  <c:v>0.06</c:v>
                </c:pt>
                <c:pt idx="38">
                  <c:v>0.14000000000000001</c:v>
                </c:pt>
                <c:pt idx="39">
                  <c:v>0.34</c:v>
                </c:pt>
                <c:pt idx="40">
                  <c:v>0.33</c:v>
                </c:pt>
                <c:pt idx="41">
                  <c:v>0.09</c:v>
                </c:pt>
                <c:pt idx="42">
                  <c:v>0.15</c:v>
                </c:pt>
                <c:pt idx="43">
                  <c:v>0.12</c:v>
                </c:pt>
                <c:pt idx="44">
                  <c:v>0.13</c:v>
                </c:pt>
                <c:pt idx="45">
                  <c:v>0.2</c:v>
                </c:pt>
                <c:pt idx="46">
                  <c:v>0.38</c:v>
                </c:pt>
                <c:pt idx="47">
                  <c:v>0.09</c:v>
                </c:pt>
                <c:pt idx="48">
                  <c:v>0.06</c:v>
                </c:pt>
                <c:pt idx="49">
                  <c:v>0.04</c:v>
                </c:pt>
                <c:pt idx="50">
                  <c:v>0.04</c:v>
                </c:pt>
                <c:pt idx="51">
                  <c:v>0.05</c:v>
                </c:pt>
                <c:pt idx="52">
                  <c:v>0.03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0.03</c:v>
                </c:pt>
                <c:pt idx="57">
                  <c:v>0.05</c:v>
                </c:pt>
                <c:pt idx="58">
                  <c:v>0.04</c:v>
                </c:pt>
                <c:pt idx="59">
                  <c:v>0.13</c:v>
                </c:pt>
                <c:pt idx="60">
                  <c:v>0.12</c:v>
                </c:pt>
                <c:pt idx="61">
                  <c:v>0.1</c:v>
                </c:pt>
                <c:pt idx="62">
                  <c:v>0.06</c:v>
                </c:pt>
                <c:pt idx="63">
                  <c:v>0.08</c:v>
                </c:pt>
                <c:pt idx="64">
                  <c:v>0.05</c:v>
                </c:pt>
                <c:pt idx="65">
                  <c:v>0.08</c:v>
                </c:pt>
                <c:pt idx="66">
                  <c:v>7.0000000000000007E-2</c:v>
                </c:pt>
                <c:pt idx="67">
                  <c:v>0.1</c:v>
                </c:pt>
                <c:pt idx="68">
                  <c:v>0.12</c:v>
                </c:pt>
                <c:pt idx="69">
                  <c:v>0.09</c:v>
                </c:pt>
                <c:pt idx="70">
                  <c:v>0.12</c:v>
                </c:pt>
                <c:pt idx="71">
                  <c:v>0.19</c:v>
                </c:pt>
                <c:pt idx="72">
                  <c:v>0.14000000000000001</c:v>
                </c:pt>
                <c:pt idx="73">
                  <c:v>0.13</c:v>
                </c:pt>
                <c:pt idx="74">
                  <c:v>0.09</c:v>
                </c:pt>
                <c:pt idx="75">
                  <c:v>0.1</c:v>
                </c:pt>
                <c:pt idx="76">
                  <c:v>0.06</c:v>
                </c:pt>
                <c:pt idx="77">
                  <c:v>0.1</c:v>
                </c:pt>
                <c:pt idx="78">
                  <c:v>0.12</c:v>
                </c:pt>
                <c:pt idx="79">
                  <c:v>0.12</c:v>
                </c:pt>
                <c:pt idx="80">
                  <c:v>0.11</c:v>
                </c:pt>
                <c:pt idx="81">
                  <c:v>0.05</c:v>
                </c:pt>
                <c:pt idx="82">
                  <c:v>0.06</c:v>
                </c:pt>
                <c:pt idx="83">
                  <c:v>0.08</c:v>
                </c:pt>
                <c:pt idx="84">
                  <c:v>0.03</c:v>
                </c:pt>
                <c:pt idx="85">
                  <c:v>0.04</c:v>
                </c:pt>
                <c:pt idx="86">
                  <c:v>0.09</c:v>
                </c:pt>
                <c:pt idx="87">
                  <c:v>0.05</c:v>
                </c:pt>
                <c:pt idx="88">
                  <c:v>0.06</c:v>
                </c:pt>
                <c:pt idx="89">
                  <c:v>0.08</c:v>
                </c:pt>
                <c:pt idx="90">
                  <c:v>0.05</c:v>
                </c:pt>
                <c:pt idx="91">
                  <c:v>0.06</c:v>
                </c:pt>
                <c:pt idx="92">
                  <c:v>0.81</c:v>
                </c:pt>
                <c:pt idx="93">
                  <c:v>0.34</c:v>
                </c:pt>
                <c:pt idx="94">
                  <c:v>0.45</c:v>
                </c:pt>
                <c:pt idx="95">
                  <c:v>0.42</c:v>
                </c:pt>
                <c:pt idx="96">
                  <c:v>1.1200000000000001</c:v>
                </c:pt>
                <c:pt idx="97">
                  <c:v>1.56</c:v>
                </c:pt>
                <c:pt idx="98">
                  <c:v>2.0099999999999998</c:v>
                </c:pt>
                <c:pt idx="99">
                  <c:v>2.46</c:v>
                </c:pt>
                <c:pt idx="100">
                  <c:v>2.58</c:v>
                </c:pt>
                <c:pt idx="101">
                  <c:v>2.89</c:v>
                </c:pt>
                <c:pt idx="102">
                  <c:v>3.08</c:v>
                </c:pt>
                <c:pt idx="103">
                  <c:v>2.77</c:v>
                </c:pt>
                <c:pt idx="104">
                  <c:v>3.22</c:v>
                </c:pt>
                <c:pt idx="105">
                  <c:v>1.43</c:v>
                </c:pt>
                <c:pt idx="106">
                  <c:v>1.38</c:v>
                </c:pt>
                <c:pt idx="107">
                  <c:v>1.29</c:v>
                </c:pt>
                <c:pt idx="108">
                  <c:v>0.99</c:v>
                </c:pt>
                <c:pt idx="109">
                  <c:v>1.58</c:v>
                </c:pt>
                <c:pt idx="110">
                  <c:v>1.77</c:v>
                </c:pt>
                <c:pt idx="111">
                  <c:v>1.96</c:v>
                </c:pt>
                <c:pt idx="112">
                  <c:v>4</c:v>
                </c:pt>
                <c:pt idx="113">
                  <c:v>4.1900000000000004</c:v>
                </c:pt>
                <c:pt idx="114">
                  <c:v>4.03</c:v>
                </c:pt>
                <c:pt idx="115">
                  <c:v>3.84</c:v>
                </c:pt>
                <c:pt idx="116">
                  <c:v>4.08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7-1C4B-B27C-A1013F75D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33855"/>
        <c:axId val="813165327"/>
      </c:scatterChart>
      <c:valAx>
        <c:axId val="813233855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Wt% Na</a:t>
                </a:r>
                <a:r>
                  <a:rPr lang="en-US" sz="1800" b="1" i="0" baseline="-25000">
                    <a:effectLst/>
                  </a:rPr>
                  <a:t>2</a:t>
                </a:r>
                <a:r>
                  <a:rPr lang="en-US" sz="1800" b="1" i="0" baseline="0">
                    <a:effectLst/>
                  </a:rPr>
                  <a:t>O Chemical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165327"/>
        <c:crosses val="autoZero"/>
        <c:crossBetween val="midCat"/>
        <c:majorUnit val="1"/>
      </c:valAx>
      <c:valAx>
        <c:axId val="813165327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Wt% Na</a:t>
                </a:r>
                <a:r>
                  <a:rPr lang="en-US" sz="1800" b="1" i="0" baseline="-25000">
                    <a:effectLst/>
                  </a:rPr>
                  <a:t>2</a:t>
                </a:r>
                <a:r>
                  <a:rPr lang="en-US" sz="1800" b="1" i="0" baseline="0">
                    <a:effectLst/>
                  </a:rPr>
                  <a:t>O QXRD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2.2356751766012522E-2"/>
              <c:y val="0.35703913802282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33855"/>
        <c:crosses val="autoZero"/>
        <c:crossBetween val="midCat"/>
        <c:majorUnit val="1"/>
      </c:valAx>
      <c:spPr>
        <a:noFill/>
        <a:ln w="190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3023183620978"/>
          <c:y val="0.1229354293478065"/>
          <c:w val="0.80003466077083452"/>
          <c:h val="0.75300953705805951"/>
        </c:manualLayout>
      </c:layout>
      <c:scatterChart>
        <c:scatterStyle val="lineMarker"/>
        <c:varyColors val="0"/>
        <c:ser>
          <c:idx val="1"/>
          <c:order val="0"/>
          <c:tx>
            <c:v>R1C2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C00000"/>
              </a:solidFill>
            </c:spPr>
          </c:marker>
          <c:xVal>
            <c:numRef>
              <c:f>'Chem Results'!$O$7:$O$15</c:f>
              <c:numCache>
                <c:formatCode>General</c:formatCode>
                <c:ptCount val="9"/>
                <c:pt idx="0">
                  <c:v>77.02</c:v>
                </c:pt>
                <c:pt idx="1">
                  <c:v>52.35</c:v>
                </c:pt>
                <c:pt idx="2">
                  <c:v>48.23</c:v>
                </c:pt>
                <c:pt idx="3">
                  <c:v>49.28</c:v>
                </c:pt>
                <c:pt idx="4">
                  <c:v>58.34</c:v>
                </c:pt>
                <c:pt idx="5">
                  <c:v>60.74</c:v>
                </c:pt>
                <c:pt idx="6">
                  <c:v>59.67</c:v>
                </c:pt>
                <c:pt idx="7">
                  <c:v>58.26</c:v>
                </c:pt>
                <c:pt idx="8">
                  <c:v>65.959999999999994</c:v>
                </c:pt>
              </c:numCache>
            </c:numRef>
          </c:xVal>
          <c:yVal>
            <c:numRef>
              <c:f>'Chem Results'!$F$7:$F$15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F5-9C48-B514-306AA47AC912}"/>
            </c:ext>
          </c:extLst>
        </c:ser>
        <c:ser>
          <c:idx val="0"/>
          <c:order val="1"/>
          <c:tx>
            <c:v>R1C3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'Chem Results'!$O$16:$O$26</c:f>
              <c:numCache>
                <c:formatCode>General</c:formatCode>
                <c:ptCount val="11"/>
                <c:pt idx="0">
                  <c:v>81.3</c:v>
                </c:pt>
                <c:pt idx="1">
                  <c:v>81.63</c:v>
                </c:pt>
                <c:pt idx="2">
                  <c:v>66.11</c:v>
                </c:pt>
                <c:pt idx="3">
                  <c:v>51.28</c:v>
                </c:pt>
                <c:pt idx="4">
                  <c:v>51.66</c:v>
                </c:pt>
                <c:pt idx="5">
                  <c:v>49.72</c:v>
                </c:pt>
                <c:pt idx="6">
                  <c:v>51.22</c:v>
                </c:pt>
                <c:pt idx="7">
                  <c:v>54.47</c:v>
                </c:pt>
                <c:pt idx="8">
                  <c:v>55.48</c:v>
                </c:pt>
                <c:pt idx="9">
                  <c:v>56.59</c:v>
                </c:pt>
                <c:pt idx="10">
                  <c:v>62.4</c:v>
                </c:pt>
              </c:numCache>
            </c:numRef>
          </c:xVal>
          <c:yVal>
            <c:numRef>
              <c:f>'Chem Results'!$F$16:$F$26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04-7E4C-B0D1-F30FAF02429C}"/>
            </c:ext>
          </c:extLst>
        </c:ser>
        <c:ser>
          <c:idx val="2"/>
          <c:order val="2"/>
          <c:tx>
            <c:v>R2H1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3366FF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'Chem Results'!$O$27:$O$40</c:f>
              <c:numCache>
                <c:formatCode>General</c:formatCode>
                <c:ptCount val="14"/>
                <c:pt idx="0">
                  <c:v>73.95</c:v>
                </c:pt>
                <c:pt idx="1">
                  <c:v>76.709999999999994</c:v>
                </c:pt>
                <c:pt idx="2">
                  <c:v>73.75</c:v>
                </c:pt>
                <c:pt idx="3">
                  <c:v>70.12</c:v>
                </c:pt>
                <c:pt idx="4">
                  <c:v>65.98</c:v>
                </c:pt>
                <c:pt idx="5">
                  <c:v>68.989999999999995</c:v>
                </c:pt>
                <c:pt idx="6">
                  <c:v>71.56</c:v>
                </c:pt>
                <c:pt idx="7">
                  <c:v>71.709999999999994</c:v>
                </c:pt>
                <c:pt idx="8">
                  <c:v>70.849999999999994</c:v>
                </c:pt>
                <c:pt idx="9">
                  <c:v>66.010000000000005</c:v>
                </c:pt>
                <c:pt idx="10">
                  <c:v>65.290000000000006</c:v>
                </c:pt>
                <c:pt idx="11">
                  <c:v>67.42</c:v>
                </c:pt>
                <c:pt idx="12">
                  <c:v>70.25</c:v>
                </c:pt>
                <c:pt idx="13">
                  <c:v>68.19</c:v>
                </c:pt>
              </c:numCache>
            </c:numRef>
          </c:xVal>
          <c:yVal>
            <c:numRef>
              <c:f>'Chem Results'!$F$27:$F$40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F5-9C48-B514-306AA47AC912}"/>
            </c:ext>
          </c:extLst>
        </c:ser>
        <c:ser>
          <c:idx val="3"/>
          <c:order val="3"/>
          <c:tx>
            <c:v>R2P1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3366FF"/>
              </a:solidFill>
              <a:ln>
                <a:noFill/>
              </a:ln>
            </c:spPr>
          </c:marker>
          <c:xVal>
            <c:numRef>
              <c:f>'Chem Results'!$O$41:$O$53</c:f>
              <c:numCache>
                <c:formatCode>General</c:formatCode>
                <c:ptCount val="13"/>
                <c:pt idx="0">
                  <c:v>71.989999999999995</c:v>
                </c:pt>
                <c:pt idx="1">
                  <c:v>54.69</c:v>
                </c:pt>
                <c:pt idx="2">
                  <c:v>61.27</c:v>
                </c:pt>
                <c:pt idx="3">
                  <c:v>57.8</c:v>
                </c:pt>
                <c:pt idx="4">
                  <c:v>65.05</c:v>
                </c:pt>
                <c:pt idx="5">
                  <c:v>72.73</c:v>
                </c:pt>
                <c:pt idx="6">
                  <c:v>71.72</c:v>
                </c:pt>
                <c:pt idx="7">
                  <c:v>62.79</c:v>
                </c:pt>
                <c:pt idx="8">
                  <c:v>68.540000000000006</c:v>
                </c:pt>
                <c:pt idx="9">
                  <c:v>54.05</c:v>
                </c:pt>
                <c:pt idx="10">
                  <c:v>66.08</c:v>
                </c:pt>
                <c:pt idx="11">
                  <c:v>70.540000000000006</c:v>
                </c:pt>
                <c:pt idx="12">
                  <c:v>72.84</c:v>
                </c:pt>
              </c:numCache>
            </c:numRef>
          </c:xVal>
          <c:yVal>
            <c:numRef>
              <c:f>'Chem Results'!$F$41:$F$53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F5-9C48-B514-306AA47AC912}"/>
            </c:ext>
          </c:extLst>
        </c:ser>
        <c:ser>
          <c:idx val="8"/>
          <c:order val="4"/>
          <c:tx>
            <c:v>R7H1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48FF38"/>
              </a:solidFill>
            </c:spPr>
          </c:marker>
          <c:xVal>
            <c:numRef>
              <c:f>'Chem Results'!$O$54:$O$65</c:f>
              <c:numCache>
                <c:formatCode>General</c:formatCode>
                <c:ptCount val="12"/>
                <c:pt idx="0">
                  <c:v>74.97</c:v>
                </c:pt>
                <c:pt idx="1">
                  <c:v>64.52</c:v>
                </c:pt>
                <c:pt idx="2">
                  <c:v>52.37</c:v>
                </c:pt>
                <c:pt idx="3">
                  <c:v>54.6</c:v>
                </c:pt>
                <c:pt idx="4">
                  <c:v>53.81</c:v>
                </c:pt>
                <c:pt idx="5">
                  <c:v>56.35</c:v>
                </c:pt>
                <c:pt idx="6">
                  <c:v>58.26</c:v>
                </c:pt>
                <c:pt idx="7">
                  <c:v>58.97</c:v>
                </c:pt>
                <c:pt idx="8">
                  <c:v>58.48</c:v>
                </c:pt>
                <c:pt idx="9">
                  <c:v>57.42</c:v>
                </c:pt>
                <c:pt idx="10">
                  <c:v>57.6</c:v>
                </c:pt>
                <c:pt idx="11">
                  <c:v>54.67</c:v>
                </c:pt>
              </c:numCache>
            </c:numRef>
          </c:xVal>
          <c:yVal>
            <c:numRef>
              <c:f>'Chem Results'!$F$54:$F$65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04-7E4C-B0D1-F30FAF02429C}"/>
            </c:ext>
          </c:extLst>
        </c:ser>
        <c:ser>
          <c:idx val="4"/>
          <c:order val="5"/>
          <c:tx>
            <c:v>R7H2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B050"/>
              </a:solidFill>
            </c:spPr>
          </c:marker>
          <c:xVal>
            <c:numRef>
              <c:f>'Chem Results'!$O$66:$O$77</c:f>
              <c:numCache>
                <c:formatCode>General</c:formatCode>
                <c:ptCount val="12"/>
                <c:pt idx="0">
                  <c:v>70.239999999999995</c:v>
                </c:pt>
                <c:pt idx="1">
                  <c:v>71.790000000000006</c:v>
                </c:pt>
                <c:pt idx="2">
                  <c:v>62.73</c:v>
                </c:pt>
                <c:pt idx="3">
                  <c:v>52.2</c:v>
                </c:pt>
                <c:pt idx="4">
                  <c:v>58.92</c:v>
                </c:pt>
                <c:pt idx="5">
                  <c:v>69.94</c:v>
                </c:pt>
                <c:pt idx="6">
                  <c:v>60.5</c:v>
                </c:pt>
                <c:pt idx="7">
                  <c:v>65.63</c:v>
                </c:pt>
                <c:pt idx="8">
                  <c:v>56.04</c:v>
                </c:pt>
                <c:pt idx="9">
                  <c:v>60.15</c:v>
                </c:pt>
                <c:pt idx="10">
                  <c:v>55.89</c:v>
                </c:pt>
                <c:pt idx="11">
                  <c:v>51.7</c:v>
                </c:pt>
              </c:numCache>
            </c:numRef>
          </c:xVal>
          <c:yVal>
            <c:numRef>
              <c:f>'Chem Results'!$F$66:$F$77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F5-9C48-B514-306AA47AC912}"/>
            </c:ext>
          </c:extLst>
        </c:ser>
        <c:ser>
          <c:idx val="5"/>
          <c:order val="6"/>
          <c:tx>
            <c:v>R7P2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48FF38"/>
              </a:solidFill>
            </c:spPr>
          </c:marker>
          <c:xVal>
            <c:numRef>
              <c:f>'Chem Results'!$O$78:$O$98</c:f>
              <c:numCache>
                <c:formatCode>General</c:formatCode>
                <c:ptCount val="21"/>
                <c:pt idx="0">
                  <c:v>75.78</c:v>
                </c:pt>
                <c:pt idx="1">
                  <c:v>75.47</c:v>
                </c:pt>
                <c:pt idx="2">
                  <c:v>69.19</c:v>
                </c:pt>
                <c:pt idx="3">
                  <c:v>63.04</c:v>
                </c:pt>
                <c:pt idx="4">
                  <c:v>62.76</c:v>
                </c:pt>
                <c:pt idx="5">
                  <c:v>66.180000000000007</c:v>
                </c:pt>
                <c:pt idx="6">
                  <c:v>61.35</c:v>
                </c:pt>
                <c:pt idx="7">
                  <c:v>81.59</c:v>
                </c:pt>
                <c:pt idx="8">
                  <c:v>85.97</c:v>
                </c:pt>
                <c:pt idx="9">
                  <c:v>84.94</c:v>
                </c:pt>
                <c:pt idx="10">
                  <c:v>58.39</c:v>
                </c:pt>
                <c:pt idx="11">
                  <c:v>55.93</c:v>
                </c:pt>
                <c:pt idx="12">
                  <c:v>53.53</c:v>
                </c:pt>
                <c:pt idx="13">
                  <c:v>55.12</c:v>
                </c:pt>
                <c:pt idx="14">
                  <c:v>56.98</c:v>
                </c:pt>
                <c:pt idx="15">
                  <c:v>55.96</c:v>
                </c:pt>
                <c:pt idx="16">
                  <c:v>54.92</c:v>
                </c:pt>
                <c:pt idx="17">
                  <c:v>57.19</c:v>
                </c:pt>
                <c:pt idx="18">
                  <c:v>57.81</c:v>
                </c:pt>
                <c:pt idx="19">
                  <c:v>56.82</c:v>
                </c:pt>
                <c:pt idx="20">
                  <c:v>57.67</c:v>
                </c:pt>
              </c:numCache>
            </c:numRef>
          </c:xVal>
          <c:yVal>
            <c:numRef>
              <c:f>'Chem Results'!$F$78:$F$98</c:f>
              <c:numCache>
                <c:formatCode>General</c:formatCode>
                <c:ptCount val="21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  <c:pt idx="7">
                  <c:v>1</c:v>
                </c:pt>
                <c:pt idx="8">
                  <c:v>5.5</c:v>
                </c:pt>
                <c:pt idx="9">
                  <c:v>12</c:v>
                </c:pt>
                <c:pt idx="10">
                  <c:v>36</c:v>
                </c:pt>
                <c:pt idx="11">
                  <c:v>69.5</c:v>
                </c:pt>
                <c:pt idx="12">
                  <c:v>99</c:v>
                </c:pt>
                <c:pt idx="13">
                  <c:v>143.5</c:v>
                </c:pt>
                <c:pt idx="14">
                  <c:v>188</c:v>
                </c:pt>
                <c:pt idx="15">
                  <c:v>275</c:v>
                </c:pt>
                <c:pt idx="16">
                  <c:v>350</c:v>
                </c:pt>
                <c:pt idx="17">
                  <c:v>450</c:v>
                </c:pt>
                <c:pt idx="18">
                  <c:v>550</c:v>
                </c:pt>
                <c:pt idx="19">
                  <c:v>650</c:v>
                </c:pt>
                <c:pt idx="2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F5-9C48-B514-306AA47AC912}"/>
            </c:ext>
          </c:extLst>
        </c:ser>
        <c:ser>
          <c:idx val="6"/>
          <c:order val="7"/>
          <c:tx>
            <c:v>R8H1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EA817"/>
              </a:solidFill>
            </c:spPr>
          </c:marker>
          <c:xVal>
            <c:numRef>
              <c:f>'Chem Results'!$O$99:$O$111</c:f>
              <c:numCache>
                <c:formatCode>General</c:formatCode>
                <c:ptCount val="13"/>
                <c:pt idx="0">
                  <c:v>67.97</c:v>
                </c:pt>
                <c:pt idx="1">
                  <c:v>52.27</c:v>
                </c:pt>
                <c:pt idx="2">
                  <c:v>51.37</c:v>
                </c:pt>
                <c:pt idx="3">
                  <c:v>51.5</c:v>
                </c:pt>
                <c:pt idx="4">
                  <c:v>58.2</c:v>
                </c:pt>
                <c:pt idx="5">
                  <c:v>52.51</c:v>
                </c:pt>
                <c:pt idx="6">
                  <c:v>58.71</c:v>
                </c:pt>
                <c:pt idx="7">
                  <c:v>60.68</c:v>
                </c:pt>
                <c:pt idx="8">
                  <c:v>62.34</c:v>
                </c:pt>
                <c:pt idx="9">
                  <c:v>62.91</c:v>
                </c:pt>
                <c:pt idx="10">
                  <c:v>62.34</c:v>
                </c:pt>
                <c:pt idx="11">
                  <c:v>53.2</c:v>
                </c:pt>
                <c:pt idx="12">
                  <c:v>52.63</c:v>
                </c:pt>
              </c:numCache>
            </c:numRef>
          </c:xVal>
          <c:yVal>
            <c:numRef>
              <c:f>'Chem Results'!$F$99:$F$111</c:f>
              <c:numCache>
                <c:formatCode>General</c:formatCode>
                <c:ptCount val="13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F5-9C48-B514-306AA47AC912}"/>
            </c:ext>
          </c:extLst>
        </c:ser>
        <c:ser>
          <c:idx val="7"/>
          <c:order val="8"/>
          <c:tx>
            <c:v>R8P1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FEA817"/>
              </a:solidFill>
              <a:ln>
                <a:noFill/>
              </a:ln>
            </c:spPr>
          </c:marker>
          <c:xVal>
            <c:numRef>
              <c:f>'Chem Results'!$O$112:$O$121</c:f>
              <c:numCache>
                <c:formatCode>General</c:formatCode>
                <c:ptCount val="10"/>
                <c:pt idx="0">
                  <c:v>76.150000000000006</c:v>
                </c:pt>
                <c:pt idx="1">
                  <c:v>77.87</c:v>
                </c:pt>
                <c:pt idx="2">
                  <c:v>67.319999999999993</c:v>
                </c:pt>
                <c:pt idx="3">
                  <c:v>52.78</c:v>
                </c:pt>
                <c:pt idx="4">
                  <c:v>57.08</c:v>
                </c:pt>
                <c:pt idx="5">
                  <c:v>58.73</c:v>
                </c:pt>
                <c:pt idx="6">
                  <c:v>55.77</c:v>
                </c:pt>
                <c:pt idx="7">
                  <c:v>63.64</c:v>
                </c:pt>
                <c:pt idx="8">
                  <c:v>63.97</c:v>
                </c:pt>
                <c:pt idx="9">
                  <c:v>58.42</c:v>
                </c:pt>
              </c:numCache>
            </c:numRef>
          </c:xVal>
          <c:yVal>
            <c:numRef>
              <c:f>'Chem Results'!$E$112:$E$121</c:f>
              <c:numCache>
                <c:formatCode>General</c:formatCode>
                <c:ptCount val="10"/>
                <c:pt idx="0">
                  <c:v>20</c:v>
                </c:pt>
                <c:pt idx="1">
                  <c:v>35</c:v>
                </c:pt>
                <c:pt idx="2">
                  <c:v>68</c:v>
                </c:pt>
                <c:pt idx="3">
                  <c:v>116</c:v>
                </c:pt>
                <c:pt idx="4">
                  <c:v>164</c:v>
                </c:pt>
                <c:pt idx="5">
                  <c:v>215</c:v>
                </c:pt>
                <c:pt idx="6">
                  <c:v>275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F5-9C48-B514-306AA47AC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87752"/>
        <c:axId val="-2137986968"/>
      </c:scatterChart>
      <c:valAx>
        <c:axId val="2121687752"/>
        <c:scaling>
          <c:orientation val="minMax"/>
          <c:max val="90"/>
          <c:min val="4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SiO</a:t>
                </a:r>
                <a:r>
                  <a:rPr lang="en-US" sz="1600" baseline="-25000"/>
                  <a:t>2</a:t>
                </a:r>
                <a:r>
                  <a:rPr lang="en-US" sz="1600"/>
                  <a:t> wt%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986968"/>
        <c:crosses val="autoZero"/>
        <c:crossBetween val="midCat"/>
        <c:minorUnit val="5"/>
      </c:valAx>
      <c:valAx>
        <c:axId val="-2137986968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8249193436860502E-2"/>
              <c:y val="0.388193769790214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21687752"/>
        <c:crosses val="autoZero"/>
        <c:crossBetween val="midCat"/>
        <c:majorUnit val="100"/>
        <c:minorUnit val="50"/>
      </c:valAx>
      <c:spPr>
        <a:ln w="1270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997034578495267"/>
          <c:y val="0.91518706091700808"/>
          <c:w val="0.72212751779282081"/>
          <c:h val="4.994114526727805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3138599728891"/>
          <c:y val="0.12723610956716352"/>
          <c:w val="0.80001559942540945"/>
          <c:h val="0.7531635129883153"/>
        </c:manualLayout>
      </c:layout>
      <c:scatterChart>
        <c:scatterStyle val="lineMarker"/>
        <c:varyColors val="0"/>
        <c:ser>
          <c:idx val="1"/>
          <c:order val="0"/>
          <c:tx>
            <c:v>R1C2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'Chem Results'!$P$7:$P$15</c:f>
              <c:numCache>
                <c:formatCode>General</c:formatCode>
                <c:ptCount val="9"/>
                <c:pt idx="0">
                  <c:v>9.65</c:v>
                </c:pt>
                <c:pt idx="1">
                  <c:v>24.28</c:v>
                </c:pt>
                <c:pt idx="2">
                  <c:v>25.46</c:v>
                </c:pt>
                <c:pt idx="3">
                  <c:v>23.68</c:v>
                </c:pt>
                <c:pt idx="4">
                  <c:v>19.72</c:v>
                </c:pt>
                <c:pt idx="5">
                  <c:v>18.87</c:v>
                </c:pt>
                <c:pt idx="6">
                  <c:v>19</c:v>
                </c:pt>
                <c:pt idx="7">
                  <c:v>19.8</c:v>
                </c:pt>
                <c:pt idx="8">
                  <c:v>17.55</c:v>
                </c:pt>
              </c:numCache>
            </c:numRef>
          </c:xVal>
          <c:yVal>
            <c:numRef>
              <c:f>'Chem Results'!$F$7:$F$15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E3-0240-A3BF-BDDDC4ACE570}"/>
            </c:ext>
          </c:extLst>
        </c:ser>
        <c:ser>
          <c:idx val="0"/>
          <c:order val="1"/>
          <c:tx>
            <c:v>R1C3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'Chem Results'!$P$16:$P$26</c:f>
              <c:numCache>
                <c:formatCode>General</c:formatCode>
                <c:ptCount val="11"/>
                <c:pt idx="0">
                  <c:v>7.84</c:v>
                </c:pt>
                <c:pt idx="1">
                  <c:v>7.87</c:v>
                </c:pt>
                <c:pt idx="2">
                  <c:v>17.010000000000002</c:v>
                </c:pt>
                <c:pt idx="3">
                  <c:v>25</c:v>
                </c:pt>
                <c:pt idx="4">
                  <c:v>24.13</c:v>
                </c:pt>
                <c:pt idx="5">
                  <c:v>25.85</c:v>
                </c:pt>
                <c:pt idx="6">
                  <c:v>24.26</c:v>
                </c:pt>
                <c:pt idx="7">
                  <c:v>22.83</c:v>
                </c:pt>
                <c:pt idx="8">
                  <c:v>22.03</c:v>
                </c:pt>
                <c:pt idx="9">
                  <c:v>20.309999999999999</c:v>
                </c:pt>
                <c:pt idx="10">
                  <c:v>17.690000000000001</c:v>
                </c:pt>
              </c:numCache>
            </c:numRef>
          </c:xVal>
          <c:yVal>
            <c:numRef>
              <c:f>'Chem Results'!$F$16:$F$26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F-5543-AE5A-BB055A94EA69}"/>
            </c:ext>
          </c:extLst>
        </c:ser>
        <c:ser>
          <c:idx val="2"/>
          <c:order val="2"/>
          <c:tx>
            <c:v>R2H1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3366FF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'Chem Results'!$P$27:$P$40</c:f>
              <c:numCache>
                <c:formatCode>General</c:formatCode>
                <c:ptCount val="14"/>
                <c:pt idx="0">
                  <c:v>11.01</c:v>
                </c:pt>
                <c:pt idx="1">
                  <c:v>11.4</c:v>
                </c:pt>
                <c:pt idx="2">
                  <c:v>12.91</c:v>
                </c:pt>
                <c:pt idx="3">
                  <c:v>14.94</c:v>
                </c:pt>
                <c:pt idx="4">
                  <c:v>17.100000000000001</c:v>
                </c:pt>
                <c:pt idx="5">
                  <c:v>16.510000000000002</c:v>
                </c:pt>
                <c:pt idx="6">
                  <c:v>14.25</c:v>
                </c:pt>
                <c:pt idx="7">
                  <c:v>14.71</c:v>
                </c:pt>
                <c:pt idx="8">
                  <c:v>15.47</c:v>
                </c:pt>
                <c:pt idx="9">
                  <c:v>16.77</c:v>
                </c:pt>
                <c:pt idx="10">
                  <c:v>17.05</c:v>
                </c:pt>
                <c:pt idx="11">
                  <c:v>15.94</c:v>
                </c:pt>
                <c:pt idx="12">
                  <c:v>15.82</c:v>
                </c:pt>
                <c:pt idx="13">
                  <c:v>15.9</c:v>
                </c:pt>
              </c:numCache>
            </c:numRef>
          </c:xVal>
          <c:yVal>
            <c:numRef>
              <c:f>'Chem Results'!$F$27:$F$40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E3-0240-A3BF-BDDDC4ACE570}"/>
            </c:ext>
          </c:extLst>
        </c:ser>
        <c:ser>
          <c:idx val="3"/>
          <c:order val="3"/>
          <c:tx>
            <c:v>R2P1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3366FF"/>
              </a:solidFill>
              <a:ln>
                <a:noFill/>
              </a:ln>
            </c:spPr>
          </c:marker>
          <c:xVal>
            <c:numRef>
              <c:f>'Chem Results'!$P$41:$P$53</c:f>
              <c:numCache>
                <c:formatCode>General</c:formatCode>
                <c:ptCount val="13"/>
                <c:pt idx="0">
                  <c:v>12.81</c:v>
                </c:pt>
                <c:pt idx="1">
                  <c:v>22.09</c:v>
                </c:pt>
                <c:pt idx="2">
                  <c:v>19.02</c:v>
                </c:pt>
                <c:pt idx="3">
                  <c:v>20.53</c:v>
                </c:pt>
                <c:pt idx="4">
                  <c:v>18.170000000000002</c:v>
                </c:pt>
                <c:pt idx="5">
                  <c:v>14</c:v>
                </c:pt>
                <c:pt idx="6">
                  <c:v>14.47</c:v>
                </c:pt>
                <c:pt idx="7">
                  <c:v>18.93</c:v>
                </c:pt>
                <c:pt idx="8">
                  <c:v>16.57</c:v>
                </c:pt>
                <c:pt idx="9">
                  <c:v>20.72</c:v>
                </c:pt>
                <c:pt idx="10">
                  <c:v>17.71</c:v>
                </c:pt>
                <c:pt idx="11">
                  <c:v>16.3</c:v>
                </c:pt>
                <c:pt idx="12">
                  <c:v>14.83</c:v>
                </c:pt>
              </c:numCache>
            </c:numRef>
          </c:xVal>
          <c:yVal>
            <c:numRef>
              <c:f>'Chem Results'!$F$41:$F$53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E3-0240-A3BF-BDDDC4ACE570}"/>
            </c:ext>
          </c:extLst>
        </c:ser>
        <c:ser>
          <c:idx val="4"/>
          <c:order val="4"/>
          <c:tx>
            <c:v>R7H1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48FF38"/>
              </a:solidFill>
            </c:spPr>
          </c:marker>
          <c:xVal>
            <c:numRef>
              <c:f>'Chem Results'!$P$54:$P$65</c:f>
              <c:numCache>
                <c:formatCode>General</c:formatCode>
                <c:ptCount val="12"/>
                <c:pt idx="0">
                  <c:v>10.84</c:v>
                </c:pt>
                <c:pt idx="1">
                  <c:v>16.98</c:v>
                </c:pt>
                <c:pt idx="2">
                  <c:v>23.66</c:v>
                </c:pt>
                <c:pt idx="3">
                  <c:v>22.62</c:v>
                </c:pt>
                <c:pt idx="4">
                  <c:v>23.58</c:v>
                </c:pt>
                <c:pt idx="5">
                  <c:v>22.1</c:v>
                </c:pt>
                <c:pt idx="6">
                  <c:v>20.92</c:v>
                </c:pt>
                <c:pt idx="7">
                  <c:v>20.079999999999998</c:v>
                </c:pt>
                <c:pt idx="8">
                  <c:v>20.86</c:v>
                </c:pt>
                <c:pt idx="9">
                  <c:v>21.36</c:v>
                </c:pt>
                <c:pt idx="10">
                  <c:v>20.13</c:v>
                </c:pt>
                <c:pt idx="11">
                  <c:v>20.63</c:v>
                </c:pt>
              </c:numCache>
            </c:numRef>
          </c:xVal>
          <c:yVal>
            <c:numRef>
              <c:f>'Chem Results'!$F$54:$F$65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E3-0240-A3BF-BDDDC4ACE570}"/>
            </c:ext>
          </c:extLst>
        </c:ser>
        <c:ser>
          <c:idx val="8"/>
          <c:order val="5"/>
          <c:tx>
            <c:v>R7H2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B050"/>
              </a:solidFill>
            </c:spPr>
          </c:marker>
          <c:xVal>
            <c:numRef>
              <c:f>'Chem Results'!$P$66:$P$77</c:f>
              <c:numCache>
                <c:formatCode>General</c:formatCode>
                <c:ptCount val="12"/>
                <c:pt idx="0">
                  <c:v>12.63</c:v>
                </c:pt>
                <c:pt idx="1">
                  <c:v>13.66</c:v>
                </c:pt>
                <c:pt idx="2">
                  <c:v>19.47</c:v>
                </c:pt>
                <c:pt idx="3">
                  <c:v>24.79</c:v>
                </c:pt>
                <c:pt idx="4">
                  <c:v>21.14</c:v>
                </c:pt>
                <c:pt idx="5">
                  <c:v>15.06</c:v>
                </c:pt>
                <c:pt idx="6">
                  <c:v>19.55</c:v>
                </c:pt>
                <c:pt idx="7">
                  <c:v>17.079999999999998</c:v>
                </c:pt>
                <c:pt idx="8">
                  <c:v>21.58</c:v>
                </c:pt>
                <c:pt idx="9">
                  <c:v>20.05</c:v>
                </c:pt>
                <c:pt idx="10">
                  <c:v>20.94</c:v>
                </c:pt>
                <c:pt idx="11">
                  <c:v>18.829999999999998</c:v>
                </c:pt>
              </c:numCache>
            </c:numRef>
          </c:xVal>
          <c:yVal>
            <c:numRef>
              <c:f>'Chem Results'!$F$66:$F$77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F-5543-AE5A-BB055A94EA69}"/>
            </c:ext>
          </c:extLst>
        </c:ser>
        <c:ser>
          <c:idx val="5"/>
          <c:order val="6"/>
          <c:tx>
            <c:v>R7P1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48FF38"/>
              </a:solidFill>
              <a:ln>
                <a:solidFill>
                  <a:srgbClr val="FEA817"/>
                </a:solidFill>
              </a:ln>
            </c:spPr>
          </c:marker>
          <c:xVal>
            <c:numRef>
              <c:f>'Chem Results'!$P$78:$P$98</c:f>
              <c:numCache>
                <c:formatCode>General</c:formatCode>
                <c:ptCount val="21"/>
                <c:pt idx="0">
                  <c:v>9.41</c:v>
                </c:pt>
                <c:pt idx="1">
                  <c:v>10.89</c:v>
                </c:pt>
                <c:pt idx="2">
                  <c:v>15.07</c:v>
                </c:pt>
                <c:pt idx="3">
                  <c:v>19.059999999999999</c:v>
                </c:pt>
                <c:pt idx="4">
                  <c:v>18.739999999999998</c:v>
                </c:pt>
                <c:pt idx="5">
                  <c:v>15.82</c:v>
                </c:pt>
                <c:pt idx="6">
                  <c:v>19.559999999999999</c:v>
                </c:pt>
                <c:pt idx="7">
                  <c:v>3.93</c:v>
                </c:pt>
                <c:pt idx="8">
                  <c:v>5.42</c:v>
                </c:pt>
                <c:pt idx="9">
                  <c:v>6.63</c:v>
                </c:pt>
                <c:pt idx="10">
                  <c:v>21.32</c:v>
                </c:pt>
                <c:pt idx="11">
                  <c:v>22.76</c:v>
                </c:pt>
                <c:pt idx="12">
                  <c:v>23.57</c:v>
                </c:pt>
                <c:pt idx="13">
                  <c:v>21.87</c:v>
                </c:pt>
                <c:pt idx="14">
                  <c:v>20.88</c:v>
                </c:pt>
                <c:pt idx="15">
                  <c:v>21.53</c:v>
                </c:pt>
                <c:pt idx="16">
                  <c:v>22.65</c:v>
                </c:pt>
                <c:pt idx="17">
                  <c:v>20.93</c:v>
                </c:pt>
                <c:pt idx="18">
                  <c:v>20.46</c:v>
                </c:pt>
                <c:pt idx="19">
                  <c:v>20.99</c:v>
                </c:pt>
                <c:pt idx="20">
                  <c:v>19.829999999999998</c:v>
                </c:pt>
              </c:numCache>
            </c:numRef>
          </c:xVal>
          <c:yVal>
            <c:numRef>
              <c:f>'Chem Results'!$F$78:$F$98</c:f>
              <c:numCache>
                <c:formatCode>General</c:formatCode>
                <c:ptCount val="21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  <c:pt idx="7">
                  <c:v>1</c:v>
                </c:pt>
                <c:pt idx="8">
                  <c:v>5.5</c:v>
                </c:pt>
                <c:pt idx="9">
                  <c:v>12</c:v>
                </c:pt>
                <c:pt idx="10">
                  <c:v>36</c:v>
                </c:pt>
                <c:pt idx="11">
                  <c:v>69.5</c:v>
                </c:pt>
                <c:pt idx="12">
                  <c:v>99</c:v>
                </c:pt>
                <c:pt idx="13">
                  <c:v>143.5</c:v>
                </c:pt>
                <c:pt idx="14">
                  <c:v>188</c:v>
                </c:pt>
                <c:pt idx="15">
                  <c:v>275</c:v>
                </c:pt>
                <c:pt idx="16">
                  <c:v>350</c:v>
                </c:pt>
                <c:pt idx="17">
                  <c:v>450</c:v>
                </c:pt>
                <c:pt idx="18">
                  <c:v>550</c:v>
                </c:pt>
                <c:pt idx="19">
                  <c:v>650</c:v>
                </c:pt>
                <c:pt idx="2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E3-0240-A3BF-BDDDC4ACE570}"/>
            </c:ext>
          </c:extLst>
        </c:ser>
        <c:ser>
          <c:idx val="6"/>
          <c:order val="7"/>
          <c:tx>
            <c:v>R8H1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EA817"/>
              </a:solidFill>
            </c:spPr>
          </c:marker>
          <c:xVal>
            <c:numRef>
              <c:f>'Chem Results'!$P$99:$P$109</c:f>
              <c:numCache>
                <c:formatCode>General</c:formatCode>
                <c:ptCount val="11"/>
                <c:pt idx="0">
                  <c:v>13.64</c:v>
                </c:pt>
                <c:pt idx="1">
                  <c:v>23.56</c:v>
                </c:pt>
                <c:pt idx="2">
                  <c:v>24.75</c:v>
                </c:pt>
                <c:pt idx="3">
                  <c:v>23.33</c:v>
                </c:pt>
                <c:pt idx="4">
                  <c:v>22.46</c:v>
                </c:pt>
                <c:pt idx="5">
                  <c:v>21.36</c:v>
                </c:pt>
                <c:pt idx="6">
                  <c:v>18.420000000000002</c:v>
                </c:pt>
                <c:pt idx="7">
                  <c:v>17.47</c:v>
                </c:pt>
                <c:pt idx="8">
                  <c:v>18.100000000000001</c:v>
                </c:pt>
                <c:pt idx="9">
                  <c:v>18.22</c:v>
                </c:pt>
                <c:pt idx="10">
                  <c:v>17.14</c:v>
                </c:pt>
              </c:numCache>
            </c:numRef>
          </c:xVal>
          <c:yVal>
            <c:numRef>
              <c:f>'Chem Results'!$F$99:$F$109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E3-0240-A3BF-BDDDC4ACE570}"/>
            </c:ext>
          </c:extLst>
        </c:ser>
        <c:ser>
          <c:idx val="7"/>
          <c:order val="8"/>
          <c:tx>
            <c:v>R8P1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FEA817"/>
              </a:solidFill>
              <a:ln>
                <a:noFill/>
              </a:ln>
            </c:spPr>
          </c:marker>
          <c:xVal>
            <c:numRef>
              <c:f>'Chem Results'!$P$112:$P$123</c:f>
              <c:numCache>
                <c:formatCode>General</c:formatCode>
                <c:ptCount val="12"/>
                <c:pt idx="0">
                  <c:v>9.09</c:v>
                </c:pt>
                <c:pt idx="1">
                  <c:v>8.94</c:v>
                </c:pt>
                <c:pt idx="2">
                  <c:v>15.14</c:v>
                </c:pt>
                <c:pt idx="3">
                  <c:v>22.83</c:v>
                </c:pt>
                <c:pt idx="4">
                  <c:v>22.35</c:v>
                </c:pt>
                <c:pt idx="5">
                  <c:v>18.68</c:v>
                </c:pt>
                <c:pt idx="6">
                  <c:v>19.309999999999999</c:v>
                </c:pt>
                <c:pt idx="7">
                  <c:v>16.28</c:v>
                </c:pt>
                <c:pt idx="8">
                  <c:v>16.579999999999998</c:v>
                </c:pt>
                <c:pt idx="9">
                  <c:v>17.3</c:v>
                </c:pt>
                <c:pt idx="10">
                  <c:v>15.62</c:v>
                </c:pt>
                <c:pt idx="11">
                  <c:v>15.25</c:v>
                </c:pt>
              </c:numCache>
            </c:numRef>
          </c:xVal>
          <c:yVal>
            <c:numRef>
              <c:f>'Chem Results'!$F$112:$F$123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E3-0240-A3BF-BDDDC4ACE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87752"/>
        <c:axId val="-2137986968"/>
      </c:scatterChart>
      <c:valAx>
        <c:axId val="2121687752"/>
        <c:scaling>
          <c:orientation val="minMax"/>
          <c:max val="3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Al</a:t>
                </a:r>
                <a:r>
                  <a:rPr lang="en-US" sz="1600" b="1" i="0" u="none" strike="noStrike" baseline="-25000">
                    <a:effectLst/>
                  </a:rPr>
                  <a:t>2</a:t>
                </a:r>
                <a:r>
                  <a:rPr lang="en-US" sz="1600"/>
                  <a:t>O</a:t>
                </a:r>
                <a:r>
                  <a:rPr lang="en-US" sz="1600" baseline="-25000"/>
                  <a:t>3</a:t>
                </a:r>
                <a:r>
                  <a:rPr lang="en-US" sz="1600"/>
                  <a:t> wt%</a:t>
                </a:r>
              </a:p>
            </c:rich>
          </c:tx>
          <c:layout>
            <c:manualLayout>
              <c:xMode val="edge"/>
              <c:yMode val="edge"/>
              <c:x val="0.53249011715774741"/>
              <c:y val="4.354246310812099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986968"/>
        <c:crosses val="autoZero"/>
        <c:crossBetween val="midCat"/>
      </c:valAx>
      <c:valAx>
        <c:axId val="-2137986968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6.3361181844180867E-2"/>
              <c:y val="0.416712385596336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2121687752"/>
        <c:crosses val="autoZero"/>
        <c:crossBetween val="midCat"/>
        <c:majorUnit val="100"/>
        <c:minorUnit val="50"/>
      </c:valAx>
      <c:spPr>
        <a:ln w="158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9348382387385962"/>
          <c:y val="0.92405033804031345"/>
          <c:w val="0.69150737201097001"/>
          <c:h val="4.98457660559942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3746840997507"/>
          <c:y val="0.13165337780173497"/>
          <c:w val="0.80003466077083452"/>
          <c:h val="0.75300953705805951"/>
        </c:manualLayout>
      </c:layout>
      <c:scatterChart>
        <c:scatterStyle val="lineMarker"/>
        <c:varyColors val="0"/>
        <c:ser>
          <c:idx val="1"/>
          <c:order val="0"/>
          <c:tx>
            <c:v>R1C2</c:v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'Chem Results'!$Q$7:$Q$15</c:f>
              <c:numCache>
                <c:formatCode>General</c:formatCode>
                <c:ptCount val="9"/>
                <c:pt idx="0">
                  <c:v>4.25</c:v>
                </c:pt>
                <c:pt idx="1">
                  <c:v>9.65</c:v>
                </c:pt>
                <c:pt idx="2">
                  <c:v>11.92</c:v>
                </c:pt>
                <c:pt idx="3">
                  <c:v>12.09</c:v>
                </c:pt>
                <c:pt idx="4">
                  <c:v>7.78</c:v>
                </c:pt>
                <c:pt idx="5">
                  <c:v>6.65</c:v>
                </c:pt>
                <c:pt idx="6">
                  <c:v>7.72</c:v>
                </c:pt>
                <c:pt idx="7">
                  <c:v>8.69</c:v>
                </c:pt>
                <c:pt idx="8">
                  <c:v>4.63</c:v>
                </c:pt>
              </c:numCache>
            </c:numRef>
          </c:xVal>
          <c:yVal>
            <c:numRef>
              <c:f>'Chem Results'!$F$7:$F$15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61-754A-B7A6-CEBD3FE2B68F}"/>
            </c:ext>
          </c:extLst>
        </c:ser>
        <c:ser>
          <c:idx val="0"/>
          <c:order val="1"/>
          <c:tx>
            <c:v>R1C3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C00000"/>
              </a:solidFill>
            </c:spPr>
          </c:marker>
          <c:xVal>
            <c:numRef>
              <c:f>'Chem Results'!$Q$16:$Q$26</c:f>
              <c:numCache>
                <c:formatCode>General</c:formatCode>
                <c:ptCount val="11"/>
                <c:pt idx="0">
                  <c:v>2.64</c:v>
                </c:pt>
                <c:pt idx="1">
                  <c:v>2.64</c:v>
                </c:pt>
                <c:pt idx="2">
                  <c:v>5.59</c:v>
                </c:pt>
                <c:pt idx="3">
                  <c:v>9.64</c:v>
                </c:pt>
                <c:pt idx="4">
                  <c:v>10.25</c:v>
                </c:pt>
                <c:pt idx="5">
                  <c:v>11.14</c:v>
                </c:pt>
                <c:pt idx="6">
                  <c:v>10.65</c:v>
                </c:pt>
                <c:pt idx="7">
                  <c:v>10.31</c:v>
                </c:pt>
                <c:pt idx="8">
                  <c:v>8.9499999999999993</c:v>
                </c:pt>
                <c:pt idx="9">
                  <c:v>8.84</c:v>
                </c:pt>
                <c:pt idx="10">
                  <c:v>6.11</c:v>
                </c:pt>
              </c:numCache>
            </c:numRef>
          </c:xVal>
          <c:yVal>
            <c:numRef>
              <c:f>'Chem Results'!$F$16:$F$26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20-4A45-A54B-DCB84924A1A0}"/>
            </c:ext>
          </c:extLst>
        </c:ser>
        <c:ser>
          <c:idx val="2"/>
          <c:order val="2"/>
          <c:tx>
            <c:v>R2H1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3366FF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'Chem Results'!$Q$27:$Q$40</c:f>
              <c:numCache>
                <c:formatCode>General</c:formatCode>
                <c:ptCount val="14"/>
                <c:pt idx="0">
                  <c:v>2.61</c:v>
                </c:pt>
                <c:pt idx="1">
                  <c:v>2.4500000000000002</c:v>
                </c:pt>
                <c:pt idx="2">
                  <c:v>2.84</c:v>
                </c:pt>
                <c:pt idx="3">
                  <c:v>3.17</c:v>
                </c:pt>
                <c:pt idx="4">
                  <c:v>3.96</c:v>
                </c:pt>
                <c:pt idx="5">
                  <c:v>3.35</c:v>
                </c:pt>
                <c:pt idx="6">
                  <c:v>2.86</c:v>
                </c:pt>
                <c:pt idx="7">
                  <c:v>2.5499999999999998</c:v>
                </c:pt>
                <c:pt idx="8">
                  <c:v>3.46</c:v>
                </c:pt>
                <c:pt idx="9">
                  <c:v>4.8</c:v>
                </c:pt>
                <c:pt idx="10">
                  <c:v>5.58</c:v>
                </c:pt>
                <c:pt idx="11">
                  <c:v>4.54</c:v>
                </c:pt>
                <c:pt idx="12">
                  <c:v>3.29</c:v>
                </c:pt>
                <c:pt idx="13">
                  <c:v>4</c:v>
                </c:pt>
              </c:numCache>
            </c:numRef>
          </c:xVal>
          <c:yVal>
            <c:numRef>
              <c:f>'Chem Results'!$F$27:$F$40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61-754A-B7A6-CEBD3FE2B68F}"/>
            </c:ext>
          </c:extLst>
        </c:ser>
        <c:ser>
          <c:idx val="3"/>
          <c:order val="3"/>
          <c:tx>
            <c:v>R2P1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3366FF"/>
              </a:solidFill>
              <a:ln>
                <a:noFill/>
              </a:ln>
            </c:spPr>
          </c:marker>
          <c:xVal>
            <c:numRef>
              <c:f>'Chem Results'!$Q$41:$Q$53</c:f>
              <c:numCache>
                <c:formatCode>General</c:formatCode>
                <c:ptCount val="13"/>
                <c:pt idx="0">
                  <c:v>3.93</c:v>
                </c:pt>
                <c:pt idx="1">
                  <c:v>8.4499999999999993</c:v>
                </c:pt>
                <c:pt idx="2">
                  <c:v>6.16</c:v>
                </c:pt>
                <c:pt idx="3">
                  <c:v>8.1999999999999993</c:v>
                </c:pt>
                <c:pt idx="4">
                  <c:v>5.99</c:v>
                </c:pt>
                <c:pt idx="5">
                  <c:v>2.69</c:v>
                </c:pt>
                <c:pt idx="6">
                  <c:v>2.98</c:v>
                </c:pt>
                <c:pt idx="7">
                  <c:v>6.74</c:v>
                </c:pt>
                <c:pt idx="8">
                  <c:v>4.0599999999999996</c:v>
                </c:pt>
                <c:pt idx="9">
                  <c:v>10.32</c:v>
                </c:pt>
                <c:pt idx="10">
                  <c:v>5.86</c:v>
                </c:pt>
                <c:pt idx="11">
                  <c:v>3.49</c:v>
                </c:pt>
                <c:pt idx="12">
                  <c:v>2.74</c:v>
                </c:pt>
              </c:numCache>
            </c:numRef>
          </c:xVal>
          <c:yVal>
            <c:numRef>
              <c:f>'Chem Results'!$F$41:$F$53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61-754A-B7A6-CEBD3FE2B68F}"/>
            </c:ext>
          </c:extLst>
        </c:ser>
        <c:ser>
          <c:idx val="4"/>
          <c:order val="4"/>
          <c:tx>
            <c:v>R7H1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48FF38"/>
              </a:solidFill>
            </c:spPr>
          </c:marker>
          <c:xVal>
            <c:numRef>
              <c:f>'Chem Results'!$Q$54:$Q$65</c:f>
              <c:numCache>
                <c:formatCode>General</c:formatCode>
                <c:ptCount val="12"/>
                <c:pt idx="0">
                  <c:v>4.51</c:v>
                </c:pt>
                <c:pt idx="1">
                  <c:v>7.11</c:v>
                </c:pt>
                <c:pt idx="2">
                  <c:v>11.31</c:v>
                </c:pt>
                <c:pt idx="3">
                  <c:v>10.56</c:v>
                </c:pt>
                <c:pt idx="4">
                  <c:v>10.49</c:v>
                </c:pt>
                <c:pt idx="5">
                  <c:v>9.8699999999999992</c:v>
                </c:pt>
                <c:pt idx="6">
                  <c:v>8.9700000000000006</c:v>
                </c:pt>
                <c:pt idx="7">
                  <c:v>8.8699999999999992</c:v>
                </c:pt>
                <c:pt idx="8">
                  <c:v>8.9</c:v>
                </c:pt>
                <c:pt idx="9">
                  <c:v>9.23</c:v>
                </c:pt>
                <c:pt idx="10">
                  <c:v>8.7200000000000006</c:v>
                </c:pt>
                <c:pt idx="11">
                  <c:v>10.86</c:v>
                </c:pt>
              </c:numCache>
            </c:numRef>
          </c:xVal>
          <c:yVal>
            <c:numRef>
              <c:f>'Chem Results'!$F$54:$F$65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61-754A-B7A6-CEBD3FE2B68F}"/>
            </c:ext>
          </c:extLst>
        </c:ser>
        <c:ser>
          <c:idx val="8"/>
          <c:order val="5"/>
          <c:tx>
            <c:v>R7H2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B050"/>
              </a:solidFill>
            </c:spPr>
          </c:marker>
          <c:xVal>
            <c:numRef>
              <c:f>'Chem Results'!$Q$66:$Q$77</c:f>
              <c:numCache>
                <c:formatCode>General</c:formatCode>
                <c:ptCount val="12"/>
                <c:pt idx="0">
                  <c:v>4.49</c:v>
                </c:pt>
                <c:pt idx="1">
                  <c:v>4.91</c:v>
                </c:pt>
                <c:pt idx="2">
                  <c:v>6.97</c:v>
                </c:pt>
                <c:pt idx="3">
                  <c:v>9.57</c:v>
                </c:pt>
                <c:pt idx="4">
                  <c:v>8.51</c:v>
                </c:pt>
                <c:pt idx="5">
                  <c:v>6.86</c:v>
                </c:pt>
                <c:pt idx="6">
                  <c:v>8.32</c:v>
                </c:pt>
                <c:pt idx="7">
                  <c:v>7.5</c:v>
                </c:pt>
                <c:pt idx="8">
                  <c:v>10.11</c:v>
                </c:pt>
                <c:pt idx="9">
                  <c:v>8.1</c:v>
                </c:pt>
                <c:pt idx="10">
                  <c:v>9.8000000000000007</c:v>
                </c:pt>
                <c:pt idx="11">
                  <c:v>14.8</c:v>
                </c:pt>
              </c:numCache>
            </c:numRef>
          </c:xVal>
          <c:yVal>
            <c:numRef>
              <c:f>'Chem Results'!$F$66:$F$77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20-4A45-A54B-DCB84924A1A0}"/>
            </c:ext>
          </c:extLst>
        </c:ser>
        <c:ser>
          <c:idx val="5"/>
          <c:order val="6"/>
          <c:tx>
            <c:v>R7P2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48FF38"/>
              </a:solidFill>
              <a:ln>
                <a:solidFill>
                  <a:srgbClr val="FEA817"/>
                </a:solidFill>
              </a:ln>
            </c:spPr>
          </c:marker>
          <c:xVal>
            <c:numRef>
              <c:f>'Chem Results'!$Q$85:$Q$98</c:f>
              <c:numCache>
                <c:formatCode>General</c:formatCode>
                <c:ptCount val="14"/>
                <c:pt idx="0">
                  <c:v>2.84</c:v>
                </c:pt>
                <c:pt idx="1">
                  <c:v>3.65</c:v>
                </c:pt>
                <c:pt idx="2">
                  <c:v>3.22</c:v>
                </c:pt>
                <c:pt idx="3">
                  <c:v>8.89</c:v>
                </c:pt>
                <c:pt idx="4">
                  <c:v>9.66</c:v>
                </c:pt>
                <c:pt idx="5">
                  <c:v>10.77</c:v>
                </c:pt>
                <c:pt idx="6">
                  <c:v>9.57</c:v>
                </c:pt>
                <c:pt idx="7">
                  <c:v>9.86</c:v>
                </c:pt>
                <c:pt idx="8">
                  <c:v>9.7799999999999994</c:v>
                </c:pt>
                <c:pt idx="9">
                  <c:v>10.01</c:v>
                </c:pt>
                <c:pt idx="10">
                  <c:v>8.94</c:v>
                </c:pt>
                <c:pt idx="11">
                  <c:v>9.19</c:v>
                </c:pt>
                <c:pt idx="12">
                  <c:v>9.94</c:v>
                </c:pt>
                <c:pt idx="13">
                  <c:v>8.9600000000000009</c:v>
                </c:pt>
              </c:numCache>
            </c:numRef>
          </c:xVal>
          <c:yVal>
            <c:numRef>
              <c:f>'Chem Results'!$F$85:$F$98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61-754A-B7A6-CEBD3FE2B68F}"/>
            </c:ext>
          </c:extLst>
        </c:ser>
        <c:ser>
          <c:idx val="6"/>
          <c:order val="7"/>
          <c:tx>
            <c:v>R8H1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EA817"/>
              </a:solidFill>
            </c:spPr>
          </c:marker>
          <c:xVal>
            <c:numRef>
              <c:f>'Chem Results'!$Q$99:$Q$111</c:f>
              <c:numCache>
                <c:formatCode>General</c:formatCode>
                <c:ptCount val="13"/>
                <c:pt idx="0">
                  <c:v>4.79</c:v>
                </c:pt>
                <c:pt idx="1">
                  <c:v>8.35</c:v>
                </c:pt>
                <c:pt idx="2">
                  <c:v>8.1199999999999992</c:v>
                </c:pt>
                <c:pt idx="3">
                  <c:v>7.93</c:v>
                </c:pt>
                <c:pt idx="4">
                  <c:v>5.09</c:v>
                </c:pt>
                <c:pt idx="5">
                  <c:v>6.9</c:v>
                </c:pt>
                <c:pt idx="6">
                  <c:v>6.11</c:v>
                </c:pt>
                <c:pt idx="7">
                  <c:v>5.48</c:v>
                </c:pt>
                <c:pt idx="8">
                  <c:v>5.56</c:v>
                </c:pt>
                <c:pt idx="9">
                  <c:v>5.81</c:v>
                </c:pt>
                <c:pt idx="10">
                  <c:v>5.94</c:v>
                </c:pt>
                <c:pt idx="11">
                  <c:v>8.69</c:v>
                </c:pt>
                <c:pt idx="12">
                  <c:v>8.56</c:v>
                </c:pt>
              </c:numCache>
            </c:numRef>
          </c:xVal>
          <c:yVal>
            <c:numRef>
              <c:f>'Chem Results'!$F$99:$F$111</c:f>
              <c:numCache>
                <c:formatCode>General</c:formatCode>
                <c:ptCount val="13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61-754A-B7A6-CEBD3FE2B68F}"/>
            </c:ext>
          </c:extLst>
        </c:ser>
        <c:ser>
          <c:idx val="7"/>
          <c:order val="8"/>
          <c:tx>
            <c:v>R8P1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FEA817"/>
              </a:solidFill>
              <a:ln>
                <a:noFill/>
              </a:ln>
            </c:spPr>
          </c:marker>
          <c:xVal>
            <c:numRef>
              <c:f>'Chem Results'!$Q$112:$Q$121</c:f>
              <c:numCache>
                <c:formatCode>General</c:formatCode>
                <c:ptCount val="10"/>
                <c:pt idx="0">
                  <c:v>3.35</c:v>
                </c:pt>
                <c:pt idx="1">
                  <c:v>4.12</c:v>
                </c:pt>
                <c:pt idx="2">
                  <c:v>5.51</c:v>
                </c:pt>
                <c:pt idx="3">
                  <c:v>6.98</c:v>
                </c:pt>
                <c:pt idx="4">
                  <c:v>5.83</c:v>
                </c:pt>
                <c:pt idx="5">
                  <c:v>6.73</c:v>
                </c:pt>
                <c:pt idx="6">
                  <c:v>7.88</c:v>
                </c:pt>
                <c:pt idx="7">
                  <c:v>6.53</c:v>
                </c:pt>
                <c:pt idx="8">
                  <c:v>6.02</c:v>
                </c:pt>
                <c:pt idx="9">
                  <c:v>7.27</c:v>
                </c:pt>
              </c:numCache>
            </c:numRef>
          </c:xVal>
          <c:yVal>
            <c:numRef>
              <c:f>'Chem Results'!$E$112:$E$121</c:f>
              <c:numCache>
                <c:formatCode>General</c:formatCode>
                <c:ptCount val="10"/>
                <c:pt idx="0">
                  <c:v>20</c:v>
                </c:pt>
                <c:pt idx="1">
                  <c:v>35</c:v>
                </c:pt>
                <c:pt idx="2">
                  <c:v>68</c:v>
                </c:pt>
                <c:pt idx="3">
                  <c:v>116</c:v>
                </c:pt>
                <c:pt idx="4">
                  <c:v>164</c:v>
                </c:pt>
                <c:pt idx="5">
                  <c:v>215</c:v>
                </c:pt>
                <c:pt idx="6">
                  <c:v>275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61-754A-B7A6-CEBD3FE2B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87752"/>
        <c:axId val="-2137986968"/>
      </c:scatterChart>
      <c:valAx>
        <c:axId val="2121687752"/>
        <c:scaling>
          <c:orientation val="minMax"/>
          <c:max val="15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Fe</a:t>
                </a:r>
                <a:r>
                  <a:rPr lang="en-US" sz="1600" baseline="-25000"/>
                  <a:t>2</a:t>
                </a:r>
                <a:r>
                  <a:rPr lang="en-US" sz="1600"/>
                  <a:t>O</a:t>
                </a:r>
                <a:r>
                  <a:rPr lang="en-US" sz="1600" baseline="-25000"/>
                  <a:t>3</a:t>
                </a:r>
                <a:r>
                  <a:rPr lang="en-US" sz="1600"/>
                  <a:t> wt%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7986968"/>
        <c:crosses val="autoZero"/>
        <c:crossBetween val="midCat"/>
      </c:valAx>
      <c:valAx>
        <c:axId val="-2137986968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8412227433008145E-2"/>
              <c:y val="0.426334794276152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21687752"/>
        <c:crosses val="autoZero"/>
        <c:crossBetween val="midCat"/>
        <c:majorUnit val="100"/>
        <c:minorUnit val="50"/>
      </c:valAx>
      <c:spPr>
        <a:ln w="158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9021644309302449"/>
          <c:y val="0.91954603514397226"/>
          <c:w val="0.72212751779282081"/>
          <c:h val="4.994114526727805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8045050832878"/>
          <c:y val="0.14037132625566345"/>
          <c:w val="0.80003466077083452"/>
          <c:h val="0.75300953705805951"/>
        </c:manualLayout>
      </c:layout>
      <c:scatterChart>
        <c:scatterStyle val="lineMarker"/>
        <c:varyColors val="0"/>
        <c:ser>
          <c:idx val="1"/>
          <c:order val="0"/>
          <c:tx>
            <c:v>R1C2</c:v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'Chem Results'!$V$7:$V$15</c:f>
              <c:numCache>
                <c:formatCode>General</c:formatCode>
                <c:ptCount val="9"/>
                <c:pt idx="0">
                  <c:v>0.28000000000000003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0.11</c:v>
                </c:pt>
                <c:pt idx="4">
                  <c:v>1.45</c:v>
                </c:pt>
                <c:pt idx="5">
                  <c:v>1.57</c:v>
                </c:pt>
                <c:pt idx="6">
                  <c:v>1.32</c:v>
                </c:pt>
                <c:pt idx="7">
                  <c:v>1.35</c:v>
                </c:pt>
                <c:pt idx="8">
                  <c:v>1.26</c:v>
                </c:pt>
              </c:numCache>
            </c:numRef>
          </c:xVal>
          <c:yVal>
            <c:numRef>
              <c:f>'Chem Results'!$F$7:$F$15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2E-1040-9813-8700ADD0201A}"/>
            </c:ext>
          </c:extLst>
        </c:ser>
        <c:ser>
          <c:idx val="0"/>
          <c:order val="1"/>
          <c:tx>
            <c:v>R1C3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C00000"/>
              </a:solidFill>
            </c:spPr>
          </c:marker>
          <c:xVal>
            <c:numRef>
              <c:f>'Chem Results'!$V$16:$V$26</c:f>
              <c:numCache>
                <c:formatCode>General</c:formatCode>
                <c:ptCount val="11"/>
                <c:pt idx="0">
                  <c:v>0.61</c:v>
                </c:pt>
                <c:pt idx="1">
                  <c:v>0.62</c:v>
                </c:pt>
                <c:pt idx="2">
                  <c:v>0.51</c:v>
                </c:pt>
                <c:pt idx="3">
                  <c:v>0.19</c:v>
                </c:pt>
                <c:pt idx="4">
                  <c:v>0.1</c:v>
                </c:pt>
                <c:pt idx="5">
                  <c:v>0.09</c:v>
                </c:pt>
                <c:pt idx="6">
                  <c:v>0.17</c:v>
                </c:pt>
                <c:pt idx="7">
                  <c:v>0.45</c:v>
                </c:pt>
                <c:pt idx="8">
                  <c:v>0.76</c:v>
                </c:pt>
                <c:pt idx="9">
                  <c:v>1.1299999999999999</c:v>
                </c:pt>
                <c:pt idx="10">
                  <c:v>1.17</c:v>
                </c:pt>
              </c:numCache>
            </c:numRef>
          </c:xVal>
          <c:yVal>
            <c:numRef>
              <c:f>'Chem Results'!$F$16:$F$26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15-5F46-BF9A-65D5130ACE3A}"/>
            </c:ext>
          </c:extLst>
        </c:ser>
        <c:ser>
          <c:idx val="2"/>
          <c:order val="2"/>
          <c:tx>
            <c:v>R2H1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3366FF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'Chem Results'!$V$27:$V$40</c:f>
              <c:numCache>
                <c:formatCode>General</c:formatCode>
                <c:ptCount val="14"/>
                <c:pt idx="0">
                  <c:v>4.91</c:v>
                </c:pt>
                <c:pt idx="1">
                  <c:v>5.0599999999999996</c:v>
                </c:pt>
                <c:pt idx="2">
                  <c:v>5.46</c:v>
                </c:pt>
                <c:pt idx="3">
                  <c:v>5.37</c:v>
                </c:pt>
                <c:pt idx="4">
                  <c:v>5.17</c:v>
                </c:pt>
                <c:pt idx="5">
                  <c:v>6.03</c:v>
                </c:pt>
                <c:pt idx="6">
                  <c:v>6.46</c:v>
                </c:pt>
                <c:pt idx="7">
                  <c:v>6.37</c:v>
                </c:pt>
                <c:pt idx="8">
                  <c:v>3.89</c:v>
                </c:pt>
                <c:pt idx="9">
                  <c:v>3.11</c:v>
                </c:pt>
                <c:pt idx="10">
                  <c:v>2.57</c:v>
                </c:pt>
                <c:pt idx="11">
                  <c:v>4.18</c:v>
                </c:pt>
                <c:pt idx="12">
                  <c:v>5.61</c:v>
                </c:pt>
                <c:pt idx="13">
                  <c:v>3.95</c:v>
                </c:pt>
              </c:numCache>
            </c:numRef>
          </c:xVal>
          <c:yVal>
            <c:numRef>
              <c:f>'Chem Results'!$F$27:$F$40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2E-1040-9813-8700ADD0201A}"/>
            </c:ext>
          </c:extLst>
        </c:ser>
        <c:ser>
          <c:idx val="3"/>
          <c:order val="3"/>
          <c:tx>
            <c:v>R2P1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3366FF"/>
              </a:solidFill>
              <a:ln>
                <a:noFill/>
              </a:ln>
            </c:spPr>
          </c:marker>
          <c:xVal>
            <c:numRef>
              <c:f>'Chem Results'!$V$41:$V$53</c:f>
              <c:numCache>
                <c:formatCode>General</c:formatCode>
                <c:ptCount val="13"/>
                <c:pt idx="0">
                  <c:v>2.93</c:v>
                </c:pt>
                <c:pt idx="1">
                  <c:v>1.1000000000000001</c:v>
                </c:pt>
                <c:pt idx="2">
                  <c:v>3.24</c:v>
                </c:pt>
                <c:pt idx="3">
                  <c:v>1.36</c:v>
                </c:pt>
                <c:pt idx="4">
                  <c:v>2.83</c:v>
                </c:pt>
                <c:pt idx="5">
                  <c:v>6.6</c:v>
                </c:pt>
                <c:pt idx="6">
                  <c:v>6.65</c:v>
                </c:pt>
                <c:pt idx="7">
                  <c:v>2.11</c:v>
                </c:pt>
                <c:pt idx="8">
                  <c:v>2.68</c:v>
                </c:pt>
                <c:pt idx="9">
                  <c:v>1.97</c:v>
                </c:pt>
                <c:pt idx="10">
                  <c:v>2.41</c:v>
                </c:pt>
                <c:pt idx="11">
                  <c:v>3.23</c:v>
                </c:pt>
                <c:pt idx="12">
                  <c:v>5.74</c:v>
                </c:pt>
              </c:numCache>
            </c:numRef>
          </c:xVal>
          <c:yVal>
            <c:numRef>
              <c:f>'Chem Results'!$F$41:$F$53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2E-1040-9813-8700ADD0201A}"/>
            </c:ext>
          </c:extLst>
        </c:ser>
        <c:ser>
          <c:idx val="4"/>
          <c:order val="4"/>
          <c:tx>
            <c:v>R7H1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48FF38"/>
              </a:solidFill>
            </c:spPr>
          </c:marker>
          <c:xVal>
            <c:numRef>
              <c:f>'Chem Results'!$V$54:$V$65</c:f>
              <c:numCache>
                <c:formatCode>General</c:formatCode>
                <c:ptCount val="12"/>
                <c:pt idx="0">
                  <c:v>0.9</c:v>
                </c:pt>
                <c:pt idx="1">
                  <c:v>0.72</c:v>
                </c:pt>
                <c:pt idx="2">
                  <c:v>0.43</c:v>
                </c:pt>
                <c:pt idx="3">
                  <c:v>0.32</c:v>
                </c:pt>
                <c:pt idx="4">
                  <c:v>0.4</c:v>
                </c:pt>
                <c:pt idx="5">
                  <c:v>0.46</c:v>
                </c:pt>
                <c:pt idx="6">
                  <c:v>0.63</c:v>
                </c:pt>
                <c:pt idx="7">
                  <c:v>0.83</c:v>
                </c:pt>
                <c:pt idx="8">
                  <c:v>0.76</c:v>
                </c:pt>
                <c:pt idx="9">
                  <c:v>0.81</c:v>
                </c:pt>
                <c:pt idx="10">
                  <c:v>0.68</c:v>
                </c:pt>
                <c:pt idx="11">
                  <c:v>0.67</c:v>
                </c:pt>
              </c:numCache>
            </c:numRef>
          </c:xVal>
          <c:yVal>
            <c:numRef>
              <c:f>'Chem Results'!$F$54:$F$65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2E-1040-9813-8700ADD0201A}"/>
            </c:ext>
          </c:extLst>
        </c:ser>
        <c:ser>
          <c:idx val="8"/>
          <c:order val="5"/>
          <c:tx>
            <c:v>R7H2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B050"/>
              </a:solidFill>
            </c:spPr>
          </c:marker>
          <c:xVal>
            <c:numRef>
              <c:f>'Chem Results'!$V$66:$V$77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0.71</c:v>
                </c:pt>
                <c:pt idx="3">
                  <c:v>0.64</c:v>
                </c:pt>
                <c:pt idx="4">
                  <c:v>0.56000000000000005</c:v>
                </c:pt>
                <c:pt idx="5">
                  <c:v>0.37</c:v>
                </c:pt>
                <c:pt idx="6">
                  <c:v>0.46</c:v>
                </c:pt>
                <c:pt idx="7">
                  <c:v>0.53</c:v>
                </c:pt>
                <c:pt idx="8">
                  <c:v>0.91</c:v>
                </c:pt>
                <c:pt idx="9">
                  <c:v>2.2599999999999998</c:v>
                </c:pt>
                <c:pt idx="10">
                  <c:v>0.96</c:v>
                </c:pt>
                <c:pt idx="11">
                  <c:v>1.42</c:v>
                </c:pt>
              </c:numCache>
            </c:numRef>
          </c:xVal>
          <c:yVal>
            <c:numRef>
              <c:f>'Chem Results'!$F$66:$F$77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15-5F46-BF9A-65D5130ACE3A}"/>
            </c:ext>
          </c:extLst>
        </c:ser>
        <c:ser>
          <c:idx val="5"/>
          <c:order val="6"/>
          <c:tx>
            <c:v>R7P2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48FF38"/>
              </a:solidFill>
            </c:spPr>
          </c:marker>
          <c:xVal>
            <c:numRef>
              <c:f>'Chem Results'!$V$78:$V$98</c:f>
              <c:numCache>
                <c:formatCode>General</c:formatCode>
                <c:ptCount val="21"/>
                <c:pt idx="0">
                  <c:v>1.31</c:v>
                </c:pt>
                <c:pt idx="1">
                  <c:v>1.38</c:v>
                </c:pt>
                <c:pt idx="2">
                  <c:v>1.32</c:v>
                </c:pt>
                <c:pt idx="3">
                  <c:v>1.1499999999999999</c:v>
                </c:pt>
                <c:pt idx="4">
                  <c:v>0.87</c:v>
                </c:pt>
                <c:pt idx="5">
                  <c:v>0.49</c:v>
                </c:pt>
                <c:pt idx="6">
                  <c:v>0.59</c:v>
                </c:pt>
                <c:pt idx="7">
                  <c:v>1.1599999999999999</c:v>
                </c:pt>
                <c:pt idx="8">
                  <c:v>1.56</c:v>
                </c:pt>
                <c:pt idx="9">
                  <c:v>1.41</c:v>
                </c:pt>
                <c:pt idx="10">
                  <c:v>0.62</c:v>
                </c:pt>
                <c:pt idx="11">
                  <c:v>0.26</c:v>
                </c:pt>
                <c:pt idx="12">
                  <c:v>0.25</c:v>
                </c:pt>
                <c:pt idx="13">
                  <c:v>0.2</c:v>
                </c:pt>
                <c:pt idx="14">
                  <c:v>0.31</c:v>
                </c:pt>
                <c:pt idx="15">
                  <c:v>0.64</c:v>
                </c:pt>
                <c:pt idx="16">
                  <c:v>0.67</c:v>
                </c:pt>
                <c:pt idx="17">
                  <c:v>0.76</c:v>
                </c:pt>
                <c:pt idx="18">
                  <c:v>0.97</c:v>
                </c:pt>
                <c:pt idx="19">
                  <c:v>0.84</c:v>
                </c:pt>
                <c:pt idx="20">
                  <c:v>1.01</c:v>
                </c:pt>
              </c:numCache>
            </c:numRef>
          </c:xVal>
          <c:yVal>
            <c:numRef>
              <c:f>'Chem Results'!$F$78:$F$98</c:f>
              <c:numCache>
                <c:formatCode>General</c:formatCode>
                <c:ptCount val="21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  <c:pt idx="7">
                  <c:v>1</c:v>
                </c:pt>
                <c:pt idx="8">
                  <c:v>5.5</c:v>
                </c:pt>
                <c:pt idx="9">
                  <c:v>12</c:v>
                </c:pt>
                <c:pt idx="10">
                  <c:v>36</c:v>
                </c:pt>
                <c:pt idx="11">
                  <c:v>69.5</c:v>
                </c:pt>
                <c:pt idx="12">
                  <c:v>99</c:v>
                </c:pt>
                <c:pt idx="13">
                  <c:v>143.5</c:v>
                </c:pt>
                <c:pt idx="14">
                  <c:v>188</c:v>
                </c:pt>
                <c:pt idx="15">
                  <c:v>275</c:v>
                </c:pt>
                <c:pt idx="16">
                  <c:v>350</c:v>
                </c:pt>
                <c:pt idx="17">
                  <c:v>450</c:v>
                </c:pt>
                <c:pt idx="18">
                  <c:v>550</c:v>
                </c:pt>
                <c:pt idx="19">
                  <c:v>650</c:v>
                </c:pt>
                <c:pt idx="2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2E-1040-9813-8700ADD0201A}"/>
            </c:ext>
          </c:extLst>
        </c:ser>
        <c:ser>
          <c:idx val="6"/>
          <c:order val="7"/>
          <c:tx>
            <c:v>R8H1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EA817"/>
              </a:solidFill>
            </c:spPr>
          </c:marker>
          <c:xVal>
            <c:numRef>
              <c:f>'Chem Results'!$V$99:$V$109</c:f>
              <c:numCache>
                <c:formatCode>General</c:formatCode>
                <c:ptCount val="11"/>
                <c:pt idx="0">
                  <c:v>2.0299999999999998</c:v>
                </c:pt>
                <c:pt idx="1">
                  <c:v>1.42</c:v>
                </c:pt>
                <c:pt idx="2">
                  <c:v>1.4</c:v>
                </c:pt>
                <c:pt idx="3">
                  <c:v>1.61</c:v>
                </c:pt>
                <c:pt idx="4">
                  <c:v>1.83</c:v>
                </c:pt>
                <c:pt idx="5">
                  <c:v>2.94</c:v>
                </c:pt>
                <c:pt idx="6">
                  <c:v>3.98</c:v>
                </c:pt>
                <c:pt idx="7">
                  <c:v>3.94</c:v>
                </c:pt>
                <c:pt idx="8">
                  <c:v>3.07</c:v>
                </c:pt>
                <c:pt idx="9">
                  <c:v>2.33</c:v>
                </c:pt>
                <c:pt idx="10">
                  <c:v>2.09</c:v>
                </c:pt>
              </c:numCache>
            </c:numRef>
          </c:xVal>
          <c:yVal>
            <c:numRef>
              <c:f>'Chem Results'!$F$99:$F$109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2E-1040-9813-8700ADD0201A}"/>
            </c:ext>
          </c:extLst>
        </c:ser>
        <c:ser>
          <c:idx val="7"/>
          <c:order val="8"/>
          <c:tx>
            <c:v>R8P1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FEA817"/>
              </a:solidFill>
              <a:ln>
                <a:noFill/>
              </a:ln>
            </c:spPr>
          </c:marker>
          <c:xVal>
            <c:numRef>
              <c:f>'Chem Results'!$V$112:$V$123</c:f>
              <c:numCache>
                <c:formatCode>General</c:formatCode>
                <c:ptCount val="12"/>
                <c:pt idx="0">
                  <c:v>1.44</c:v>
                </c:pt>
                <c:pt idx="1">
                  <c:v>1.54</c:v>
                </c:pt>
                <c:pt idx="2">
                  <c:v>1.68</c:v>
                </c:pt>
                <c:pt idx="3">
                  <c:v>1.7</c:v>
                </c:pt>
                <c:pt idx="4">
                  <c:v>1.34</c:v>
                </c:pt>
                <c:pt idx="5">
                  <c:v>1.54</c:v>
                </c:pt>
                <c:pt idx="6">
                  <c:v>1.71</c:v>
                </c:pt>
                <c:pt idx="7">
                  <c:v>1.44</c:v>
                </c:pt>
                <c:pt idx="8">
                  <c:v>1.86</c:v>
                </c:pt>
                <c:pt idx="9">
                  <c:v>1.86</c:v>
                </c:pt>
                <c:pt idx="10">
                  <c:v>1.83</c:v>
                </c:pt>
                <c:pt idx="11">
                  <c:v>1.61</c:v>
                </c:pt>
              </c:numCache>
            </c:numRef>
          </c:xVal>
          <c:yVal>
            <c:numRef>
              <c:f>'Chem Results'!$F$112:$F$123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2E-1040-9813-8700ADD02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87752"/>
        <c:axId val="-2137986968"/>
      </c:scatterChart>
      <c:valAx>
        <c:axId val="2121687752"/>
        <c:scaling>
          <c:orientation val="minMax"/>
          <c:max val="7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</a:t>
                </a:r>
                <a:r>
                  <a:rPr lang="en-US" sz="1600" baseline="-25000"/>
                  <a:t>2</a:t>
                </a:r>
                <a:r>
                  <a:rPr lang="en-US" sz="1600"/>
                  <a:t>O wt%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986968"/>
        <c:crosses val="autoZero"/>
        <c:crossBetween val="midCat"/>
      </c:valAx>
      <c:valAx>
        <c:axId val="-2137986968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5447972957596568E-2"/>
              <c:y val="0.424155307162669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21687752"/>
        <c:crosses val="autoZero"/>
        <c:crossBetween val="midCat"/>
        <c:majorUnit val="100"/>
        <c:minorUnit val="50"/>
      </c:valAx>
      <c:spPr>
        <a:ln w="158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0498438223011134"/>
          <c:y val="0.93698193205182922"/>
          <c:w val="0.63597706320572456"/>
          <c:h val="4.994114526727805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28385012309244"/>
          <c:y val="0.13819183914218133"/>
          <c:w val="0.80003466077083452"/>
          <c:h val="0.75300953705805951"/>
        </c:manualLayout>
      </c:layout>
      <c:scatterChart>
        <c:scatterStyle val="lineMarker"/>
        <c:varyColors val="0"/>
        <c:ser>
          <c:idx val="1"/>
          <c:order val="0"/>
          <c:tx>
            <c:v>R1C2</c:v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'Chem Results'!$Y$7:$Y$15</c:f>
              <c:numCache>
                <c:formatCode>General</c:formatCode>
                <c:ptCount val="9"/>
                <c:pt idx="0">
                  <c:v>7.26</c:v>
                </c:pt>
                <c:pt idx="1">
                  <c:v>11.96</c:v>
                </c:pt>
                <c:pt idx="2">
                  <c:v>12.44</c:v>
                </c:pt>
                <c:pt idx="3">
                  <c:v>12.79</c:v>
                </c:pt>
                <c:pt idx="4">
                  <c:v>8.86</c:v>
                </c:pt>
                <c:pt idx="5">
                  <c:v>8.94</c:v>
                </c:pt>
                <c:pt idx="6">
                  <c:v>9.01</c:v>
                </c:pt>
                <c:pt idx="7">
                  <c:v>9.25</c:v>
                </c:pt>
                <c:pt idx="8">
                  <c:v>7.7</c:v>
                </c:pt>
              </c:numCache>
            </c:numRef>
          </c:xVal>
          <c:yVal>
            <c:numRef>
              <c:f>'Chem Results'!$F$7:$F$15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0-BE4C-AE70-28C9A2A440FC}"/>
            </c:ext>
          </c:extLst>
        </c:ser>
        <c:ser>
          <c:idx val="0"/>
          <c:order val="1"/>
          <c:tx>
            <c:v>R1C3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C00000"/>
              </a:solidFill>
            </c:spPr>
          </c:marker>
          <c:xVal>
            <c:numRef>
              <c:f>'Chem Results'!$Y$16:$Y$26</c:f>
              <c:numCache>
                <c:formatCode>General</c:formatCode>
                <c:ptCount val="11"/>
                <c:pt idx="0">
                  <c:v>6.34</c:v>
                </c:pt>
                <c:pt idx="1">
                  <c:v>5.75</c:v>
                </c:pt>
                <c:pt idx="2">
                  <c:v>8.7100000000000009</c:v>
                </c:pt>
                <c:pt idx="3">
                  <c:v>12.17</c:v>
                </c:pt>
                <c:pt idx="4">
                  <c:v>12</c:v>
                </c:pt>
                <c:pt idx="5">
                  <c:v>12.31</c:v>
                </c:pt>
                <c:pt idx="6">
                  <c:v>11.94</c:v>
                </c:pt>
                <c:pt idx="7">
                  <c:v>10.81</c:v>
                </c:pt>
                <c:pt idx="8">
                  <c:v>10.45</c:v>
                </c:pt>
                <c:pt idx="9">
                  <c:v>7.78</c:v>
                </c:pt>
                <c:pt idx="10">
                  <c:v>3.81</c:v>
                </c:pt>
              </c:numCache>
            </c:numRef>
          </c:xVal>
          <c:yVal>
            <c:numRef>
              <c:f>'Chem Results'!$F$16:$F$26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E1-6040-A690-8442BF900B69}"/>
            </c:ext>
          </c:extLst>
        </c:ser>
        <c:ser>
          <c:idx val="2"/>
          <c:order val="2"/>
          <c:tx>
            <c:v>R2H1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3366FF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'Chem Results'!$Y$27:$Y$40</c:f>
              <c:numCache>
                <c:formatCode>General</c:formatCode>
                <c:ptCount val="14"/>
                <c:pt idx="0">
                  <c:v>5.89</c:v>
                </c:pt>
                <c:pt idx="1">
                  <c:v>3.85</c:v>
                </c:pt>
                <c:pt idx="2">
                  <c:v>3.54</c:v>
                </c:pt>
                <c:pt idx="3">
                  <c:v>4.6500000000000004</c:v>
                </c:pt>
                <c:pt idx="4">
                  <c:v>5.59</c:v>
                </c:pt>
                <c:pt idx="5">
                  <c:v>4.51</c:v>
                </c:pt>
                <c:pt idx="6">
                  <c:v>3.35</c:v>
                </c:pt>
                <c:pt idx="7">
                  <c:v>3.16</c:v>
                </c:pt>
                <c:pt idx="8">
                  <c:v>4.99</c:v>
                </c:pt>
                <c:pt idx="9">
                  <c:v>6.04</c:v>
                </c:pt>
                <c:pt idx="10">
                  <c:v>6.81</c:v>
                </c:pt>
                <c:pt idx="11">
                  <c:v>5.3</c:v>
                </c:pt>
                <c:pt idx="12">
                  <c:v>3.87</c:v>
                </c:pt>
                <c:pt idx="13">
                  <c:v>5.05</c:v>
                </c:pt>
              </c:numCache>
            </c:numRef>
          </c:xVal>
          <c:yVal>
            <c:numRef>
              <c:f>'Chem Results'!$F$27:$F$40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0-BE4C-AE70-28C9A2A440FC}"/>
            </c:ext>
          </c:extLst>
        </c:ser>
        <c:ser>
          <c:idx val="3"/>
          <c:order val="3"/>
          <c:tx>
            <c:v>R2P1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3366FF"/>
              </a:solidFill>
            </c:spPr>
          </c:marker>
          <c:xVal>
            <c:numRef>
              <c:f>'Chem Results'!$Y$41:$Y$53</c:f>
              <c:numCache>
                <c:formatCode>General</c:formatCode>
                <c:ptCount val="13"/>
                <c:pt idx="0">
                  <c:v>6.62</c:v>
                </c:pt>
                <c:pt idx="1">
                  <c:v>11.03</c:v>
                </c:pt>
                <c:pt idx="2">
                  <c:v>7.79</c:v>
                </c:pt>
                <c:pt idx="3">
                  <c:v>9.57</c:v>
                </c:pt>
                <c:pt idx="4">
                  <c:v>6.7</c:v>
                </c:pt>
                <c:pt idx="5">
                  <c:v>2.96</c:v>
                </c:pt>
                <c:pt idx="6">
                  <c:v>2.92</c:v>
                </c:pt>
                <c:pt idx="7">
                  <c:v>7.07</c:v>
                </c:pt>
                <c:pt idx="8">
                  <c:v>5.93</c:v>
                </c:pt>
                <c:pt idx="9">
                  <c:v>9.76</c:v>
                </c:pt>
                <c:pt idx="10">
                  <c:v>7.09</c:v>
                </c:pt>
                <c:pt idx="11">
                  <c:v>5.47</c:v>
                </c:pt>
                <c:pt idx="12">
                  <c:v>3.36</c:v>
                </c:pt>
              </c:numCache>
            </c:numRef>
          </c:xVal>
          <c:yVal>
            <c:numRef>
              <c:f>'Chem Results'!$F$41:$F$53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B0-BE4C-AE70-28C9A2A440FC}"/>
            </c:ext>
          </c:extLst>
        </c:ser>
        <c:ser>
          <c:idx val="4"/>
          <c:order val="4"/>
          <c:tx>
            <c:v>R7H1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48FF38"/>
              </a:solidFill>
            </c:spPr>
          </c:marker>
          <c:xVal>
            <c:numRef>
              <c:f>'Chem Results'!$Y$54:$Y$65</c:f>
              <c:numCache>
                <c:formatCode>General</c:formatCode>
                <c:ptCount val="12"/>
                <c:pt idx="0">
                  <c:v>6.87</c:v>
                </c:pt>
                <c:pt idx="1">
                  <c:v>8.67</c:v>
                </c:pt>
                <c:pt idx="2">
                  <c:v>11.85</c:v>
                </c:pt>
                <c:pt idx="3">
                  <c:v>11.01</c:v>
                </c:pt>
                <c:pt idx="4">
                  <c:v>10.9</c:v>
                </c:pt>
                <c:pt idx="5">
                  <c:v>9.99</c:v>
                </c:pt>
                <c:pt idx="6">
                  <c:v>9.69</c:v>
                </c:pt>
                <c:pt idx="7">
                  <c:v>9.23</c:v>
                </c:pt>
                <c:pt idx="8">
                  <c:v>9.4700000000000006</c:v>
                </c:pt>
                <c:pt idx="9">
                  <c:v>9.83</c:v>
                </c:pt>
                <c:pt idx="10">
                  <c:v>9.5500000000000007</c:v>
                </c:pt>
                <c:pt idx="11">
                  <c:v>10.31</c:v>
                </c:pt>
              </c:numCache>
            </c:numRef>
          </c:xVal>
          <c:yVal>
            <c:numRef>
              <c:f>'Chem Results'!$F$54:$F$65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B0-BE4C-AE70-28C9A2A440FC}"/>
            </c:ext>
          </c:extLst>
        </c:ser>
        <c:ser>
          <c:idx val="8"/>
          <c:order val="5"/>
          <c:tx>
            <c:v>R7H2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B050"/>
              </a:solidFill>
            </c:spPr>
          </c:marker>
          <c:xVal>
            <c:numRef>
              <c:f>'Chem Results'!$Y$66:$Y$77</c:f>
              <c:numCache>
                <c:formatCode>General</c:formatCode>
                <c:ptCount val="12"/>
                <c:pt idx="0">
                  <c:v>9.67</c:v>
                </c:pt>
                <c:pt idx="1">
                  <c:v>7.75</c:v>
                </c:pt>
                <c:pt idx="2">
                  <c:v>9.23</c:v>
                </c:pt>
                <c:pt idx="3">
                  <c:v>11.76</c:v>
                </c:pt>
                <c:pt idx="4">
                  <c:v>9.9</c:v>
                </c:pt>
                <c:pt idx="5">
                  <c:v>7.1</c:v>
                </c:pt>
                <c:pt idx="6">
                  <c:v>9.42</c:v>
                </c:pt>
                <c:pt idx="7">
                  <c:v>8.0399999999999991</c:v>
                </c:pt>
                <c:pt idx="8">
                  <c:v>9.77</c:v>
                </c:pt>
                <c:pt idx="9">
                  <c:v>8.01</c:v>
                </c:pt>
                <c:pt idx="10">
                  <c:v>9.4</c:v>
                </c:pt>
                <c:pt idx="11">
                  <c:v>9.19</c:v>
                </c:pt>
              </c:numCache>
            </c:numRef>
          </c:xVal>
          <c:yVal>
            <c:numRef>
              <c:f>'Chem Results'!$F$66:$F$77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E1-6040-A690-8442BF900B69}"/>
            </c:ext>
          </c:extLst>
        </c:ser>
        <c:ser>
          <c:idx val="5"/>
          <c:order val="6"/>
          <c:tx>
            <c:v>R7P2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48FF38"/>
              </a:solidFill>
            </c:spPr>
          </c:marker>
          <c:xVal>
            <c:numRef>
              <c:f>'Chem Results'!$Y$78:$Y$98</c:f>
              <c:numCache>
                <c:formatCode>General</c:formatCode>
                <c:ptCount val="21"/>
                <c:pt idx="0">
                  <c:v>7.7</c:v>
                </c:pt>
                <c:pt idx="1">
                  <c:v>6.09</c:v>
                </c:pt>
                <c:pt idx="2">
                  <c:v>7.24</c:v>
                </c:pt>
                <c:pt idx="3">
                  <c:v>8.8699999999999992</c:v>
                </c:pt>
                <c:pt idx="4">
                  <c:v>8.67</c:v>
                </c:pt>
                <c:pt idx="5">
                  <c:v>7.54</c:v>
                </c:pt>
                <c:pt idx="6">
                  <c:v>8.91</c:v>
                </c:pt>
                <c:pt idx="7">
                  <c:v>9.08</c:v>
                </c:pt>
                <c:pt idx="8">
                  <c:v>3.27</c:v>
                </c:pt>
                <c:pt idx="9">
                  <c:v>2.85</c:v>
                </c:pt>
                <c:pt idx="10">
                  <c:v>10.31</c:v>
                </c:pt>
                <c:pt idx="11">
                  <c:v>10.89</c:v>
                </c:pt>
                <c:pt idx="12">
                  <c:v>11.11</c:v>
                </c:pt>
                <c:pt idx="13">
                  <c:v>11.01</c:v>
                </c:pt>
                <c:pt idx="14">
                  <c:v>10.52</c:v>
                </c:pt>
                <c:pt idx="15">
                  <c:v>10.41</c:v>
                </c:pt>
                <c:pt idx="16">
                  <c:v>10.72</c:v>
                </c:pt>
                <c:pt idx="17">
                  <c:v>9.8699999999999992</c:v>
                </c:pt>
                <c:pt idx="18">
                  <c:v>9.5500000000000007</c:v>
                </c:pt>
                <c:pt idx="19">
                  <c:v>10.119999999999999</c:v>
                </c:pt>
                <c:pt idx="20">
                  <c:v>9.59</c:v>
                </c:pt>
              </c:numCache>
            </c:numRef>
          </c:xVal>
          <c:yVal>
            <c:numRef>
              <c:f>'Chem Results'!$F$78:$F$98</c:f>
              <c:numCache>
                <c:formatCode>General</c:formatCode>
                <c:ptCount val="21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  <c:pt idx="7">
                  <c:v>1</c:v>
                </c:pt>
                <c:pt idx="8">
                  <c:v>5.5</c:v>
                </c:pt>
                <c:pt idx="9">
                  <c:v>12</c:v>
                </c:pt>
                <c:pt idx="10">
                  <c:v>36</c:v>
                </c:pt>
                <c:pt idx="11">
                  <c:v>69.5</c:v>
                </c:pt>
                <c:pt idx="12">
                  <c:v>99</c:v>
                </c:pt>
                <c:pt idx="13">
                  <c:v>143.5</c:v>
                </c:pt>
                <c:pt idx="14">
                  <c:v>188</c:v>
                </c:pt>
                <c:pt idx="15">
                  <c:v>275</c:v>
                </c:pt>
                <c:pt idx="16">
                  <c:v>350</c:v>
                </c:pt>
                <c:pt idx="17">
                  <c:v>450</c:v>
                </c:pt>
                <c:pt idx="18">
                  <c:v>550</c:v>
                </c:pt>
                <c:pt idx="19">
                  <c:v>650</c:v>
                </c:pt>
                <c:pt idx="2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B0-BE4C-AE70-28C9A2A440FC}"/>
            </c:ext>
          </c:extLst>
        </c:ser>
        <c:ser>
          <c:idx val="6"/>
          <c:order val="7"/>
          <c:tx>
            <c:v>R8H1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EA817"/>
              </a:solidFill>
            </c:spPr>
          </c:marker>
          <c:xVal>
            <c:numRef>
              <c:f>'Chem Results'!$Y$99:$Y$111</c:f>
              <c:numCache>
                <c:formatCode>General</c:formatCode>
                <c:ptCount val="13"/>
                <c:pt idx="0">
                  <c:v>7.47</c:v>
                </c:pt>
                <c:pt idx="1">
                  <c:v>11.89</c:v>
                </c:pt>
                <c:pt idx="2">
                  <c:v>11.26</c:v>
                </c:pt>
                <c:pt idx="3">
                  <c:v>10.73</c:v>
                </c:pt>
                <c:pt idx="4">
                  <c:v>8.77</c:v>
                </c:pt>
                <c:pt idx="5">
                  <c:v>8.08</c:v>
                </c:pt>
                <c:pt idx="6">
                  <c:v>5.2</c:v>
                </c:pt>
                <c:pt idx="7">
                  <c:v>4.2699999999999996</c:v>
                </c:pt>
                <c:pt idx="8">
                  <c:v>4.13</c:v>
                </c:pt>
                <c:pt idx="9">
                  <c:v>3.92</c:v>
                </c:pt>
                <c:pt idx="10">
                  <c:v>3.85</c:v>
                </c:pt>
                <c:pt idx="11">
                  <c:v>4.21</c:v>
                </c:pt>
                <c:pt idx="12">
                  <c:v>3.38</c:v>
                </c:pt>
              </c:numCache>
            </c:numRef>
          </c:xVal>
          <c:yVal>
            <c:numRef>
              <c:f>'Chem Results'!$F$99:$F$111</c:f>
              <c:numCache>
                <c:formatCode>General</c:formatCode>
                <c:ptCount val="13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B0-BE4C-AE70-28C9A2A440FC}"/>
            </c:ext>
          </c:extLst>
        </c:ser>
        <c:ser>
          <c:idx val="7"/>
          <c:order val="8"/>
          <c:tx>
            <c:v>R8P1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FEA817"/>
              </a:solidFill>
              <a:ln>
                <a:noFill/>
              </a:ln>
            </c:spPr>
          </c:marker>
          <c:xVal>
            <c:numRef>
              <c:f>'Chem Results'!$Y$112:$Y$121</c:f>
              <c:numCache>
                <c:formatCode>General</c:formatCode>
                <c:ptCount val="10"/>
                <c:pt idx="0">
                  <c:v>5.38</c:v>
                </c:pt>
                <c:pt idx="1">
                  <c:v>2.75</c:v>
                </c:pt>
                <c:pt idx="2">
                  <c:v>5.88</c:v>
                </c:pt>
                <c:pt idx="3">
                  <c:v>10.48</c:v>
                </c:pt>
                <c:pt idx="4">
                  <c:v>9.09</c:v>
                </c:pt>
                <c:pt idx="5">
                  <c:v>7.37</c:v>
                </c:pt>
                <c:pt idx="6">
                  <c:v>7.58</c:v>
                </c:pt>
                <c:pt idx="7">
                  <c:v>2.4900000000000002</c:v>
                </c:pt>
                <c:pt idx="8">
                  <c:v>2.2400000000000002</c:v>
                </c:pt>
                <c:pt idx="9">
                  <c:v>2.48</c:v>
                </c:pt>
              </c:numCache>
            </c:numRef>
          </c:xVal>
          <c:yVal>
            <c:numRef>
              <c:f>'Chem Results'!$E$112:$E$121</c:f>
              <c:numCache>
                <c:formatCode>General</c:formatCode>
                <c:ptCount val="10"/>
                <c:pt idx="0">
                  <c:v>20</c:v>
                </c:pt>
                <c:pt idx="1">
                  <c:v>35</c:v>
                </c:pt>
                <c:pt idx="2">
                  <c:v>68</c:v>
                </c:pt>
                <c:pt idx="3">
                  <c:v>116</c:v>
                </c:pt>
                <c:pt idx="4">
                  <c:v>164</c:v>
                </c:pt>
                <c:pt idx="5">
                  <c:v>215</c:v>
                </c:pt>
                <c:pt idx="6">
                  <c:v>275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B0-BE4C-AE70-28C9A2A4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87752"/>
        <c:axId val="-2137986968"/>
      </c:scatterChart>
      <c:valAx>
        <c:axId val="2121687752"/>
        <c:scaling>
          <c:orientation val="minMax"/>
          <c:max val="15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LOI wt%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986968"/>
        <c:crosses val="autoZero"/>
        <c:crossBetween val="midCat"/>
      </c:valAx>
      <c:valAx>
        <c:axId val="-2137986968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3.8037336769067669E-2"/>
              <c:y val="0.424155307162669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2121687752"/>
        <c:crosses val="autoZero"/>
        <c:crossBetween val="midCat"/>
        <c:majorUnit val="100"/>
        <c:minorUnit val="50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4934105060016"/>
          <c:y val="0.13380110345097201"/>
          <c:w val="0.80001436262192926"/>
          <c:h val="0.75090118134788253"/>
        </c:manualLayout>
      </c:layout>
      <c:scatterChart>
        <c:scatterStyle val="lineMarker"/>
        <c:varyColors val="0"/>
        <c:ser>
          <c:idx val="1"/>
          <c:order val="0"/>
          <c:tx>
            <c:v>R1C2</c:v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'Chem Results'!$BW$7:$BW$15</c:f>
              <c:numCache>
                <c:formatCode>0.0</c:formatCode>
                <c:ptCount val="9"/>
                <c:pt idx="0">
                  <c:v>95.450049455984185</c:v>
                </c:pt>
                <c:pt idx="1">
                  <c:v>99.102040816326522</c:v>
                </c:pt>
                <c:pt idx="2">
                  <c:v>99.220576773187844</c:v>
                </c:pt>
                <c:pt idx="3">
                  <c:v>99.28721174004194</c:v>
                </c:pt>
                <c:pt idx="4">
                  <c:v>92.8</c:v>
                </c:pt>
                <c:pt idx="5">
                  <c:v>91.914271797369693</c:v>
                </c:pt>
                <c:pt idx="6">
                  <c:v>93.091621754042137</c:v>
                </c:pt>
                <c:pt idx="7">
                  <c:v>92.914124824026274</c:v>
                </c:pt>
                <c:pt idx="8">
                  <c:v>91.981132075471692</c:v>
                </c:pt>
              </c:numCache>
            </c:numRef>
          </c:xVal>
          <c:yVal>
            <c:numRef>
              <c:f>'Chem Results'!$F$7:$F$15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38-FF46-AFD5-B20FF659B9B1}"/>
            </c:ext>
          </c:extLst>
        </c:ser>
        <c:ser>
          <c:idx val="0"/>
          <c:order val="1"/>
          <c:tx>
            <c:v>R1C3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'Chem Results'!$BW$16:$BW$26</c:f>
              <c:numCache>
                <c:formatCode>0.0</c:formatCode>
                <c:ptCount val="11"/>
                <c:pt idx="0">
                  <c:v>90.426758938869668</c:v>
                </c:pt>
                <c:pt idx="1">
                  <c:v>90.148911798396355</c:v>
                </c:pt>
                <c:pt idx="2">
                  <c:v>96.428571428571445</c:v>
                </c:pt>
                <c:pt idx="3">
                  <c:v>98.814229249011859</c:v>
                </c:pt>
                <c:pt idx="4">
                  <c:v>99.423156159868142</c:v>
                </c:pt>
                <c:pt idx="5">
                  <c:v>99.461331281262019</c:v>
                </c:pt>
                <c:pt idx="6">
                  <c:v>99.141806293420501</c:v>
                </c:pt>
                <c:pt idx="7">
                  <c:v>97.814910025706951</c:v>
                </c:pt>
                <c:pt idx="8">
                  <c:v>96.411378555798663</c:v>
                </c:pt>
                <c:pt idx="9">
                  <c:v>84.134217067108523</c:v>
                </c:pt>
                <c:pt idx="10">
                  <c:v>70.031670625494854</c:v>
                </c:pt>
              </c:numCache>
            </c:numRef>
          </c:xVal>
          <c:yVal>
            <c:numRef>
              <c:f>'Chem Results'!$E$16:$E$26</c:f>
              <c:numCache>
                <c:formatCode>General</c:formatCode>
                <c:ptCount val="11"/>
                <c:pt idx="0">
                  <c:v>10</c:v>
                </c:pt>
                <c:pt idx="1">
                  <c:v>18</c:v>
                </c:pt>
                <c:pt idx="2">
                  <c:v>58</c:v>
                </c:pt>
                <c:pt idx="3">
                  <c:v>86</c:v>
                </c:pt>
                <c:pt idx="4">
                  <c:v>135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52-B54D-8FBE-0045DAAF6004}"/>
            </c:ext>
          </c:extLst>
        </c:ser>
        <c:ser>
          <c:idx val="2"/>
          <c:order val="2"/>
          <c:tx>
            <c:v>R2H1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3366FF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'Chem Results'!$BW$27:$BW$40</c:f>
              <c:numCache>
                <c:formatCode>0.0</c:formatCode>
                <c:ptCount val="14"/>
                <c:pt idx="0">
                  <c:v>67.339449541284395</c:v>
                </c:pt>
                <c:pt idx="1">
                  <c:v>67.575577949021934</c:v>
                </c:pt>
                <c:pt idx="2">
                  <c:v>68.853333333333339</c:v>
                </c:pt>
                <c:pt idx="3">
                  <c:v>71.82692307692308</c:v>
                </c:pt>
                <c:pt idx="4">
                  <c:v>75.697211155378483</c:v>
                </c:pt>
                <c:pt idx="5">
                  <c:v>72.001744439598781</c:v>
                </c:pt>
                <c:pt idx="6">
                  <c:v>67.631703844328428</c:v>
                </c:pt>
                <c:pt idx="7">
                  <c:v>68.418604651162795</c:v>
                </c:pt>
                <c:pt idx="8">
                  <c:v>78.567800914169624</c:v>
                </c:pt>
                <c:pt idx="9">
                  <c:v>82.570162481536201</c:v>
                </c:pt>
                <c:pt idx="10">
                  <c:v>85.937499999999986</c:v>
                </c:pt>
                <c:pt idx="11">
                  <c:v>77.604673807205458</c:v>
                </c:pt>
                <c:pt idx="12">
                  <c:v>71.713508612873966</c:v>
                </c:pt>
                <c:pt idx="13">
                  <c:v>77.334630350194558</c:v>
                </c:pt>
              </c:numCache>
            </c:numRef>
          </c:xVal>
          <c:yVal>
            <c:numRef>
              <c:f>'Chem Results'!$F$27:$F$40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38-FF46-AFD5-B20FF659B9B1}"/>
            </c:ext>
          </c:extLst>
        </c:ser>
        <c:ser>
          <c:idx val="3"/>
          <c:order val="3"/>
          <c:tx>
            <c:v>R2P1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3366FF"/>
              </a:solidFill>
              <a:ln>
                <a:noFill/>
              </a:ln>
            </c:spPr>
          </c:marker>
          <c:xVal>
            <c:numRef>
              <c:f>'Chem Results'!$BW$41:$BW$53</c:f>
              <c:numCache>
                <c:formatCode>0.0</c:formatCode>
                <c:ptCount val="13"/>
                <c:pt idx="0">
                  <c:v>79.813084112149525</c:v>
                </c:pt>
                <c:pt idx="1">
                  <c:v>94.725557461406524</c:v>
                </c:pt>
                <c:pt idx="2">
                  <c:v>84.570920409070695</c:v>
                </c:pt>
                <c:pt idx="3">
                  <c:v>93.233424159854678</c:v>
                </c:pt>
                <c:pt idx="4">
                  <c:v>85.788479697828151</c:v>
                </c:pt>
                <c:pt idx="5">
                  <c:v>66.762041010968048</c:v>
                </c:pt>
                <c:pt idx="6">
                  <c:v>67.333643555141919</c:v>
                </c:pt>
                <c:pt idx="7">
                  <c:v>88.54069223573434</c:v>
                </c:pt>
                <c:pt idx="8">
                  <c:v>84.540816326530617</c:v>
                </c:pt>
                <c:pt idx="9">
                  <c:v>90.599038041101892</c:v>
                </c:pt>
                <c:pt idx="10">
                  <c:v>87.284376540167571</c:v>
                </c:pt>
                <c:pt idx="11">
                  <c:v>82.323232323232318</c:v>
                </c:pt>
                <c:pt idx="12">
                  <c:v>70.48479087452472</c:v>
                </c:pt>
              </c:numCache>
            </c:numRef>
          </c:xVal>
          <c:yVal>
            <c:numRef>
              <c:f>'Chem Results'!$F$41:$F$53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38-FF46-AFD5-B20FF659B9B1}"/>
            </c:ext>
          </c:extLst>
        </c:ser>
        <c:ser>
          <c:idx val="4"/>
          <c:order val="4"/>
          <c:tx>
            <c:v>R7H1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48FF38"/>
              </a:solidFill>
            </c:spPr>
          </c:marker>
          <c:xVal>
            <c:numRef>
              <c:f>'Chem Results'!$BW$54:$BW$65</c:f>
              <c:numCache>
                <c:formatCode>0.0</c:formatCode>
                <c:ptCount val="12"/>
                <c:pt idx="0">
                  <c:v>91.169049621530689</c:v>
                </c:pt>
                <c:pt idx="1">
                  <c:v>95.500562429696302</c:v>
                </c:pt>
                <c:pt idx="2">
                  <c:v>98.011599005799496</c:v>
                </c:pt>
                <c:pt idx="3">
                  <c:v>98.305084745762699</c:v>
                </c:pt>
                <c:pt idx="4">
                  <c:v>98.127340823970044</c:v>
                </c:pt>
                <c:pt idx="5">
                  <c:v>97.787610619469007</c:v>
                </c:pt>
                <c:pt idx="6">
                  <c:v>96.89671144048171</c:v>
                </c:pt>
                <c:pt idx="7">
                  <c:v>95.801526717557252</c:v>
                </c:pt>
                <c:pt idx="8">
                  <c:v>96.262113520996763</c:v>
                </c:pt>
                <c:pt idx="9">
                  <c:v>96.172895092300763</c:v>
                </c:pt>
                <c:pt idx="10">
                  <c:v>96.500479386385436</c:v>
                </c:pt>
                <c:pt idx="11">
                  <c:v>96.67291471415183</c:v>
                </c:pt>
              </c:numCache>
            </c:numRef>
          </c:xVal>
          <c:yVal>
            <c:numRef>
              <c:f>'Chem Results'!$F$54:$F$65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38-FF46-AFD5-B20FF659B9B1}"/>
            </c:ext>
          </c:extLst>
        </c:ser>
        <c:ser>
          <c:idx val="8"/>
          <c:order val="5"/>
          <c:tx>
            <c:v>R7H2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00B050"/>
              </a:solidFill>
            </c:spPr>
          </c:marker>
          <c:xVal>
            <c:numRef>
              <c:f>'Chem Results'!$BW$66:$BW$77</c:f>
              <c:numCache>
                <c:formatCode>0.0</c:formatCode>
                <c:ptCount val="12"/>
                <c:pt idx="0">
                  <c:v>92.935982339955842</c:v>
                </c:pt>
                <c:pt idx="1">
                  <c:v>93.625771076079502</c:v>
                </c:pt>
                <c:pt idx="2">
                  <c:v>95.769798327594685</c:v>
                </c:pt>
                <c:pt idx="3">
                  <c:v>97.177577420619372</c:v>
                </c:pt>
                <c:pt idx="4">
                  <c:v>97.016980266177143</c:v>
                </c:pt>
                <c:pt idx="5">
                  <c:v>97.286821705426348</c:v>
                </c:pt>
                <c:pt idx="6">
                  <c:v>97.263681592039788</c:v>
                </c:pt>
                <c:pt idx="7">
                  <c:v>96.551724137931018</c:v>
                </c:pt>
                <c:pt idx="8">
                  <c:v>95.486725663716811</c:v>
                </c:pt>
                <c:pt idx="9">
                  <c:v>89.309576837416472</c:v>
                </c:pt>
                <c:pt idx="10">
                  <c:v>94.879927503398278</c:v>
                </c:pt>
                <c:pt idx="11">
                  <c:v>89.666666666666657</c:v>
                </c:pt>
              </c:numCache>
            </c:numRef>
          </c:xVal>
          <c:yVal>
            <c:numRef>
              <c:f>'Chem Results'!$F$66:$F$77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52-B54D-8FBE-0045DAAF6004}"/>
            </c:ext>
          </c:extLst>
        </c:ser>
        <c:ser>
          <c:idx val="5"/>
          <c:order val="6"/>
          <c:tx>
            <c:v>R7P1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48FF38"/>
              </a:solidFill>
            </c:spPr>
          </c:marker>
          <c:xVal>
            <c:numRef>
              <c:f>'Chem Results'!$BW$78:$BW$98</c:f>
              <c:numCache>
                <c:formatCode>0.0</c:formatCode>
                <c:ptCount val="21"/>
                <c:pt idx="0">
                  <c:v>84.927797833935017</c:v>
                </c:pt>
                <c:pt idx="1">
                  <c:v>87.259615384615387</c:v>
                </c:pt>
                <c:pt idx="2">
                  <c:v>90.837854128993371</c:v>
                </c:pt>
                <c:pt idx="3">
                  <c:v>93.523061825318948</c:v>
                </c:pt>
                <c:pt idx="4">
                  <c:v>94.886075949367083</c:v>
                </c:pt>
                <c:pt idx="5">
                  <c:v>96.463414634146346</c:v>
                </c:pt>
                <c:pt idx="6">
                  <c:v>96.449704142011811</c:v>
                </c:pt>
                <c:pt idx="7">
                  <c:v>72.64325323475046</c:v>
                </c:pt>
                <c:pt idx="8">
                  <c:v>75.592747559274756</c:v>
                </c:pt>
                <c:pt idx="9">
                  <c:v>80.853658536585371</c:v>
                </c:pt>
                <c:pt idx="10">
                  <c:v>96.865061335756465</c:v>
                </c:pt>
                <c:pt idx="11">
                  <c:v>98.528138528138527</c:v>
                </c:pt>
                <c:pt idx="12">
                  <c:v>98.536789297658871</c:v>
                </c:pt>
                <c:pt idx="13">
                  <c:v>98.914518317503379</c:v>
                </c:pt>
                <c:pt idx="14">
                  <c:v>98.258823529411785</c:v>
                </c:pt>
                <c:pt idx="15">
                  <c:v>96.503809950694745</c:v>
                </c:pt>
                <c:pt idx="16">
                  <c:v>96.877673224978608</c:v>
                </c:pt>
                <c:pt idx="17">
                  <c:v>96.229885057471265</c:v>
                </c:pt>
                <c:pt idx="18">
                  <c:v>95.030190431955418</c:v>
                </c:pt>
                <c:pt idx="19">
                  <c:v>95.888533576975789</c:v>
                </c:pt>
                <c:pt idx="20">
                  <c:v>94.744386048733858</c:v>
                </c:pt>
              </c:numCache>
            </c:numRef>
          </c:xVal>
          <c:yVal>
            <c:numRef>
              <c:f>'Chem Results'!$F$78:$F$98</c:f>
              <c:numCache>
                <c:formatCode>General</c:formatCode>
                <c:ptCount val="21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  <c:pt idx="7">
                  <c:v>1</c:v>
                </c:pt>
                <c:pt idx="8">
                  <c:v>5.5</c:v>
                </c:pt>
                <c:pt idx="9">
                  <c:v>12</c:v>
                </c:pt>
                <c:pt idx="10">
                  <c:v>36</c:v>
                </c:pt>
                <c:pt idx="11">
                  <c:v>69.5</c:v>
                </c:pt>
                <c:pt idx="12">
                  <c:v>99</c:v>
                </c:pt>
                <c:pt idx="13">
                  <c:v>143.5</c:v>
                </c:pt>
                <c:pt idx="14">
                  <c:v>188</c:v>
                </c:pt>
                <c:pt idx="15">
                  <c:v>275</c:v>
                </c:pt>
                <c:pt idx="16">
                  <c:v>350</c:v>
                </c:pt>
                <c:pt idx="17">
                  <c:v>450</c:v>
                </c:pt>
                <c:pt idx="18">
                  <c:v>550</c:v>
                </c:pt>
                <c:pt idx="19">
                  <c:v>650</c:v>
                </c:pt>
                <c:pt idx="2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38-FF46-AFD5-B20FF659B9B1}"/>
            </c:ext>
          </c:extLst>
        </c:ser>
        <c:ser>
          <c:idx val="6"/>
          <c:order val="7"/>
          <c:tx>
            <c:v>R8H1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EA817"/>
              </a:solidFill>
            </c:spPr>
          </c:marker>
          <c:xVal>
            <c:numRef>
              <c:f>'Chem Results'!$BW$99:$BW$111</c:f>
              <c:numCache>
                <c:formatCode>0.0</c:formatCode>
                <c:ptCount val="13"/>
                <c:pt idx="0">
                  <c:v>81.093935790725325</c:v>
                </c:pt>
                <c:pt idx="1">
                  <c:v>92.464678178963908</c:v>
                </c:pt>
                <c:pt idx="2">
                  <c:v>92.38521836506159</c:v>
                </c:pt>
                <c:pt idx="3">
                  <c:v>91.239734063355499</c:v>
                </c:pt>
                <c:pt idx="4">
                  <c:v>86.617817200154263</c:v>
                </c:pt>
                <c:pt idx="5">
                  <c:v>80.270574971815108</c:v>
                </c:pt>
                <c:pt idx="6">
                  <c:v>72.748815165876778</c:v>
                </c:pt>
                <c:pt idx="7">
                  <c:v>69.935948759007204</c:v>
                </c:pt>
                <c:pt idx="8">
                  <c:v>72.313224131042759</c:v>
                </c:pt>
                <c:pt idx="9">
                  <c:v>72.445328031809154</c:v>
                </c:pt>
                <c:pt idx="10">
                  <c:v>70.826446280991732</c:v>
                </c:pt>
                <c:pt idx="11">
                  <c:v>64.984939759036152</c:v>
                </c:pt>
                <c:pt idx="12">
                  <c:v>60.751341681574239</c:v>
                </c:pt>
              </c:numCache>
            </c:numRef>
          </c:xVal>
          <c:yVal>
            <c:numRef>
              <c:f>'Chem Results'!$F$99:$F$111</c:f>
              <c:numCache>
                <c:formatCode>General</c:formatCode>
                <c:ptCount val="13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38-FF46-AFD5-B20FF659B9B1}"/>
            </c:ext>
          </c:extLst>
        </c:ser>
        <c:ser>
          <c:idx val="7"/>
          <c:order val="8"/>
          <c:tx>
            <c:v>R8P1</c:v>
          </c:tx>
          <c:spPr>
            <a:ln w="47625">
              <a:noFill/>
            </a:ln>
          </c:spPr>
          <c:marker>
            <c:symbol val="plus"/>
            <c:size val="9"/>
            <c:spPr>
              <a:solidFill>
                <a:srgbClr val="FEA817"/>
              </a:solidFill>
              <a:ln>
                <a:noFill/>
              </a:ln>
            </c:spPr>
          </c:marker>
          <c:xVal>
            <c:numRef>
              <c:f>'Chem Results'!$BW$112:$BW$121</c:f>
              <c:numCache>
                <c:formatCode>0.0</c:formatCode>
                <c:ptCount val="10"/>
                <c:pt idx="0">
                  <c:v>70.356037151702793</c:v>
                </c:pt>
                <c:pt idx="1">
                  <c:v>70.28301886792454</c:v>
                </c:pt>
                <c:pt idx="2">
                  <c:v>80.2331743508214</c:v>
                </c:pt>
                <c:pt idx="3">
                  <c:v>87.437763309076999</c:v>
                </c:pt>
                <c:pt idx="4">
                  <c:v>85.468451242829815</c:v>
                </c:pt>
                <c:pt idx="5">
                  <c:v>81.076388888888886</c:v>
                </c:pt>
                <c:pt idx="6">
                  <c:v>78.623778501628649</c:v>
                </c:pt>
                <c:pt idx="7">
                  <c:v>67.439933719966845</c:v>
                </c:pt>
                <c:pt idx="8">
                  <c:v>65.404339250493095</c:v>
                </c:pt>
                <c:pt idx="9">
                  <c:v>63.25411334552102</c:v>
                </c:pt>
              </c:numCache>
            </c:numRef>
          </c:xVal>
          <c:yVal>
            <c:numRef>
              <c:f>'Chem Results'!$E$112:$E$121</c:f>
              <c:numCache>
                <c:formatCode>General</c:formatCode>
                <c:ptCount val="10"/>
                <c:pt idx="0">
                  <c:v>20</c:v>
                </c:pt>
                <c:pt idx="1">
                  <c:v>35</c:v>
                </c:pt>
                <c:pt idx="2">
                  <c:v>68</c:v>
                </c:pt>
                <c:pt idx="3">
                  <c:v>116</c:v>
                </c:pt>
                <c:pt idx="4">
                  <c:v>164</c:v>
                </c:pt>
                <c:pt idx="5">
                  <c:v>215</c:v>
                </c:pt>
                <c:pt idx="6">
                  <c:v>275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38-FF46-AFD5-B20FF659B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87752"/>
        <c:axId val="-2137986968"/>
      </c:scatterChart>
      <c:valAx>
        <c:axId val="2121687752"/>
        <c:scaling>
          <c:orientation val="minMax"/>
          <c:max val="100"/>
          <c:min val="55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CIA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7986968"/>
        <c:crosses val="autoZero"/>
        <c:crossBetween val="midCat"/>
        <c:majorUnit val="5"/>
        <c:minorUnit val="5"/>
      </c:valAx>
      <c:valAx>
        <c:axId val="-2137986968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(cm)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1.1408841476174427E-2"/>
              <c:y val="0.415521632381795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2121687752"/>
        <c:crosses val="autoZero"/>
        <c:crossBetween val="midCat"/>
        <c:majorUnit val="100"/>
        <c:minorUnit val="50"/>
      </c:valAx>
      <c:spPr>
        <a:ln w="19050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R8P1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146302785155697"/>
          <c:y val="0.21185086477067477"/>
          <c:w val="0.73854508231472693"/>
          <c:h val="0.67877353571681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'R8P1E'!$E$30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'R8P1E'!$E$31:$E$42</c:f>
              <c:numCache>
                <c:formatCode>0.00</c:formatCode>
                <c:ptCount val="12"/>
                <c:pt idx="0">
                  <c:v>0.46203321493712179</c:v>
                </c:pt>
                <c:pt idx="1">
                  <c:v>0.36804253768304185</c:v>
                </c:pt>
                <c:pt idx="2">
                  <c:v>-0.17401252801443123</c:v>
                </c:pt>
                <c:pt idx="3">
                  <c:v>-0.39643015294478323</c:v>
                </c:pt>
                <c:pt idx="4">
                  <c:v>-0.23018915568614851</c:v>
                </c:pt>
                <c:pt idx="5">
                  <c:v>-0.28029775639772136</c:v>
                </c:pt>
                <c:pt idx="6">
                  <c:v>-0.42871247315132355</c:v>
                </c:pt>
                <c:pt idx="7">
                  <c:v>-0.18279963553456069</c:v>
                </c:pt>
                <c:pt idx="8">
                  <c:v>-0.10567395927837353</c:v>
                </c:pt>
                <c:pt idx="9">
                  <c:v>-0.36346681472603415</c:v>
                </c:pt>
                <c:pt idx="10">
                  <c:v>-0.26675811032216146</c:v>
                </c:pt>
                <c:pt idx="11">
                  <c:v>0</c:v>
                </c:pt>
              </c:numCache>
            </c:numRef>
          </c:xVal>
          <c:yVal>
            <c:numRef>
              <c:f>'R8P1E'!$E$7:$E$18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19-C043-B574-A2B83D0AD00C}"/>
            </c:ext>
          </c:extLst>
        </c:ser>
        <c:ser>
          <c:idx val="1"/>
          <c:order val="1"/>
          <c:tx>
            <c:strRef>
              <c:f>'R8P1E'!$F$30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'R8P1E'!$F$31:$F$42</c:f>
              <c:numCache>
                <c:formatCode>0.00</c:formatCode>
                <c:ptCount val="12"/>
                <c:pt idx="0">
                  <c:v>-0.24137108792846507</c:v>
                </c:pt>
                <c:pt idx="1">
                  <c:v>-0.3172760771797476</c:v>
                </c:pt>
                <c:pt idx="2">
                  <c:v>-0.19251697096192433</c:v>
                </c:pt>
                <c:pt idx="3">
                  <c:v>0.1348598625066102</c:v>
                </c:pt>
                <c:pt idx="4">
                  <c:v>0.31025481111903064</c:v>
                </c:pt>
                <c:pt idx="5">
                  <c:v>-4.9431289212711338E-3</c:v>
                </c:pt>
                <c:pt idx="6">
                  <c:v>-0.14016613375289733</c:v>
                </c:pt>
                <c:pt idx="7">
                  <c:v>-9.1278179543189064E-2</c:v>
                </c:pt>
                <c:pt idx="8">
                  <c:v>7.5862387439389334E-3</c:v>
                </c:pt>
                <c:pt idx="9">
                  <c:v>-0.18062298680966693</c:v>
                </c:pt>
                <c:pt idx="10">
                  <c:v>-0.21904450734190684</c:v>
                </c:pt>
                <c:pt idx="11">
                  <c:v>0</c:v>
                </c:pt>
              </c:numCache>
            </c:numRef>
          </c:xVal>
          <c:yVal>
            <c:numRef>
              <c:f>'R8P1E'!$E$7:$E$18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19-C043-B574-A2B83D0AD00C}"/>
            </c:ext>
          </c:extLst>
        </c:ser>
        <c:ser>
          <c:idx val="2"/>
          <c:order val="2"/>
          <c:tx>
            <c:strRef>
              <c:f>'R8P1E'!$G$30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'R8P1E'!$G$31:$G$42</c:f>
              <c:numCache>
                <c:formatCode>0.00</c:formatCode>
                <c:ptCount val="12"/>
                <c:pt idx="0">
                  <c:v>-0.15235857581782042</c:v>
                </c:pt>
                <c:pt idx="1">
                  <c:v>-4.6091592040676144E-2</c:v>
                </c:pt>
                <c:pt idx="2">
                  <c:v>-0.10903429853511826</c:v>
                </c:pt>
                <c:pt idx="3">
                  <c:v>5.1946386198935324E-2</c:v>
                </c:pt>
                <c:pt idx="4">
                  <c:v>3.6212075373843966E-2</c:v>
                </c:pt>
                <c:pt idx="5">
                  <c:v>8.6895908499619701E-2</c:v>
                </c:pt>
                <c:pt idx="6">
                  <c:v>6.3800889195271937E-2</c:v>
                </c:pt>
                <c:pt idx="7">
                  <c:v>0.10507459769198535</c:v>
                </c:pt>
                <c:pt idx="8">
                  <c:v>0.10916472993027759</c:v>
                </c:pt>
                <c:pt idx="9">
                  <c:v>4.3936163480150725E-2</c:v>
                </c:pt>
                <c:pt idx="10">
                  <c:v>-4.9581998161667307E-2</c:v>
                </c:pt>
                <c:pt idx="11">
                  <c:v>0</c:v>
                </c:pt>
              </c:numCache>
            </c:numRef>
          </c:xVal>
          <c:yVal>
            <c:numRef>
              <c:f>'R8P1E'!$E$7:$E$18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19-C043-B574-A2B83D0AD00C}"/>
            </c:ext>
          </c:extLst>
        </c:ser>
        <c:ser>
          <c:idx val="3"/>
          <c:order val="3"/>
          <c:tx>
            <c:strRef>
              <c:f>'R8P1E'!$I$30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'R8P1E'!$I$31:$I$42</c:f>
              <c:numCache>
                <c:formatCode>0.00</c:formatCode>
                <c:ptCount val="12"/>
                <c:pt idx="0">
                  <c:v>-0.46912980068060284</c:v>
                </c:pt>
                <c:pt idx="1">
                  <c:v>-0.6512422507216884</c:v>
                </c:pt>
                <c:pt idx="2">
                  <c:v>-0.51286000409827937</c:v>
                </c:pt>
                <c:pt idx="3">
                  <c:v>-0.37976539589442826</c:v>
                </c:pt>
                <c:pt idx="4">
                  <c:v>-0.30677458730527796</c:v>
                </c:pt>
                <c:pt idx="5">
                  <c:v>-0.11814880834488684</c:v>
                </c:pt>
                <c:pt idx="6">
                  <c:v>0.11843622898075634</c:v>
                </c:pt>
                <c:pt idx="7">
                  <c:v>-0.34906019328818205</c:v>
                </c:pt>
                <c:pt idx="8">
                  <c:v>-0.13766664156059349</c:v>
                </c:pt>
                <c:pt idx="9">
                  <c:v>-3.824321865259428E-2</c:v>
                </c:pt>
                <c:pt idx="10">
                  <c:v>-0.18453845248201461</c:v>
                </c:pt>
                <c:pt idx="11">
                  <c:v>0</c:v>
                </c:pt>
              </c:numCache>
            </c:numRef>
          </c:xVal>
          <c:yVal>
            <c:numRef>
              <c:f>'R8P1E'!$E$7:$E$17</c:f>
              <c:numCache>
                <c:formatCode>General</c:formatCode>
                <c:ptCount val="11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19-C043-B574-A2B83D0AD00C}"/>
            </c:ext>
          </c:extLst>
        </c:ser>
        <c:ser>
          <c:idx val="4"/>
          <c:order val="4"/>
          <c:tx>
            <c:strRef>
              <c:f>'R8P1E'!$J$30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'R8P1E'!$J$31:$J$42</c:f>
              <c:numCache>
                <c:formatCode>0.00</c:formatCode>
                <c:ptCount val="12"/>
                <c:pt idx="0">
                  <c:v>-0.50930996714129251</c:v>
                </c:pt>
                <c:pt idx="1">
                  <c:v>-0.59776806340405875</c:v>
                </c:pt>
                <c:pt idx="2">
                  <c:v>-0.75174865096976284</c:v>
                </c:pt>
                <c:pt idx="3">
                  <c:v>-0.82037828734292007</c:v>
                </c:pt>
                <c:pt idx="4">
                  <c:v>-0.68404050986554921</c:v>
                </c:pt>
                <c:pt idx="5">
                  <c:v>-0.6574445931875651</c:v>
                </c:pt>
                <c:pt idx="6">
                  <c:v>-0.56911650730890539</c:v>
                </c:pt>
                <c:pt idx="7">
                  <c:v>-0.1727011539041029</c:v>
                </c:pt>
                <c:pt idx="8">
                  <c:v>1.236495276882188E-2</c:v>
                </c:pt>
                <c:pt idx="9">
                  <c:v>0.20670607787902417</c:v>
                </c:pt>
                <c:pt idx="10">
                  <c:v>-0.17323988887182562</c:v>
                </c:pt>
                <c:pt idx="11">
                  <c:v>0</c:v>
                </c:pt>
              </c:numCache>
            </c:numRef>
          </c:xVal>
          <c:yVal>
            <c:numRef>
              <c:f>'R8P1E'!$E$7:$E$17</c:f>
              <c:numCache>
                <c:formatCode>General</c:formatCode>
                <c:ptCount val="11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19-C043-B574-A2B83D0AD00C}"/>
            </c:ext>
          </c:extLst>
        </c:ser>
        <c:ser>
          <c:idx val="5"/>
          <c:order val="5"/>
          <c:tx>
            <c:strRef>
              <c:f>'R8P1E'!$K$30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'R8P1E'!$K$31:$K$42</c:f>
              <c:numCache>
                <c:formatCode>0.00</c:formatCode>
                <c:ptCount val="12"/>
                <c:pt idx="0">
                  <c:v>-0.55392156862745101</c:v>
                </c:pt>
                <c:pt idx="1">
                  <c:v>-0.60609057782404996</c:v>
                </c:pt>
                <c:pt idx="2">
                  <c:v>-0.74283792627063194</c:v>
                </c:pt>
                <c:pt idx="3">
                  <c:v>-0.81605787476280833</c:v>
                </c:pt>
                <c:pt idx="4">
                  <c:v>-0.65378569906223349</c:v>
                </c:pt>
                <c:pt idx="5">
                  <c:v>-0.64758533042846766</c:v>
                </c:pt>
                <c:pt idx="6">
                  <c:v>-0.67378943321394602</c:v>
                </c:pt>
                <c:pt idx="7">
                  <c:v>-0.1654617862669</c:v>
                </c:pt>
                <c:pt idx="8">
                  <c:v>-4.8253244959955643E-2</c:v>
                </c:pt>
                <c:pt idx="9">
                  <c:v>-0.28656830459955662</c:v>
                </c:pt>
                <c:pt idx="10">
                  <c:v>-0.28239383818417285</c:v>
                </c:pt>
                <c:pt idx="11">
                  <c:v>0</c:v>
                </c:pt>
              </c:numCache>
            </c:numRef>
          </c:xVal>
          <c:yVal>
            <c:numRef>
              <c:f>'R8P1E'!$E$7:$E$18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19-C043-B574-A2B83D0AD00C}"/>
            </c:ext>
          </c:extLst>
        </c:ser>
        <c:ser>
          <c:idx val="6"/>
          <c:order val="6"/>
          <c:tx>
            <c:strRef>
              <c:f>'R8P1E'!$L$30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'R8P1E'!$L$31:$L$42</c:f>
              <c:numCache>
                <c:formatCode>0.00</c:formatCode>
                <c:ptCount val="12"/>
                <c:pt idx="0">
                  <c:v>0.13833992094861647</c:v>
                </c:pt>
                <c:pt idx="1">
                  <c:v>0.11396691035013462</c:v>
                </c:pt>
                <c:pt idx="2">
                  <c:v>-0.15128714999731285</c:v>
                </c:pt>
                <c:pt idx="3">
                  <c:v>-0.19955920657182935</c:v>
                </c:pt>
                <c:pt idx="4">
                  <c:v>-0.25590737240075612</c:v>
                </c:pt>
                <c:pt idx="5">
                  <c:v>-0.22297369833601721</c:v>
                </c:pt>
                <c:pt idx="6">
                  <c:v>-0.27877237851662406</c:v>
                </c:pt>
                <c:pt idx="7">
                  <c:v>-0.23865234265144275</c:v>
                </c:pt>
                <c:pt idx="8">
                  <c:v>7.0667483159828626E-2</c:v>
                </c:pt>
                <c:pt idx="9">
                  <c:v>-0.16556101751539165</c:v>
                </c:pt>
                <c:pt idx="10">
                  <c:v>-0.1333568441735099</c:v>
                </c:pt>
                <c:pt idx="11">
                  <c:v>0</c:v>
                </c:pt>
              </c:numCache>
            </c:numRef>
          </c:xVal>
          <c:yVal>
            <c:numRef>
              <c:f>'R8P1E'!$E$7:$E$18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19-C043-B574-A2B83D0AD00C}"/>
            </c:ext>
          </c:extLst>
        </c:ser>
        <c:ser>
          <c:idx val="7"/>
          <c:order val="7"/>
          <c:tx>
            <c:strRef>
              <c:f>'R8P1E'!$O$30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'R8P1E'!$O$31:$O$42</c:f>
              <c:numCache>
                <c:formatCode>0.00</c:formatCode>
                <c:ptCount val="12"/>
                <c:pt idx="0">
                  <c:v>2.3401330376940135</c:v>
                </c:pt>
                <c:pt idx="1">
                  <c:v>0.56227066695445749</c:v>
                </c:pt>
                <c:pt idx="2">
                  <c:v>1.332925321836655</c:v>
                </c:pt>
                <c:pt idx="3">
                  <c:v>2.8753737214791508</c:v>
                </c:pt>
                <c:pt idx="4">
                  <c:v>2.9642232237539772</c:v>
                </c:pt>
                <c:pt idx="5">
                  <c:v>1.920481782595604</c:v>
                </c:pt>
                <c:pt idx="6">
                  <c:v>1.5108308792066252</c:v>
                </c:pt>
                <c:pt idx="7">
                  <c:v>3.3931783043574582E-2</c:v>
                </c:pt>
                <c:pt idx="8">
                  <c:v>1.2655444864308141E-2</c:v>
                </c:pt>
                <c:pt idx="9">
                  <c:v>-0.12621348826001977</c:v>
                </c:pt>
                <c:pt idx="10">
                  <c:v>-0.20406975101037195</c:v>
                </c:pt>
                <c:pt idx="11">
                  <c:v>0</c:v>
                </c:pt>
              </c:numCache>
            </c:numRef>
          </c:xVal>
          <c:yVal>
            <c:numRef>
              <c:f>'R8P1E'!$E$7:$E$18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19-C043-B574-A2B83D0AD00C}"/>
            </c:ext>
          </c:extLst>
        </c:ser>
        <c:ser>
          <c:idx val="8"/>
          <c:order val="8"/>
          <c:tx>
            <c:strRef>
              <c:f>'R8P1E'!$M$30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'R8P1E'!$M$31:$M$42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'R8P1E'!$E$7:$E$18</c:f>
              <c:numCache>
                <c:formatCode>General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19-C043-B574-A2B83D0A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5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4.688437521667007E-2"/>
              <c:y val="0.472296531922125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'R8P1E'!$AM$25:$AM$36</c:f>
              <c:numCache>
                <c:formatCode>General</c:formatCode>
                <c:ptCount val="12"/>
                <c:pt idx="0">
                  <c:v>1.069230769230769</c:v>
                </c:pt>
                <c:pt idx="1">
                  <c:v>0.71282051282051273</c:v>
                </c:pt>
                <c:pt idx="2">
                  <c:v>0.83162393162393156</c:v>
                </c:pt>
                <c:pt idx="3">
                  <c:v>0.89102564102564086</c:v>
                </c:pt>
                <c:pt idx="4">
                  <c:v>0.83162393162393156</c:v>
                </c:pt>
                <c:pt idx="5">
                  <c:v>0.71282051282051273</c:v>
                </c:pt>
                <c:pt idx="6">
                  <c:v>0.80192307692307685</c:v>
                </c:pt>
                <c:pt idx="7">
                  <c:v>0.9673992673992674</c:v>
                </c:pt>
                <c:pt idx="8">
                  <c:v>0.99794871794871787</c:v>
                </c:pt>
                <c:pt idx="9">
                  <c:v>0.85538461538461519</c:v>
                </c:pt>
                <c:pt idx="10">
                  <c:v>0.91648351648351645</c:v>
                </c:pt>
                <c:pt idx="11">
                  <c:v>0.92666666666666664</c:v>
                </c:pt>
              </c:numCache>
            </c:numRef>
          </c:xVal>
          <c:yVal>
            <c:numRef>
              <c:f>'R8P1E'!$AO$25:$AO$36</c:f>
              <c:numCache>
                <c:formatCode>0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AC-1E45-B29F-47D003AB3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R8P1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'R8P1E'!$BH$25:$BH$36</c:f>
              <c:numCache>
                <c:formatCode>0.00</c:formatCode>
                <c:ptCount val="12"/>
                <c:pt idx="0">
                  <c:v>0.96780332964774274</c:v>
                </c:pt>
                <c:pt idx="1">
                  <c:v>1.03511864667583</c:v>
                </c:pt>
                <c:pt idx="2">
                  <c:v>0.97294709120787815</c:v>
                </c:pt>
                <c:pt idx="3">
                  <c:v>1.1897699336758358</c:v>
                </c:pt>
                <c:pt idx="4">
                  <c:v>1.276250208129283</c:v>
                </c:pt>
                <c:pt idx="5">
                  <c:v>1.0145670898154473</c:v>
                </c:pt>
                <c:pt idx="6">
                  <c:v>1.1051563150432726</c:v>
                </c:pt>
                <c:pt idx="7">
                  <c:v>1.0050139085346321</c:v>
                </c:pt>
                <c:pt idx="8">
                  <c:v>1.0184002782037844</c:v>
                </c:pt>
                <c:pt idx="9">
                  <c:v>0.99816161613883736</c:v>
                </c:pt>
                <c:pt idx="10">
                  <c:v>0.9052958013371033</c:v>
                </c:pt>
                <c:pt idx="11">
                  <c:v>0.9007188292536803</c:v>
                </c:pt>
              </c:numCache>
            </c:numRef>
          </c:xVal>
          <c:yVal>
            <c:numRef>
              <c:f>'R8P1E'!$AO$25:$AO$36</c:f>
              <c:numCache>
                <c:formatCode>0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1-BD4E-B044-6741779D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R8P1 Ce/Ce*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'R8P1E'!$BF$25:$BF$36</c:f>
              <c:numCache>
                <c:formatCode>0.00</c:formatCode>
                <c:ptCount val="12"/>
                <c:pt idx="0">
                  <c:v>17.82</c:v>
                </c:pt>
                <c:pt idx="1">
                  <c:v>15.809999999999999</c:v>
                </c:pt>
                <c:pt idx="2">
                  <c:v>26.529999999999998</c:v>
                </c:pt>
                <c:pt idx="3">
                  <c:v>40.29</c:v>
                </c:pt>
                <c:pt idx="4">
                  <c:v>37.269999999999996</c:v>
                </c:pt>
                <c:pt idx="5">
                  <c:v>32.78</c:v>
                </c:pt>
                <c:pt idx="6">
                  <c:v>34.769999999999996</c:v>
                </c:pt>
                <c:pt idx="7">
                  <c:v>25.300000000000004</c:v>
                </c:pt>
                <c:pt idx="8">
                  <c:v>24.839999999999996</c:v>
                </c:pt>
                <c:pt idx="9">
                  <c:v>27.05</c:v>
                </c:pt>
                <c:pt idx="10">
                  <c:v>24.03</c:v>
                </c:pt>
                <c:pt idx="11">
                  <c:v>22.330000000000002</c:v>
                </c:pt>
              </c:numCache>
            </c:numRef>
          </c:xVal>
          <c:yVal>
            <c:numRef>
              <c:f>'R8P1E'!$AO$25:$AO$36</c:f>
              <c:numCache>
                <c:formatCode>0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35-2347-9ECC-B6019BCA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R8H1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763149110751"/>
          <c:y val="0.12483310076284287"/>
          <c:w val="0.26442314625306279"/>
          <c:h val="0.849262355828435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'R8P1E'!$BD$25:$BD$36</c:f>
              <c:numCache>
                <c:formatCode>0.00</c:formatCode>
                <c:ptCount val="12"/>
                <c:pt idx="0">
                  <c:v>30.360000000000007</c:v>
                </c:pt>
                <c:pt idx="1">
                  <c:v>41.1</c:v>
                </c:pt>
                <c:pt idx="2">
                  <c:v>69.69</c:v>
                </c:pt>
                <c:pt idx="3">
                  <c:v>84.719999999999985</c:v>
                </c:pt>
                <c:pt idx="4">
                  <c:v>124.81</c:v>
                </c:pt>
                <c:pt idx="5">
                  <c:v>198.57999999999998</c:v>
                </c:pt>
                <c:pt idx="6">
                  <c:v>181.31000000000003</c:v>
                </c:pt>
                <c:pt idx="7">
                  <c:v>195.58</c:v>
                </c:pt>
                <c:pt idx="8">
                  <c:v>149.22000000000003</c:v>
                </c:pt>
                <c:pt idx="9">
                  <c:v>196.87000000000003</c:v>
                </c:pt>
                <c:pt idx="10">
                  <c:v>170.06999999999996</c:v>
                </c:pt>
                <c:pt idx="11">
                  <c:v>117.48000000000002</c:v>
                </c:pt>
              </c:numCache>
            </c:numRef>
          </c:xVal>
          <c:yVal>
            <c:numRef>
              <c:f>'R8P1E'!$AO$25:$AO$36</c:f>
              <c:numCache>
                <c:formatCode>0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6-9C4C-B5A5-09E0B1291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logBase val="10"/>
          <c:orientation val="minMax"/>
          <c:max val="100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R8P1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R8P1 REE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'R8P1E'!$AO$25</c:f>
              <c:strCache>
                <c:ptCount val="1"/>
                <c:pt idx="0">
                  <c:v>10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'R8P1E'!$AP$25:$BC$25</c:f>
              <c:numCache>
                <c:formatCode>0.00</c:formatCode>
                <c:ptCount val="14"/>
                <c:pt idx="0">
                  <c:v>16.348773841961854</c:v>
                </c:pt>
                <c:pt idx="1">
                  <c:v>13.270637408568442</c:v>
                </c:pt>
                <c:pt idx="2">
                  <c:v>10.875912408759124</c:v>
                </c:pt>
                <c:pt idx="3">
                  <c:v>8.4388185654008439</c:v>
                </c:pt>
                <c:pt idx="4">
                  <c:v>4.7619047619047619</c:v>
                </c:pt>
                <c:pt idx="5">
                  <c:v>3.4482758620689657</c:v>
                </c:pt>
                <c:pt idx="6">
                  <c:v>2.6143790849673203</c:v>
                </c:pt>
                <c:pt idx="7">
                  <c:v>1.7241379310344829</c:v>
                </c:pt>
                <c:pt idx="8">
                  <c:v>1.5748031496062991</c:v>
                </c:pt>
                <c:pt idx="9">
                  <c:v>1.1764705882352942</c:v>
                </c:pt>
                <c:pt idx="10">
                  <c:v>1.606425702811245</c:v>
                </c:pt>
                <c:pt idx="11">
                  <c:v>1.9444444444444449</c:v>
                </c:pt>
                <c:pt idx="12">
                  <c:v>2.4193548387096775</c:v>
                </c:pt>
                <c:pt idx="13">
                  <c:v>2.6315789473684212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D-2247-8E26-D9F6BAD34043}"/>
            </c:ext>
          </c:extLst>
        </c:ser>
        <c:ser>
          <c:idx val="1"/>
          <c:order val="1"/>
          <c:tx>
            <c:strRef>
              <c:f>'R8P1E'!$AO$26</c:f>
              <c:strCache>
                <c:ptCount val="1"/>
                <c:pt idx="0">
                  <c:v>28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'R8P1E'!$AP$26:$BC$26</c:f>
              <c:numCache>
                <c:formatCode>0.00</c:formatCode>
                <c:ptCount val="14"/>
                <c:pt idx="0">
                  <c:v>23.160762942779293</c:v>
                </c:pt>
                <c:pt idx="1">
                  <c:v>19.331243469174506</c:v>
                </c:pt>
                <c:pt idx="2">
                  <c:v>14.014598540145984</c:v>
                </c:pt>
                <c:pt idx="3">
                  <c:v>9.7046413502109719</c:v>
                </c:pt>
                <c:pt idx="4">
                  <c:v>5.6277056277056277</c:v>
                </c:pt>
                <c:pt idx="5">
                  <c:v>4.0229885057471266</c:v>
                </c:pt>
                <c:pt idx="6">
                  <c:v>2.9411764705882355</c:v>
                </c:pt>
                <c:pt idx="7">
                  <c:v>1.7241379310344829</c:v>
                </c:pt>
                <c:pt idx="8">
                  <c:v>2.3622047244094491</c:v>
                </c:pt>
                <c:pt idx="9">
                  <c:v>2.3529411764705883</c:v>
                </c:pt>
                <c:pt idx="10">
                  <c:v>2.0080321285140563</c:v>
                </c:pt>
                <c:pt idx="11">
                  <c:v>2.7777777777777781</c:v>
                </c:pt>
                <c:pt idx="12">
                  <c:v>3.2258064516129035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D-2247-8E26-D9F6BAD34043}"/>
            </c:ext>
          </c:extLst>
        </c:ser>
        <c:ser>
          <c:idx val="2"/>
          <c:order val="2"/>
          <c:tx>
            <c:strRef>
              <c:f>'R8P1E'!$AO$27</c:f>
              <c:strCache>
                <c:ptCount val="1"/>
                <c:pt idx="0">
                  <c:v>52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'R8P1E'!$AP$27:$BC$27</c:f>
              <c:numCache>
                <c:formatCode>0.00</c:formatCode>
                <c:ptCount val="14"/>
                <c:pt idx="0">
                  <c:v>39.509536784741144</c:v>
                </c:pt>
                <c:pt idx="1">
                  <c:v>31.556948798328108</c:v>
                </c:pt>
                <c:pt idx="2">
                  <c:v>25.109489051094886</c:v>
                </c:pt>
                <c:pt idx="3">
                  <c:v>18.284106891701828</c:v>
                </c:pt>
                <c:pt idx="4">
                  <c:v>10.38961038961039</c:v>
                </c:pt>
                <c:pt idx="5">
                  <c:v>7.4712643678160928</c:v>
                </c:pt>
                <c:pt idx="6">
                  <c:v>4.9019607843137258</c:v>
                </c:pt>
                <c:pt idx="7">
                  <c:v>3.4482758620689657</c:v>
                </c:pt>
                <c:pt idx="8">
                  <c:v>3.674540682414698</c:v>
                </c:pt>
                <c:pt idx="9">
                  <c:v>3.5294117647058818</c:v>
                </c:pt>
                <c:pt idx="10">
                  <c:v>3.2128514056224899</c:v>
                </c:pt>
                <c:pt idx="11">
                  <c:v>3.6111111111111116</c:v>
                </c:pt>
                <c:pt idx="12">
                  <c:v>4.032258064516129</c:v>
                </c:pt>
                <c:pt idx="13">
                  <c:v>4.4736842105263159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D-2247-8E26-D9F6BAD34043}"/>
            </c:ext>
          </c:extLst>
        </c:ser>
        <c:ser>
          <c:idx val="3"/>
          <c:order val="3"/>
          <c:tx>
            <c:strRef>
              <c:f>'R8P1E'!$AO$28</c:f>
              <c:strCache>
                <c:ptCount val="1"/>
                <c:pt idx="0">
                  <c:v>92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'R8P1E'!$AP$28:$BC$28</c:f>
              <c:numCache>
                <c:formatCode>0.00</c:formatCode>
                <c:ptCount val="14"/>
                <c:pt idx="0">
                  <c:v>42.779291553133511</c:v>
                </c:pt>
                <c:pt idx="1">
                  <c:v>42.63322884012539</c:v>
                </c:pt>
                <c:pt idx="2">
                  <c:v>28.248175182481749</c:v>
                </c:pt>
                <c:pt idx="3">
                  <c:v>21.940928270042196</c:v>
                </c:pt>
                <c:pt idx="4">
                  <c:v>12.121212121212119</c:v>
                </c:pt>
                <c:pt idx="5">
                  <c:v>8.1609195402298855</c:v>
                </c:pt>
                <c:pt idx="6">
                  <c:v>5.882352941176471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2.3529411764705883</c:v>
                </c:pt>
                <c:pt idx="10">
                  <c:v>2.8112449799196786</c:v>
                </c:pt>
                <c:pt idx="11">
                  <c:v>3.0555555555555558</c:v>
                </c:pt>
                <c:pt idx="12">
                  <c:v>3.2258064516129035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AD-2247-8E26-D9F6BAD34043}"/>
            </c:ext>
          </c:extLst>
        </c:ser>
        <c:ser>
          <c:idx val="4"/>
          <c:order val="4"/>
          <c:tx>
            <c:strRef>
              <c:f>'R8P1E'!$AO$29</c:f>
              <c:strCache>
                <c:ptCount val="1"/>
                <c:pt idx="0">
                  <c:v>140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'R8P1E'!$AP$29:$BC$29</c:f>
              <c:numCache>
                <c:formatCode>0.00</c:formatCode>
                <c:ptCount val="14"/>
                <c:pt idx="0">
                  <c:v>58.038147138964582</c:v>
                </c:pt>
                <c:pt idx="1">
                  <c:v>63.740856844305121</c:v>
                </c:pt>
                <c:pt idx="2">
                  <c:v>43.722627737226276</c:v>
                </c:pt>
                <c:pt idx="3">
                  <c:v>33.755274261603375</c:v>
                </c:pt>
                <c:pt idx="4">
                  <c:v>19.047619047619047</c:v>
                </c:pt>
                <c:pt idx="5">
                  <c:v>12.988505747126437</c:v>
                </c:pt>
                <c:pt idx="6">
                  <c:v>8.4967320261437909</c:v>
                </c:pt>
                <c:pt idx="7">
                  <c:v>5.1724137931034475</c:v>
                </c:pt>
                <c:pt idx="8">
                  <c:v>4.4619422572178475</c:v>
                </c:pt>
                <c:pt idx="9">
                  <c:v>3.5294117647058818</c:v>
                </c:pt>
                <c:pt idx="10">
                  <c:v>3.6144578313253013</c:v>
                </c:pt>
                <c:pt idx="11">
                  <c:v>3.8888888888888897</c:v>
                </c:pt>
                <c:pt idx="12">
                  <c:v>3.6290322580645165</c:v>
                </c:pt>
                <c:pt idx="13">
                  <c:v>3.9473684210526314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AD-2247-8E26-D9F6BAD34043}"/>
            </c:ext>
          </c:extLst>
        </c:ser>
        <c:ser>
          <c:idx val="5"/>
          <c:order val="5"/>
          <c:tx>
            <c:strRef>
              <c:f>'R8P1E'!$AO$30</c:f>
              <c:strCache>
                <c:ptCount val="1"/>
                <c:pt idx="0">
                  <c:v>190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'R8P1E'!$AP$30:$BC$30</c:f>
              <c:numCache>
                <c:formatCode>0.00</c:formatCode>
                <c:ptCount val="14"/>
                <c:pt idx="0">
                  <c:v>99.182561307901906</c:v>
                </c:pt>
                <c:pt idx="1">
                  <c:v>86.729362591431567</c:v>
                </c:pt>
                <c:pt idx="2">
                  <c:v>76.642335766423358</c:v>
                </c:pt>
                <c:pt idx="3">
                  <c:v>58.08720112517581</c:v>
                </c:pt>
                <c:pt idx="4">
                  <c:v>36.363636363636367</c:v>
                </c:pt>
                <c:pt idx="5">
                  <c:v>24.367816091954026</c:v>
                </c:pt>
                <c:pt idx="6">
                  <c:v>19.607843137254903</c:v>
                </c:pt>
                <c:pt idx="7">
                  <c:v>13.793103448275863</c:v>
                </c:pt>
                <c:pt idx="8">
                  <c:v>11.023622047244094</c:v>
                </c:pt>
                <c:pt idx="9">
                  <c:v>9.4117647058823533</c:v>
                </c:pt>
                <c:pt idx="10">
                  <c:v>8.8353413654618489</c:v>
                </c:pt>
                <c:pt idx="11">
                  <c:v>8.6111111111111125</c:v>
                </c:pt>
                <c:pt idx="12">
                  <c:v>8.870967741935484</c:v>
                </c:pt>
                <c:pt idx="13">
                  <c:v>9.2105263157894726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AD-2247-8E26-D9F6BAD34043}"/>
            </c:ext>
          </c:extLst>
        </c:ser>
        <c:ser>
          <c:idx val="6"/>
          <c:order val="6"/>
          <c:tx>
            <c:strRef>
              <c:f>'R8P1E'!$AO$31</c:f>
              <c:strCache>
                <c:ptCount val="1"/>
                <c:pt idx="0">
                  <c:v>245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'R8P1E'!$AP$31:$BC$31</c:f>
              <c:numCache>
                <c:formatCode>0.00</c:formatCode>
                <c:ptCount val="14"/>
                <c:pt idx="0">
                  <c:v>90.190735694822891</c:v>
                </c:pt>
                <c:pt idx="1">
                  <c:v>84.221525600835946</c:v>
                </c:pt>
                <c:pt idx="2">
                  <c:v>63.430656934306562</c:v>
                </c:pt>
                <c:pt idx="3">
                  <c:v>48.241912798874822</c:v>
                </c:pt>
                <c:pt idx="4">
                  <c:v>29.870129870129869</c:v>
                </c:pt>
                <c:pt idx="5">
                  <c:v>20.344827586206897</c:v>
                </c:pt>
                <c:pt idx="6">
                  <c:v>17.320261437908496</c:v>
                </c:pt>
                <c:pt idx="7">
                  <c:v>13.793103448275863</c:v>
                </c:pt>
                <c:pt idx="8">
                  <c:v>10.761154855643044</c:v>
                </c:pt>
                <c:pt idx="9">
                  <c:v>9.4117647058823533</c:v>
                </c:pt>
                <c:pt idx="10">
                  <c:v>8.8353413654618489</c:v>
                </c:pt>
                <c:pt idx="11">
                  <c:v>8.6111111111111125</c:v>
                </c:pt>
                <c:pt idx="12">
                  <c:v>8.4677419354838719</c:v>
                </c:pt>
                <c:pt idx="13">
                  <c:v>8.9473684210526319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AD-2247-8E26-D9F6BAD34043}"/>
            </c:ext>
          </c:extLst>
        </c:ser>
        <c:ser>
          <c:idx val="7"/>
          <c:order val="7"/>
          <c:tx>
            <c:strRef>
              <c:f>'R8P1E'!$AO$32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'R8P1E'!$AP$32:$BC$32</c:f>
              <c:numCache>
                <c:formatCode>0.00</c:formatCode>
                <c:ptCount val="14"/>
                <c:pt idx="0">
                  <c:v>108.17438692098094</c:v>
                </c:pt>
                <c:pt idx="1">
                  <c:v>89.864158829676072</c:v>
                </c:pt>
                <c:pt idx="2">
                  <c:v>70.802919708029179</c:v>
                </c:pt>
                <c:pt idx="3">
                  <c:v>51.898734177215189</c:v>
                </c:pt>
                <c:pt idx="4">
                  <c:v>29.437229437229433</c:v>
                </c:pt>
                <c:pt idx="5">
                  <c:v>17.816091954022991</c:v>
                </c:pt>
                <c:pt idx="6">
                  <c:v>17.320261437908496</c:v>
                </c:pt>
                <c:pt idx="7">
                  <c:v>12.068965517241377</c:v>
                </c:pt>
                <c:pt idx="8">
                  <c:v>10.498687664041995</c:v>
                </c:pt>
                <c:pt idx="9">
                  <c:v>8.235294117647058</c:v>
                </c:pt>
                <c:pt idx="10">
                  <c:v>8.4337349397590362</c:v>
                </c:pt>
                <c:pt idx="11">
                  <c:v>7.5000000000000009</c:v>
                </c:pt>
                <c:pt idx="12">
                  <c:v>6.4516129032258069</c:v>
                </c:pt>
                <c:pt idx="13">
                  <c:v>6.8421052631578956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AD-2247-8E26-D9F6BAD34043}"/>
            </c:ext>
          </c:extLst>
        </c:ser>
        <c:ser>
          <c:idx val="8"/>
          <c:order val="8"/>
          <c:tx>
            <c:strRef>
              <c:f>'R8P1E'!$AO$33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'R8P1E'!$AP$33:$BC$33</c:f>
              <c:numCache>
                <c:formatCode>0.00</c:formatCode>
                <c:ptCount val="14"/>
                <c:pt idx="0">
                  <c:v>82.561307901907355</c:v>
                </c:pt>
                <c:pt idx="1">
                  <c:v>69.278996865203766</c:v>
                </c:pt>
                <c:pt idx="2">
                  <c:v>54.160583941605836</c:v>
                </c:pt>
                <c:pt idx="3">
                  <c:v>38.959212376933898</c:v>
                </c:pt>
                <c:pt idx="4">
                  <c:v>21.645021645021643</c:v>
                </c:pt>
                <c:pt idx="5">
                  <c:v>16.091954022988507</c:v>
                </c:pt>
                <c:pt idx="6">
                  <c:v>13.071895424836601</c:v>
                </c:pt>
                <c:pt idx="7">
                  <c:v>8.6206896551724128</c:v>
                </c:pt>
                <c:pt idx="8">
                  <c:v>7.6115485564304457</c:v>
                </c:pt>
                <c:pt idx="9">
                  <c:v>5.8823529411764701</c:v>
                </c:pt>
                <c:pt idx="10">
                  <c:v>6.024096385542169</c:v>
                </c:pt>
                <c:pt idx="11">
                  <c:v>5.8333333333333339</c:v>
                </c:pt>
                <c:pt idx="12">
                  <c:v>5.241935483870968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AD-2247-8E26-D9F6BAD34043}"/>
            </c:ext>
          </c:extLst>
        </c:ser>
        <c:ser>
          <c:idx val="9"/>
          <c:order val="9"/>
          <c:tx>
            <c:strRef>
              <c:f>'R8P1E'!$AO$34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'R8P1E'!$AP$34:$BC$34</c:f>
              <c:numCache>
                <c:formatCode>0.00</c:formatCode>
                <c:ptCount val="14"/>
                <c:pt idx="0">
                  <c:v>101.63487738419617</c:v>
                </c:pt>
                <c:pt idx="1">
                  <c:v>85.788923719958206</c:v>
                </c:pt>
                <c:pt idx="2">
                  <c:v>73.722627737226276</c:v>
                </c:pt>
                <c:pt idx="3">
                  <c:v>54.571026722925453</c:v>
                </c:pt>
                <c:pt idx="4">
                  <c:v>33.766233766233761</c:v>
                </c:pt>
                <c:pt idx="5">
                  <c:v>22.183908045977013</c:v>
                </c:pt>
                <c:pt idx="6">
                  <c:v>19.607843137254903</c:v>
                </c:pt>
                <c:pt idx="7">
                  <c:v>15.517241379310345</c:v>
                </c:pt>
                <c:pt idx="8">
                  <c:v>13.385826771653543</c:v>
                </c:pt>
                <c:pt idx="9">
                  <c:v>11.76470588235294</c:v>
                </c:pt>
                <c:pt idx="10">
                  <c:v>10.843373493975905</c:v>
                </c:pt>
                <c:pt idx="11">
                  <c:v>10.277777777777779</c:v>
                </c:pt>
                <c:pt idx="12">
                  <c:v>9.67741935483871</c:v>
                </c:pt>
                <c:pt idx="13">
                  <c:v>9.7368421052631575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AD-2247-8E26-D9F6BAD34043}"/>
            </c:ext>
          </c:extLst>
        </c:ser>
        <c:ser>
          <c:idx val="10"/>
          <c:order val="10"/>
          <c:tx>
            <c:strRef>
              <c:f>'R8P1E'!$AO$35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'R8P1E'!$AP$35:$BC$35</c:f>
              <c:numCache>
                <c:formatCode>0.00</c:formatCode>
                <c:ptCount val="14"/>
                <c:pt idx="0">
                  <c:v>96.457765667574932</c:v>
                </c:pt>
                <c:pt idx="1">
                  <c:v>72.518286311389772</c:v>
                </c:pt>
                <c:pt idx="2">
                  <c:v>64.233576642335763</c:v>
                </c:pt>
                <c:pt idx="3">
                  <c:v>47.398030942334749</c:v>
                </c:pt>
                <c:pt idx="4">
                  <c:v>28.138528138528137</c:v>
                </c:pt>
                <c:pt idx="5">
                  <c:v>18.850574712643677</c:v>
                </c:pt>
                <c:pt idx="6">
                  <c:v>17.320261437908496</c:v>
                </c:pt>
                <c:pt idx="7">
                  <c:v>12.068965517241377</c:v>
                </c:pt>
                <c:pt idx="8">
                  <c:v>9.7112860892388451</c:v>
                </c:pt>
                <c:pt idx="9">
                  <c:v>8.235294117647058</c:v>
                </c:pt>
                <c:pt idx="10">
                  <c:v>8.0321285140562253</c:v>
                </c:pt>
                <c:pt idx="11">
                  <c:v>7.2222222222222232</c:v>
                </c:pt>
                <c:pt idx="12">
                  <c:v>6.854838709677419</c:v>
                </c:pt>
                <c:pt idx="13">
                  <c:v>7.1052631578947372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AD-2247-8E26-D9F6BAD34043}"/>
            </c:ext>
          </c:extLst>
        </c:ser>
        <c:ser>
          <c:idx val="11"/>
          <c:order val="11"/>
          <c:tx>
            <c:strRef>
              <c:f>'R8P1E'!$AO$36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'R8P1E'!$AP$22:$BC$22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'R8P1E'!$AP$36:$BC$36</c:f>
              <c:numCache>
                <c:formatCode>0.00</c:formatCode>
                <c:ptCount val="14"/>
                <c:pt idx="0">
                  <c:v>66.757493188010898</c:v>
                </c:pt>
                <c:pt idx="1">
                  <c:v>50.052246603970744</c:v>
                </c:pt>
                <c:pt idx="2">
                  <c:v>44.89051094890511</c:v>
                </c:pt>
                <c:pt idx="3">
                  <c:v>33.192686357243325</c:v>
                </c:pt>
                <c:pt idx="4">
                  <c:v>19.480519480519479</c:v>
                </c:pt>
                <c:pt idx="5">
                  <c:v>14.597701149425289</c:v>
                </c:pt>
                <c:pt idx="6">
                  <c:v>10.784313725490195</c:v>
                </c:pt>
                <c:pt idx="7">
                  <c:v>6.8965517241379315</c:v>
                </c:pt>
                <c:pt idx="8">
                  <c:v>6.5616797900262469</c:v>
                </c:pt>
                <c:pt idx="9">
                  <c:v>5.8823529411764701</c:v>
                </c:pt>
                <c:pt idx="10">
                  <c:v>5.2208835341365463</c:v>
                </c:pt>
                <c:pt idx="11">
                  <c:v>5</c:v>
                </c:pt>
                <c:pt idx="12">
                  <c:v>4.838709677419355</c:v>
                </c:pt>
                <c:pt idx="13">
                  <c:v>4.7368421052631575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AD-2247-8E26-D9F6BAD3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109496"/>
        <c:axId val="-2136209928"/>
      </c:lineChart>
      <c:catAx>
        <c:axId val="2121109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6209928"/>
        <c:crosses val="autoZero"/>
        <c:auto val="1"/>
        <c:lblAlgn val="ctr"/>
        <c:lblOffset val="100"/>
        <c:noMultiLvlLbl val="0"/>
      </c:catAx>
      <c:valAx>
        <c:axId val="-2136209928"/>
        <c:scaling>
          <c:logBase val="10"/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21211094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'R8P1E'!$BD$25:$BD$36</c:f>
              <c:numCache>
                <c:formatCode>0.00</c:formatCode>
                <c:ptCount val="12"/>
                <c:pt idx="0">
                  <c:v>30.360000000000007</c:v>
                </c:pt>
                <c:pt idx="1">
                  <c:v>41.1</c:v>
                </c:pt>
                <c:pt idx="2">
                  <c:v>69.69</c:v>
                </c:pt>
                <c:pt idx="3">
                  <c:v>84.719999999999985</c:v>
                </c:pt>
                <c:pt idx="4">
                  <c:v>124.81</c:v>
                </c:pt>
                <c:pt idx="5">
                  <c:v>198.57999999999998</c:v>
                </c:pt>
                <c:pt idx="6">
                  <c:v>181.31000000000003</c:v>
                </c:pt>
                <c:pt idx="7">
                  <c:v>195.58</c:v>
                </c:pt>
                <c:pt idx="8">
                  <c:v>149.22000000000003</c:v>
                </c:pt>
                <c:pt idx="9">
                  <c:v>196.87000000000003</c:v>
                </c:pt>
                <c:pt idx="10">
                  <c:v>170.06999999999996</c:v>
                </c:pt>
                <c:pt idx="11">
                  <c:v>117.48000000000002</c:v>
                </c:pt>
              </c:numCache>
            </c:numRef>
          </c:xVal>
          <c:yVal>
            <c:numRef>
              <c:f>'R8P1E'!$AO$25:$AO$36</c:f>
              <c:numCache>
                <c:formatCode>0</c:formatCode>
                <c:ptCount val="12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D-704C-B458-384F4F87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632312"/>
        <c:axId val="-2136054488"/>
      </c:scatterChart>
      <c:valAx>
        <c:axId val="2116632312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R8P1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6054488"/>
        <c:crosses val="autoZero"/>
        <c:crossBetween val="midCat"/>
      </c:valAx>
      <c:valAx>
        <c:axId val="-2136054488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16632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R8P1</c:v>
          </c:tx>
          <c:spPr>
            <a:ln w="47625">
              <a:solidFill>
                <a:srgbClr val="FEA817"/>
              </a:solidFill>
            </a:ln>
          </c:spPr>
          <c:marker>
            <c:symbol val="circle"/>
            <c:size val="14"/>
            <c:spPr>
              <a:solidFill>
                <a:srgbClr val="FEA817"/>
              </a:solidFill>
              <a:ln>
                <a:solidFill>
                  <a:srgbClr val="FEA817"/>
                </a:solidFill>
              </a:ln>
            </c:spPr>
          </c:marker>
          <c:xVal>
            <c:numRef>
              <c:f>'R8P1E'!$P$7:$P$20</c:f>
              <c:numCache>
                <c:formatCode>General</c:formatCode>
                <c:ptCount val="14"/>
                <c:pt idx="0">
                  <c:v>5.38</c:v>
                </c:pt>
                <c:pt idx="1">
                  <c:v>2.75</c:v>
                </c:pt>
                <c:pt idx="2">
                  <c:v>5.88</c:v>
                </c:pt>
                <c:pt idx="3">
                  <c:v>10.48</c:v>
                </c:pt>
                <c:pt idx="4">
                  <c:v>9.09</c:v>
                </c:pt>
                <c:pt idx="5">
                  <c:v>7.37</c:v>
                </c:pt>
                <c:pt idx="6">
                  <c:v>7.58</c:v>
                </c:pt>
                <c:pt idx="7">
                  <c:v>2.4900000000000002</c:v>
                </c:pt>
                <c:pt idx="8">
                  <c:v>2.2400000000000002</c:v>
                </c:pt>
                <c:pt idx="9">
                  <c:v>2.48</c:v>
                </c:pt>
                <c:pt idx="10">
                  <c:v>2.14</c:v>
                </c:pt>
                <c:pt idx="11">
                  <c:v>2.0499999999999998</c:v>
                </c:pt>
                <c:pt idx="12">
                  <c:v>0.89</c:v>
                </c:pt>
                <c:pt idx="13">
                  <c:v>0.37</c:v>
                </c:pt>
              </c:numCache>
            </c:numRef>
          </c:xVal>
          <c:yVal>
            <c:numRef>
              <c:f>'R8P1E'!$E$7:$E$20</c:f>
              <c:numCache>
                <c:formatCode>General</c:formatCode>
                <c:ptCount val="14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  <c:pt idx="12">
                  <c:v>1000</c:v>
                </c:pt>
                <c:pt idx="13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D9-4F40-8CE0-1E237868BBC8}"/>
            </c:ext>
          </c:extLst>
        </c:ser>
        <c:ser>
          <c:idx val="1"/>
          <c:order val="1"/>
          <c:tx>
            <c:v>R8H1</c:v>
          </c:tx>
          <c:spPr>
            <a:ln w="476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14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'R8H1E'!$P$7:$P$21</c:f>
              <c:numCache>
                <c:formatCode>General</c:formatCode>
                <c:ptCount val="15"/>
                <c:pt idx="0">
                  <c:v>7.47</c:v>
                </c:pt>
                <c:pt idx="1">
                  <c:v>11.89</c:v>
                </c:pt>
                <c:pt idx="2">
                  <c:v>11.26</c:v>
                </c:pt>
                <c:pt idx="3">
                  <c:v>10.73</c:v>
                </c:pt>
                <c:pt idx="4">
                  <c:v>8.77</c:v>
                </c:pt>
                <c:pt idx="5">
                  <c:v>8.08</c:v>
                </c:pt>
                <c:pt idx="6">
                  <c:v>5.2</c:v>
                </c:pt>
                <c:pt idx="7">
                  <c:v>4.2699999999999996</c:v>
                </c:pt>
                <c:pt idx="8">
                  <c:v>4.13</c:v>
                </c:pt>
                <c:pt idx="9">
                  <c:v>3.92</c:v>
                </c:pt>
                <c:pt idx="10">
                  <c:v>3.85</c:v>
                </c:pt>
                <c:pt idx="11">
                  <c:v>4.21</c:v>
                </c:pt>
                <c:pt idx="12">
                  <c:v>3.38</c:v>
                </c:pt>
                <c:pt idx="13">
                  <c:v>0.89</c:v>
                </c:pt>
                <c:pt idx="14">
                  <c:v>0.37</c:v>
                </c:pt>
              </c:numCache>
            </c:numRef>
          </c:xVal>
          <c:yVal>
            <c:numRef>
              <c:f>'R8H1E'!$E$7:$E$21</c:f>
              <c:numCache>
                <c:formatCode>General</c:formatCode>
                <c:ptCount val="15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  <c:pt idx="13">
                  <c:v>1500</c:v>
                </c:pt>
                <c:pt idx="1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D9-4F40-8CE0-1E237868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Loss on Ignition Wt%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3602405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R8P1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'R8P1E'!$BK$7:$BK$19</c:f>
              <c:numCache>
                <c:formatCode>0.0</c:formatCode>
                <c:ptCount val="13"/>
                <c:pt idx="0">
                  <c:v>74.143556280587291</c:v>
                </c:pt>
                <c:pt idx="1">
                  <c:v>76.149914821124369</c:v>
                </c:pt>
                <c:pt idx="2">
                  <c:v>82.687056253413431</c:v>
                </c:pt>
                <c:pt idx="3">
                  <c:v>88.010794140323824</c:v>
                </c:pt>
                <c:pt idx="4">
                  <c:v>85.110434120335128</c:v>
                </c:pt>
                <c:pt idx="5">
                  <c:v>79.388015299617507</c:v>
                </c:pt>
                <c:pt idx="6">
                  <c:v>74.469726185885065</c:v>
                </c:pt>
                <c:pt idx="7">
                  <c:v>67.46788230418565</c:v>
                </c:pt>
                <c:pt idx="8">
                  <c:v>65.71541815299247</c:v>
                </c:pt>
                <c:pt idx="9">
                  <c:v>61.829878484631884</c:v>
                </c:pt>
                <c:pt idx="10">
                  <c:v>64.652317880794712</c:v>
                </c:pt>
                <c:pt idx="11">
                  <c:v>64.373153229210644</c:v>
                </c:pt>
                <c:pt idx="12">
                  <c:v>65.087636191378493</c:v>
                </c:pt>
              </c:numCache>
            </c:numRef>
          </c:xVal>
          <c:yVal>
            <c:numRef>
              <c:f>'R8P1E'!$E$7:$E$19</c:f>
              <c:numCache>
                <c:formatCode>General</c:formatCode>
                <c:ptCount val="13"/>
                <c:pt idx="0">
                  <c:v>10</c:v>
                </c:pt>
                <c:pt idx="1">
                  <c:v>27.5</c:v>
                </c:pt>
                <c:pt idx="2">
                  <c:v>51.5</c:v>
                </c:pt>
                <c:pt idx="3">
                  <c:v>92</c:v>
                </c:pt>
                <c:pt idx="4">
                  <c:v>140</c:v>
                </c:pt>
                <c:pt idx="5">
                  <c:v>189.5</c:v>
                </c:pt>
                <c:pt idx="6">
                  <c:v>245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  <c:pt idx="1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C-9948-A816-C12F736C1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Na2O vs albite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658617905801E-2"/>
          <c:y val="0.16409490813648295"/>
          <c:w val="0.80916907261592297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v>Na vs albite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'R8P1E'!$L$7:$L$19</c:f>
              <c:numCache>
                <c:formatCode>General</c:formatCode>
                <c:ptCount val="13"/>
                <c:pt idx="0">
                  <c:v>1.43</c:v>
                </c:pt>
                <c:pt idx="1">
                  <c:v>1.38</c:v>
                </c:pt>
                <c:pt idx="2">
                  <c:v>1.29</c:v>
                </c:pt>
                <c:pt idx="3">
                  <c:v>0.99</c:v>
                </c:pt>
                <c:pt idx="4">
                  <c:v>1.58</c:v>
                </c:pt>
                <c:pt idx="5">
                  <c:v>1.77</c:v>
                </c:pt>
                <c:pt idx="6">
                  <c:v>1.96</c:v>
                </c:pt>
                <c:pt idx="7">
                  <c:v>4</c:v>
                </c:pt>
                <c:pt idx="8">
                  <c:v>4.1900000000000004</c:v>
                </c:pt>
                <c:pt idx="9">
                  <c:v>4.03</c:v>
                </c:pt>
                <c:pt idx="10">
                  <c:v>3.84</c:v>
                </c:pt>
                <c:pt idx="11">
                  <c:v>4.08</c:v>
                </c:pt>
                <c:pt idx="12">
                  <c:v>3.91</c:v>
                </c:pt>
              </c:numCache>
            </c:numRef>
          </c:xVal>
          <c:yVal>
            <c:numRef>
              <c:f>'R8P1E'!$BN$7:$BN$19</c:f>
              <c:numCache>
                <c:formatCode>0.00</c:formatCode>
                <c:ptCount val="13"/>
                <c:pt idx="0">
                  <c:v>9.5354523227383872E-2</c:v>
                </c:pt>
                <c:pt idx="1">
                  <c:v>6.9644041565332743E-2</c:v>
                </c:pt>
                <c:pt idx="2">
                  <c:v>5.6183585801492193E-2</c:v>
                </c:pt>
                <c:pt idx="3">
                  <c:v>9.734215543344174E-2</c:v>
                </c:pt>
                <c:pt idx="4">
                  <c:v>0.17486213235294115</c:v>
                </c:pt>
                <c:pt idx="5">
                  <c:v>0.25034324942791758</c:v>
                </c:pt>
                <c:pt idx="6">
                  <c:v>0.25431692705274284</c:v>
                </c:pt>
                <c:pt idx="7">
                  <c:v>0.27286219888115076</c:v>
                </c:pt>
                <c:pt idx="8">
                  <c:v>0.28517110266159695</c:v>
                </c:pt>
                <c:pt idx="9">
                  <c:v>0.32911963882618506</c:v>
                </c:pt>
                <c:pt idx="10">
                  <c:v>0.2947023607816559</c:v>
                </c:pt>
                <c:pt idx="11">
                  <c:v>0.28823395539371871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2F-DB45-AF65-D7653AEE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45424"/>
        <c:axId val="723950016"/>
      </c:scatterChart>
      <c:valAx>
        <c:axId val="72424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Wt 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50016"/>
        <c:crosses val="autoZero"/>
        <c:crossBetween val="midCat"/>
      </c:valAx>
      <c:valAx>
        <c:axId val="72395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Wt fraction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2705271216097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24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R8H1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292816457707787"/>
          <c:y val="0.21185086477067477"/>
          <c:w val="0.73854508231472693"/>
          <c:h val="0.67877353571681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'R8H1E'!$F$30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'R8H1E'!$F$31:$F$41</c:f>
              <c:numCache>
                <c:formatCode>0.00</c:formatCode>
                <c:ptCount val="11"/>
                <c:pt idx="0">
                  <c:v>8.0911962209463173E-2</c:v>
                </c:pt>
                <c:pt idx="1">
                  <c:v>-0.33500934806898752</c:v>
                </c:pt>
                <c:pt idx="2">
                  <c:v>-0.32552744278020784</c:v>
                </c:pt>
                <c:pt idx="3">
                  <c:v>-0.30843888470955161</c:v>
                </c:pt>
                <c:pt idx="4">
                  <c:v>0.2235082494947751</c:v>
                </c:pt>
                <c:pt idx="5">
                  <c:v>-9.1522833036394857E-2</c:v>
                </c:pt>
                <c:pt idx="6">
                  <c:v>-2.3191365385804907E-2</c:v>
                </c:pt>
                <c:pt idx="7">
                  <c:v>0.17212314834877795</c:v>
                </c:pt>
                <c:pt idx="8">
                  <c:v>0.13161131611316135</c:v>
                </c:pt>
                <c:pt idx="9">
                  <c:v>9.2249334767593227E-2</c:v>
                </c:pt>
                <c:pt idx="10">
                  <c:v>0</c:v>
                </c:pt>
              </c:numCache>
            </c:numRef>
          </c:xVal>
          <c:yVal>
            <c:numRef>
              <c:f>'R8H1E'!$E$7:$E$17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87-C54E-96F5-E11CA38DD808}"/>
            </c:ext>
          </c:extLst>
        </c:ser>
        <c:ser>
          <c:idx val="1"/>
          <c:order val="1"/>
          <c:tx>
            <c:strRef>
              <c:f>'R8H1E'!$G$30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'R8H1E'!$G$31:$G$41</c:f>
              <c:numCache>
                <c:formatCode>0.00</c:formatCode>
                <c:ptCount val="11"/>
                <c:pt idx="0">
                  <c:v>-0.21106103890878358</c:v>
                </c:pt>
                <c:pt idx="1">
                  <c:v>9.0170200780590015E-2</c:v>
                </c:pt>
                <c:pt idx="2">
                  <c:v>0.18191406752845518</c:v>
                </c:pt>
                <c:pt idx="3">
                  <c:v>0.13944680801364973</c:v>
                </c:pt>
                <c:pt idx="4">
                  <c:v>0.71731375932076058</c:v>
                </c:pt>
                <c:pt idx="5">
                  <c:v>0.3440927141627943</c:v>
                </c:pt>
                <c:pt idx="6">
                  <c:v>0.11466153791509393</c:v>
                </c:pt>
                <c:pt idx="7">
                  <c:v>0.2273729740297028</c:v>
                </c:pt>
                <c:pt idx="8">
                  <c:v>0.19499211328169319</c:v>
                </c:pt>
                <c:pt idx="9">
                  <c:v>0.15055254307090404</c:v>
                </c:pt>
                <c:pt idx="10">
                  <c:v>0</c:v>
                </c:pt>
              </c:numCache>
            </c:numRef>
          </c:xVal>
          <c:yVal>
            <c:numRef>
              <c:f>'R8H1E'!$E$7:$E$17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87-C54E-96F5-E11CA38DD808}"/>
            </c:ext>
          </c:extLst>
        </c:ser>
        <c:ser>
          <c:idx val="2"/>
          <c:order val="2"/>
          <c:tx>
            <c:strRef>
              <c:f>'R8H1E'!$H$30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'R8H1E'!$H$31:$H$41</c:f>
              <c:numCache>
                <c:formatCode>0.00</c:formatCode>
                <c:ptCount val="11"/>
                <c:pt idx="0">
                  <c:v>-0.20055439451991175</c:v>
                </c:pt>
                <c:pt idx="1">
                  <c:v>0.1148844769534425</c:v>
                </c:pt>
                <c:pt idx="2">
                  <c:v>0.11889955306325373</c:v>
                </c:pt>
                <c:pt idx="3">
                  <c:v>0.11757551247997111</c:v>
                </c:pt>
                <c:pt idx="4">
                  <c:v>0.12300593782075264</c:v>
                </c:pt>
                <c:pt idx="5">
                  <c:v>0.25285682143829868</c:v>
                </c:pt>
                <c:pt idx="6">
                  <c:v>6.6888349864674401E-2</c:v>
                </c:pt>
                <c:pt idx="7">
                  <c:v>0.11093482821231526</c:v>
                </c:pt>
                <c:pt idx="8">
                  <c:v>5.9218672994810762E-2</c:v>
                </c:pt>
                <c:pt idx="9">
                  <c:v>5.8665082194493845E-2</c:v>
                </c:pt>
                <c:pt idx="10">
                  <c:v>0</c:v>
                </c:pt>
              </c:numCache>
            </c:numRef>
          </c:xVal>
          <c:yVal>
            <c:numRef>
              <c:f>'R8H1E'!$E$7:$E$17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87-C54E-96F5-E11CA38DD808}"/>
            </c:ext>
          </c:extLst>
        </c:ser>
        <c:ser>
          <c:idx val="3"/>
          <c:order val="3"/>
          <c:tx>
            <c:strRef>
              <c:f>'R8H1E'!$J$30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'R8H1E'!$J$31:$J$41</c:f>
              <c:numCache>
                <c:formatCode>0.00</c:formatCode>
                <c:ptCount val="11"/>
                <c:pt idx="0">
                  <c:v>-0.51508620689655171</c:v>
                </c:pt>
                <c:pt idx="1">
                  <c:v>-0.4568965517241379</c:v>
                </c:pt>
                <c:pt idx="2">
                  <c:v>-0.35498220640569411</c:v>
                </c:pt>
                <c:pt idx="3">
                  <c:v>-0.19927206551410381</c:v>
                </c:pt>
                <c:pt idx="4">
                  <c:v>0.20370370370370372</c:v>
                </c:pt>
                <c:pt idx="5">
                  <c:v>1.2098475967174678</c:v>
                </c:pt>
                <c:pt idx="6">
                  <c:v>0.79255918827508443</c:v>
                </c:pt>
                <c:pt idx="7">
                  <c:v>0.8913612565445026</c:v>
                </c:pt>
                <c:pt idx="8">
                  <c:v>0.13161131611316135</c:v>
                </c:pt>
                <c:pt idx="9">
                  <c:v>-0.10588235294117632</c:v>
                </c:pt>
                <c:pt idx="10">
                  <c:v>0</c:v>
                </c:pt>
              </c:numCache>
            </c:numRef>
          </c:xVal>
          <c:yVal>
            <c:numRef>
              <c:f>'R8H1E'!$E$7:$E$17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87-C54E-96F5-E11CA38DD808}"/>
            </c:ext>
          </c:extLst>
        </c:ser>
        <c:ser>
          <c:idx val="4"/>
          <c:order val="4"/>
          <c:tx>
            <c:strRef>
              <c:f>'R8H1E'!$K$30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'R8H1E'!$K$31:$K$41</c:f>
              <c:numCache>
                <c:formatCode>0.00</c:formatCode>
                <c:ptCount val="11"/>
                <c:pt idx="0">
                  <c:v>-0.82165663200145955</c:v>
                </c:pt>
                <c:pt idx="1">
                  <c:v>-0.93285896734172591</c:v>
                </c:pt>
                <c:pt idx="2">
                  <c:v>-0.91771639458472198</c:v>
                </c:pt>
                <c:pt idx="3">
                  <c:v>-0.90698614902436558</c:v>
                </c:pt>
                <c:pt idx="4">
                  <c:v>-0.63942778757593566</c:v>
                </c:pt>
                <c:pt idx="5">
                  <c:v>-0.57200543367014633</c:v>
                </c:pt>
                <c:pt idx="6">
                  <c:v>-0.50060545325483319</c:v>
                </c:pt>
                <c:pt idx="7">
                  <c:v>-0.29277819330175336</c:v>
                </c:pt>
                <c:pt idx="8">
                  <c:v>-0.23361773300272659</c:v>
                </c:pt>
                <c:pt idx="9">
                  <c:v>-2.0728291316526426E-2</c:v>
                </c:pt>
                <c:pt idx="10">
                  <c:v>0</c:v>
                </c:pt>
              </c:numCache>
            </c:numRef>
          </c:xVal>
          <c:yVal>
            <c:numRef>
              <c:f>'R8H1E'!$E$7:$E$17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87-C54E-96F5-E11CA38DD808}"/>
            </c:ext>
          </c:extLst>
        </c:ser>
        <c:ser>
          <c:idx val="5"/>
          <c:order val="5"/>
          <c:tx>
            <c:strRef>
              <c:f>'R8H1E'!$L$30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'R8H1E'!$L$31:$L$41</c:f>
              <c:numCache>
                <c:formatCode>0.00</c:formatCode>
                <c:ptCount val="11"/>
                <c:pt idx="0">
                  <c:v>-0.7392801164352889</c:v>
                </c:pt>
                <c:pt idx="1">
                  <c:v>-0.91244961934617108</c:v>
                </c:pt>
                <c:pt idx="2">
                  <c:v>-0.88041318112492495</c:v>
                </c:pt>
                <c:pt idx="3">
                  <c:v>-0.88584663743899417</c:v>
                </c:pt>
                <c:pt idx="4">
                  <c:v>-0.52343952343952338</c:v>
                </c:pt>
                <c:pt idx="5">
                  <c:v>-0.45372329897535046</c:v>
                </c:pt>
                <c:pt idx="6">
                  <c:v>-0.32312332537811694</c:v>
                </c:pt>
                <c:pt idx="7">
                  <c:v>-3.8213095804718766E-2</c:v>
                </c:pt>
                <c:pt idx="8">
                  <c:v>-5.2091819619494717E-2</c:v>
                </c:pt>
                <c:pt idx="9">
                  <c:v>1.5584415584415812E-2</c:v>
                </c:pt>
                <c:pt idx="10">
                  <c:v>0</c:v>
                </c:pt>
              </c:numCache>
            </c:numRef>
          </c:xVal>
          <c:yVal>
            <c:numRef>
              <c:f>'R8H1E'!$E$7:$E$17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87-C54E-96F5-E11CA38DD808}"/>
            </c:ext>
          </c:extLst>
        </c:ser>
        <c:ser>
          <c:idx val="6"/>
          <c:order val="6"/>
          <c:tx>
            <c:strRef>
              <c:f>'R8H1E'!$M$30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'R8H1E'!$M$31:$M$41</c:f>
              <c:numCache>
                <c:formatCode>0.00</c:formatCode>
                <c:ptCount val="11"/>
                <c:pt idx="0">
                  <c:v>-3.7081339712918715E-2</c:v>
                </c:pt>
                <c:pt idx="1">
                  <c:v>-0.4611450255733377</c:v>
                </c:pt>
                <c:pt idx="2">
                  <c:v>-0.4517189122920533</c:v>
                </c:pt>
                <c:pt idx="3">
                  <c:v>-0.35513363605887893</c:v>
                </c:pt>
                <c:pt idx="4">
                  <c:v>0.14750746329693731</c:v>
                </c:pt>
                <c:pt idx="5">
                  <c:v>0.51718954211704293</c:v>
                </c:pt>
                <c:pt idx="6">
                  <c:v>0.97515414034728121</c:v>
                </c:pt>
                <c:pt idx="7">
                  <c:v>1.2700969463162908</c:v>
                </c:pt>
                <c:pt idx="8">
                  <c:v>0.66222332079780166</c:v>
                </c:pt>
                <c:pt idx="9">
                  <c:v>0.20664227413453462</c:v>
                </c:pt>
                <c:pt idx="10">
                  <c:v>0</c:v>
                </c:pt>
              </c:numCache>
            </c:numRef>
          </c:xVal>
          <c:yVal>
            <c:numRef>
              <c:f>'R8H1E'!$E$7:$E$17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87-C54E-96F5-E11CA38DD808}"/>
            </c:ext>
          </c:extLst>
        </c:ser>
        <c:ser>
          <c:idx val="7"/>
          <c:order val="7"/>
          <c:tx>
            <c:strRef>
              <c:f>'R8H1E'!$P$30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'R8H1E'!$P$31:$P$41</c:f>
              <c:numCache>
                <c:formatCode>0.00</c:formatCode>
                <c:ptCount val="11"/>
                <c:pt idx="0">
                  <c:v>0.92353336318853563</c:v>
                </c:pt>
                <c:pt idx="1">
                  <c:v>1.4493506493506501</c:v>
                </c:pt>
                <c:pt idx="2">
                  <c:v>1.3938623653926143</c:v>
                </c:pt>
                <c:pt idx="3">
                  <c:v>1.3330772957706536</c:v>
                </c:pt>
                <c:pt idx="4">
                  <c:v>1.9853109853109854</c:v>
                </c:pt>
                <c:pt idx="5">
                  <c:v>1.2635465355277784</c:v>
                </c:pt>
                <c:pt idx="6">
                  <c:v>0.40089898827215631</c:v>
                </c:pt>
                <c:pt idx="7">
                  <c:v>0.3355544978581626</c:v>
                </c:pt>
                <c:pt idx="8">
                  <c:v>0.21391032092139128</c:v>
                </c:pt>
                <c:pt idx="9">
                  <c:v>0.10203208556149734</c:v>
                </c:pt>
                <c:pt idx="10">
                  <c:v>0</c:v>
                </c:pt>
              </c:numCache>
            </c:numRef>
          </c:xVal>
          <c:yVal>
            <c:numRef>
              <c:f>'R8H1E'!$E$7:$E$17</c:f>
              <c:numCache>
                <c:formatCode>General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87-C54E-96F5-E11CA38DD808}"/>
            </c:ext>
          </c:extLst>
        </c:ser>
        <c:ser>
          <c:idx val="8"/>
          <c:order val="8"/>
          <c:tx>
            <c:strRef>
              <c:f>'R8H1E'!$N$30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'R8H1E'!$N$31:$N$43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'R8H1E'!$E$7:$E$19</c:f>
              <c:numCache>
                <c:formatCode>General</c:formatCode>
                <c:ptCount val="13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87-C54E-96F5-E11CA38D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5.1279785393232892E-2"/>
              <c:y val="0.46825268322893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'R8H1E'!$BF$26:$BF$36</c:f>
              <c:numCache>
                <c:formatCode>General</c:formatCode>
                <c:ptCount val="11"/>
                <c:pt idx="0">
                  <c:v>25.9</c:v>
                </c:pt>
                <c:pt idx="1">
                  <c:v>43.8</c:v>
                </c:pt>
                <c:pt idx="2">
                  <c:v>44.129999999999995</c:v>
                </c:pt>
                <c:pt idx="3">
                  <c:v>41.989999999999995</c:v>
                </c:pt>
                <c:pt idx="4">
                  <c:v>36.32</c:v>
                </c:pt>
                <c:pt idx="5">
                  <c:v>36.339999999999996</c:v>
                </c:pt>
                <c:pt idx="6">
                  <c:v>29.73</c:v>
                </c:pt>
                <c:pt idx="7">
                  <c:v>27.22</c:v>
                </c:pt>
                <c:pt idx="8">
                  <c:v>27.79</c:v>
                </c:pt>
                <c:pt idx="9">
                  <c:v>27.949999999999996</c:v>
                </c:pt>
                <c:pt idx="10">
                  <c:v>26.930000000000003</c:v>
                </c:pt>
              </c:numCache>
            </c:numRef>
          </c:xVal>
          <c:yVal>
            <c:numRef>
              <c:f>'R8H1E'!$AO$26:$AO$36</c:f>
              <c:numCache>
                <c:formatCode>0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B-D340-8E7B-7AC352309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R8H1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763149110751"/>
          <c:y val="0.12483310076284287"/>
          <c:w val="0.26442314625306279"/>
          <c:h val="0.849262355828435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'R8H1E'!$BD$26:$BD$36</c:f>
              <c:numCache>
                <c:formatCode>0.00</c:formatCode>
                <c:ptCount val="11"/>
                <c:pt idx="0">
                  <c:v>119.35000000000001</c:v>
                </c:pt>
                <c:pt idx="1">
                  <c:v>77.549999999999983</c:v>
                </c:pt>
                <c:pt idx="2">
                  <c:v>85.64</c:v>
                </c:pt>
                <c:pt idx="3">
                  <c:v>157.04000000000005</c:v>
                </c:pt>
                <c:pt idx="4">
                  <c:v>203.98</c:v>
                </c:pt>
                <c:pt idx="5">
                  <c:v>389.37999999999994</c:v>
                </c:pt>
                <c:pt idx="6">
                  <c:v>437.62000000000012</c:v>
                </c:pt>
                <c:pt idx="7">
                  <c:v>349.41</c:v>
                </c:pt>
                <c:pt idx="8">
                  <c:v>520.65999999999974</c:v>
                </c:pt>
                <c:pt idx="9">
                  <c:v>187.17999999999998</c:v>
                </c:pt>
                <c:pt idx="10">
                  <c:v>364.17999999999995</c:v>
                </c:pt>
              </c:numCache>
            </c:numRef>
          </c:xVal>
          <c:yVal>
            <c:numRef>
              <c:f>'R8H1E'!$AO$26:$AO$36</c:f>
              <c:numCache>
                <c:formatCode>0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39-1D45-8EDF-515E102D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logBase val="10"/>
          <c:orientation val="minMax"/>
          <c:max val="100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R8H1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'R8H1E'!$AM$26:$AM$36</c:f>
              <c:numCache>
                <c:formatCode>General</c:formatCode>
                <c:ptCount val="11"/>
                <c:pt idx="0">
                  <c:v>0.98012820512820498</c:v>
                </c:pt>
                <c:pt idx="1">
                  <c:v>0.59401709401709391</c:v>
                </c:pt>
                <c:pt idx="2">
                  <c:v>1.069230769230769</c:v>
                </c:pt>
                <c:pt idx="3">
                  <c:v>0.83162393162393156</c:v>
                </c:pt>
                <c:pt idx="4">
                  <c:v>0.71282051282051273</c:v>
                </c:pt>
                <c:pt idx="5">
                  <c:v>0.80192307692307685</c:v>
                </c:pt>
                <c:pt idx="6">
                  <c:v>0.89102564102564086</c:v>
                </c:pt>
                <c:pt idx="7">
                  <c:v>0.93557692307692297</c:v>
                </c:pt>
                <c:pt idx="8">
                  <c:v>0.84647435897435885</c:v>
                </c:pt>
                <c:pt idx="9">
                  <c:v>0.95042735042735027</c:v>
                </c:pt>
                <c:pt idx="10">
                  <c:v>0.8712250712250712</c:v>
                </c:pt>
              </c:numCache>
            </c:numRef>
          </c:xVal>
          <c:yVal>
            <c:numRef>
              <c:f>'R8H1E'!$AO$26:$AO$36</c:f>
              <c:numCache>
                <c:formatCode>0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DC-CC4C-BBE6-92D8C2C45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R8H1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'R8H1E'!$BH$26:$BH$36</c:f>
              <c:numCache>
                <c:formatCode>0.00</c:formatCode>
                <c:ptCount val="11"/>
                <c:pt idx="0">
                  <c:v>0.97749000313645029</c:v>
                </c:pt>
                <c:pt idx="1">
                  <c:v>0.82974484122345493</c:v>
                </c:pt>
                <c:pt idx="2">
                  <c:v>1.0396265830486062</c:v>
                </c:pt>
                <c:pt idx="3">
                  <c:v>1.0649617910103109</c:v>
                </c:pt>
                <c:pt idx="4">
                  <c:v>1.5266198204100694</c:v>
                </c:pt>
                <c:pt idx="5">
                  <c:v>0.87053676509145472</c:v>
                </c:pt>
                <c:pt idx="6">
                  <c:v>0.79848811901965544</c:v>
                </c:pt>
                <c:pt idx="7">
                  <c:v>0.84276095072268509</c:v>
                </c:pt>
                <c:pt idx="8">
                  <c:v>0.87598909873805053</c:v>
                </c:pt>
                <c:pt idx="9">
                  <c:v>0.93919319257531131</c:v>
                </c:pt>
                <c:pt idx="10">
                  <c:v>0.90874636990568458</c:v>
                </c:pt>
              </c:numCache>
            </c:numRef>
          </c:xVal>
          <c:yVal>
            <c:numRef>
              <c:f>'R8H1E'!$AO$26:$AO$36</c:f>
              <c:numCache>
                <c:formatCode>0</c:formatCode>
                <c:ptCount val="11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7-7B41-A801-FEDF8BAB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R8H1 </a:t>
                </a:r>
                <a:r>
                  <a:rPr lang="en-US" sz="1600" b="1" i="0" u="none" strike="noStrike" baseline="0">
                    <a:effectLst/>
                  </a:rPr>
                  <a:t>Ce/Ce*</a:t>
                </a:r>
                <a:r>
                  <a:rPr lang="en-US" sz="1600" b="1" i="0" u="none" strike="noStrike" baseline="0"/>
                  <a:t> </a:t>
                </a:r>
                <a:endParaRPr lang="en-US" sz="1600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R8H1 REE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'R8H1E'!$AO$26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'R8H1E'!$AP$26:$BC$26</c:f>
              <c:numCache>
                <c:formatCode>0.00</c:formatCode>
                <c:ptCount val="14"/>
                <c:pt idx="0">
                  <c:v>74.931880108991834</c:v>
                </c:pt>
                <c:pt idx="1">
                  <c:v>57.262277951933122</c:v>
                </c:pt>
                <c:pt idx="2">
                  <c:v>40.510948905109487</c:v>
                </c:pt>
                <c:pt idx="3">
                  <c:v>25.879043600562586</c:v>
                </c:pt>
                <c:pt idx="4">
                  <c:v>13.852813852813853</c:v>
                </c:pt>
                <c:pt idx="5">
                  <c:v>8.9655172413793114</c:v>
                </c:pt>
                <c:pt idx="6">
                  <c:v>8.4967320261437909</c:v>
                </c:pt>
                <c:pt idx="7">
                  <c:v>6.8965517241379315</c:v>
                </c:pt>
                <c:pt idx="8">
                  <c:v>5.7742782152230978</c:v>
                </c:pt>
                <c:pt idx="9">
                  <c:v>4.7058823529411766</c:v>
                </c:pt>
                <c:pt idx="10">
                  <c:v>5.6224899598393572</c:v>
                </c:pt>
                <c:pt idx="11">
                  <c:v>6.1111111111111116</c:v>
                </c:pt>
                <c:pt idx="12">
                  <c:v>6.4516129032258069</c:v>
                </c:pt>
                <c:pt idx="13">
                  <c:v>7.8947368421052628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9-E849-9D0A-33B49E0381D4}"/>
            </c:ext>
          </c:extLst>
        </c:ser>
        <c:ser>
          <c:idx val="2"/>
          <c:order val="1"/>
          <c:tx>
            <c:strRef>
              <c:f>'R8H1E'!$AO$27</c:f>
              <c:strCache>
                <c:ptCount val="1"/>
                <c:pt idx="0">
                  <c:v>21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'R8H1E'!$AP$27:$BC$27</c:f>
              <c:numCache>
                <c:formatCode>0.00</c:formatCode>
                <c:ptCount val="14"/>
                <c:pt idx="0">
                  <c:v>53.950953678474114</c:v>
                </c:pt>
                <c:pt idx="1">
                  <c:v>34.900731452455588</c:v>
                </c:pt>
                <c:pt idx="2">
                  <c:v>26.642335766423354</c:v>
                </c:pt>
                <c:pt idx="3">
                  <c:v>18.284106891701828</c:v>
                </c:pt>
                <c:pt idx="4">
                  <c:v>9.0909090909090917</c:v>
                </c:pt>
                <c:pt idx="5">
                  <c:v>6.3218390804597711</c:v>
                </c:pt>
                <c:pt idx="6">
                  <c:v>4.9019607843137258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3.5294117647058818</c:v>
                </c:pt>
                <c:pt idx="10">
                  <c:v>2.8112449799196786</c:v>
                </c:pt>
                <c:pt idx="11">
                  <c:v>3.3333333333333335</c:v>
                </c:pt>
                <c:pt idx="12">
                  <c:v>3.2258064516129035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9-E849-9D0A-33B49E0381D4}"/>
            </c:ext>
          </c:extLst>
        </c:ser>
        <c:ser>
          <c:idx val="3"/>
          <c:order val="2"/>
          <c:tx>
            <c:strRef>
              <c:f>'R8H1E'!$AO$28</c:f>
              <c:strCache>
                <c:ptCount val="1"/>
                <c:pt idx="0">
                  <c:v>52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'R8H1E'!$AP$28:$BC$28</c:f>
              <c:numCache>
                <c:formatCode>0.00</c:formatCode>
                <c:ptCount val="14"/>
                <c:pt idx="0">
                  <c:v>50.95367847411444</c:v>
                </c:pt>
                <c:pt idx="1">
                  <c:v>42.52873563218391</c:v>
                </c:pt>
                <c:pt idx="2">
                  <c:v>29.197080291970799</c:v>
                </c:pt>
                <c:pt idx="3">
                  <c:v>20.815752461322084</c:v>
                </c:pt>
                <c:pt idx="4">
                  <c:v>9.9567099567099557</c:v>
                </c:pt>
                <c:pt idx="5">
                  <c:v>6.7816091954022992</c:v>
                </c:pt>
                <c:pt idx="6">
                  <c:v>4.2483660130718954</c:v>
                </c:pt>
                <c:pt idx="7">
                  <c:v>3.4482758620689657</c:v>
                </c:pt>
                <c:pt idx="8">
                  <c:v>3.1496062992125982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3.0555555555555558</c:v>
                </c:pt>
                <c:pt idx="12">
                  <c:v>3.2258064516129035</c:v>
                </c:pt>
                <c:pt idx="13">
                  <c:v>3.6842105263157898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79-E849-9D0A-33B49E0381D4}"/>
            </c:ext>
          </c:extLst>
        </c:ser>
        <c:ser>
          <c:idx val="4"/>
          <c:order val="3"/>
          <c:tx>
            <c:strRef>
              <c:f>'R8H1E'!$AO$29</c:f>
              <c:strCache>
                <c:ptCount val="1"/>
                <c:pt idx="0">
                  <c:v>103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'R8H1E'!$AP$29:$BC$29</c:f>
              <c:numCache>
                <c:formatCode>0.00</c:formatCode>
                <c:ptCount val="14"/>
                <c:pt idx="0">
                  <c:v>87.738419618528624</c:v>
                </c:pt>
                <c:pt idx="1">
                  <c:v>77.220480668756537</c:v>
                </c:pt>
                <c:pt idx="2">
                  <c:v>57.737226277372258</c:v>
                </c:pt>
                <c:pt idx="3">
                  <c:v>42.053445850914208</c:v>
                </c:pt>
                <c:pt idx="4">
                  <c:v>19.480519480519479</c:v>
                </c:pt>
                <c:pt idx="5">
                  <c:v>11.494252873563219</c:v>
                </c:pt>
                <c:pt idx="6">
                  <c:v>9.1503267973856204</c:v>
                </c:pt>
                <c:pt idx="7">
                  <c:v>5.1724137931034475</c:v>
                </c:pt>
                <c:pt idx="8">
                  <c:v>4.7244094488188981</c:v>
                </c:pt>
                <c:pt idx="9">
                  <c:v>3.5294117647058818</c:v>
                </c:pt>
                <c:pt idx="10">
                  <c:v>4.0160642570281126</c:v>
                </c:pt>
                <c:pt idx="11">
                  <c:v>4.166666666666667</c:v>
                </c:pt>
                <c:pt idx="12">
                  <c:v>4.435483870967742</c:v>
                </c:pt>
                <c:pt idx="13">
                  <c:v>4.7368421052631575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79-E849-9D0A-33B49E0381D4}"/>
            </c:ext>
          </c:extLst>
        </c:ser>
        <c:ser>
          <c:idx val="5"/>
          <c:order val="4"/>
          <c:tx>
            <c:strRef>
              <c:f>'R8H1E'!$AO$30</c:f>
              <c:strCache>
                <c:ptCount val="1"/>
                <c:pt idx="0">
                  <c:v>158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'R8H1E'!$AP$30:$BC$30</c:f>
              <c:numCache>
                <c:formatCode>0.00</c:formatCode>
                <c:ptCount val="14"/>
                <c:pt idx="0">
                  <c:v>94.822888283378745</c:v>
                </c:pt>
                <c:pt idx="1">
                  <c:v>119.12225705329153</c:v>
                </c:pt>
                <c:pt idx="2">
                  <c:v>61.970802919708028</c:v>
                </c:pt>
                <c:pt idx="3">
                  <c:v>44.44444444444445</c:v>
                </c:pt>
                <c:pt idx="4">
                  <c:v>22.510822510822511</c:v>
                </c:pt>
                <c:pt idx="5">
                  <c:v>15.747126436781612</c:v>
                </c:pt>
                <c:pt idx="6">
                  <c:v>10.457516339869281</c:v>
                </c:pt>
                <c:pt idx="7">
                  <c:v>6.8965517241379315</c:v>
                </c:pt>
                <c:pt idx="8">
                  <c:v>5.5118110236220472</c:v>
                </c:pt>
                <c:pt idx="9">
                  <c:v>4.7058823529411766</c:v>
                </c:pt>
                <c:pt idx="10">
                  <c:v>4.4176706827309244</c:v>
                </c:pt>
                <c:pt idx="11">
                  <c:v>4.4444444444444446</c:v>
                </c:pt>
                <c:pt idx="12">
                  <c:v>4.032258064516129</c:v>
                </c:pt>
                <c:pt idx="13">
                  <c:v>4.2105263157894735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79-E849-9D0A-33B49E0381D4}"/>
            </c:ext>
          </c:extLst>
        </c:ser>
        <c:ser>
          <c:idx val="6"/>
          <c:order val="5"/>
          <c:tx>
            <c:strRef>
              <c:f>'R8H1E'!$AO$31</c:f>
              <c:strCache>
                <c:ptCount val="1"/>
                <c:pt idx="0">
                  <c:v>231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'R8H1E'!$AP$31:$BC$31</c:f>
              <c:numCache>
                <c:formatCode>0.00</c:formatCode>
                <c:ptCount val="14"/>
                <c:pt idx="0">
                  <c:v>249.31880108991825</c:v>
                </c:pt>
                <c:pt idx="1">
                  <c:v>175.5485893416928</c:v>
                </c:pt>
                <c:pt idx="2">
                  <c:v>153.28467153284672</c:v>
                </c:pt>
                <c:pt idx="3">
                  <c:v>106.32911392405063</c:v>
                </c:pt>
                <c:pt idx="4">
                  <c:v>51.082251082251084</c:v>
                </c:pt>
                <c:pt idx="5">
                  <c:v>31.954022988505749</c:v>
                </c:pt>
                <c:pt idx="6">
                  <c:v>23.529411764705884</c:v>
                </c:pt>
                <c:pt idx="7">
                  <c:v>15.517241379310345</c:v>
                </c:pt>
                <c:pt idx="8">
                  <c:v>11.548556430446196</c:v>
                </c:pt>
                <c:pt idx="9">
                  <c:v>9.4117647058823533</c:v>
                </c:pt>
                <c:pt idx="10">
                  <c:v>9.236947791164658</c:v>
                </c:pt>
                <c:pt idx="11">
                  <c:v>9.1666666666666679</c:v>
                </c:pt>
                <c:pt idx="12">
                  <c:v>9.67741935483871</c:v>
                </c:pt>
                <c:pt idx="13">
                  <c:v>9.7368421052631575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79-E849-9D0A-33B49E0381D4}"/>
            </c:ext>
          </c:extLst>
        </c:ser>
        <c:ser>
          <c:idx val="7"/>
          <c:order val="6"/>
          <c:tx>
            <c:strRef>
              <c:f>'R8H1E'!$AO$32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'R8H1E'!$AP$32:$BC$32</c:f>
              <c:numCache>
                <c:formatCode>0.00</c:formatCode>
                <c:ptCount val="14"/>
                <c:pt idx="0">
                  <c:v>316.07629427792915</c:v>
                </c:pt>
                <c:pt idx="1">
                  <c:v>197.49216300940441</c:v>
                </c:pt>
                <c:pt idx="2">
                  <c:v>171.53284671532845</c:v>
                </c:pt>
                <c:pt idx="3">
                  <c:v>109.84528832630099</c:v>
                </c:pt>
                <c:pt idx="4">
                  <c:v>48.051948051948045</c:v>
                </c:pt>
                <c:pt idx="5">
                  <c:v>27.126436781609197</c:v>
                </c:pt>
                <c:pt idx="6">
                  <c:v>21.56862745098039</c:v>
                </c:pt>
                <c:pt idx="7">
                  <c:v>13.793103448275863</c:v>
                </c:pt>
                <c:pt idx="8">
                  <c:v>11.286089238845143</c:v>
                </c:pt>
                <c:pt idx="9">
                  <c:v>9.4117647058823533</c:v>
                </c:pt>
                <c:pt idx="10">
                  <c:v>9.236947791164658</c:v>
                </c:pt>
                <c:pt idx="11">
                  <c:v>8.8888888888888893</c:v>
                </c:pt>
                <c:pt idx="12">
                  <c:v>8.4677419354838719</c:v>
                </c:pt>
                <c:pt idx="13">
                  <c:v>8.9473684210526319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79-E849-9D0A-33B49E0381D4}"/>
            </c:ext>
          </c:extLst>
        </c:ser>
        <c:ser>
          <c:idx val="8"/>
          <c:order val="7"/>
          <c:tx>
            <c:strRef>
              <c:f>'R8H1E'!$AO$33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'R8H1E'!$AP$33:$BC$33</c:f>
              <c:numCache>
                <c:formatCode>0.00</c:formatCode>
                <c:ptCount val="14"/>
                <c:pt idx="0">
                  <c:v>243.86920980926431</c:v>
                </c:pt>
                <c:pt idx="1">
                  <c:v>160.91954022988506</c:v>
                </c:pt>
                <c:pt idx="2">
                  <c:v>129.19708029197079</c:v>
                </c:pt>
                <c:pt idx="3">
                  <c:v>85.091420534458507</c:v>
                </c:pt>
                <c:pt idx="4">
                  <c:v>38.095238095238095</c:v>
                </c:pt>
                <c:pt idx="5">
                  <c:v>24.942528735632184</c:v>
                </c:pt>
                <c:pt idx="6">
                  <c:v>19.607843137254903</c:v>
                </c:pt>
                <c:pt idx="7">
                  <c:v>13.793103448275863</c:v>
                </c:pt>
                <c:pt idx="8">
                  <c:v>11.023622047244094</c:v>
                </c:pt>
                <c:pt idx="9">
                  <c:v>9.4117647058823533</c:v>
                </c:pt>
                <c:pt idx="10">
                  <c:v>9.236947791164658</c:v>
                </c:pt>
                <c:pt idx="11">
                  <c:v>8.6111111111111125</c:v>
                </c:pt>
                <c:pt idx="12">
                  <c:v>8.064516129032258</c:v>
                </c:pt>
                <c:pt idx="13">
                  <c:v>8.6842105263157894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79-E849-9D0A-33B49E0381D4}"/>
            </c:ext>
          </c:extLst>
        </c:ser>
        <c:ser>
          <c:idx val="9"/>
          <c:order val="8"/>
          <c:tx>
            <c:strRef>
              <c:f>'R8H1E'!$AO$34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'R8H1E'!$AP$34:$BC$34</c:f>
              <c:numCache>
                <c:formatCode>0.00</c:formatCode>
                <c:ptCount val="14"/>
                <c:pt idx="0">
                  <c:v>365.12261580381471</c:v>
                </c:pt>
                <c:pt idx="1">
                  <c:v>249.73876698014629</c:v>
                </c:pt>
                <c:pt idx="2">
                  <c:v>191.97080291970801</c:v>
                </c:pt>
                <c:pt idx="3">
                  <c:v>125.03516174402252</c:v>
                </c:pt>
                <c:pt idx="4">
                  <c:v>51.948051948051948</c:v>
                </c:pt>
                <c:pt idx="5">
                  <c:v>28.160919540229887</c:v>
                </c:pt>
                <c:pt idx="6">
                  <c:v>22.875816993464053</c:v>
                </c:pt>
                <c:pt idx="7">
                  <c:v>15.517241379310345</c:v>
                </c:pt>
                <c:pt idx="8">
                  <c:v>11.811023622047244</c:v>
                </c:pt>
                <c:pt idx="9">
                  <c:v>9.4117647058823533</c:v>
                </c:pt>
                <c:pt idx="10">
                  <c:v>9.236947791164658</c:v>
                </c:pt>
                <c:pt idx="11">
                  <c:v>8.3333333333333339</c:v>
                </c:pt>
                <c:pt idx="12">
                  <c:v>7.661290322580645</c:v>
                </c:pt>
                <c:pt idx="13">
                  <c:v>8.1578947368421062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79-E849-9D0A-33B49E0381D4}"/>
            </c:ext>
          </c:extLst>
        </c:ser>
        <c:ser>
          <c:idx val="10"/>
          <c:order val="9"/>
          <c:tx>
            <c:strRef>
              <c:f>'R8H1E'!$AO$35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'R8H1E'!$AP$35:$BC$35</c:f>
              <c:numCache>
                <c:formatCode>0.00</c:formatCode>
                <c:ptCount val="14"/>
                <c:pt idx="0">
                  <c:v>111.9891008174387</c:v>
                </c:pt>
                <c:pt idx="1">
                  <c:v>85.266457680250781</c:v>
                </c:pt>
                <c:pt idx="2">
                  <c:v>67.956204379562038</c:v>
                </c:pt>
                <c:pt idx="3">
                  <c:v>48.38255977496484</c:v>
                </c:pt>
                <c:pt idx="4">
                  <c:v>26.839826839826838</c:v>
                </c:pt>
                <c:pt idx="5">
                  <c:v>17.816091954022991</c:v>
                </c:pt>
                <c:pt idx="6">
                  <c:v>14.705882352941178</c:v>
                </c:pt>
                <c:pt idx="7">
                  <c:v>10.344827586206895</c:v>
                </c:pt>
                <c:pt idx="8">
                  <c:v>8.3989501312335957</c:v>
                </c:pt>
                <c:pt idx="9">
                  <c:v>7.0588235294117636</c:v>
                </c:pt>
                <c:pt idx="10">
                  <c:v>7.6305220883534135</c:v>
                </c:pt>
                <c:pt idx="11">
                  <c:v>6.9444444444444446</c:v>
                </c:pt>
                <c:pt idx="12">
                  <c:v>6.854838709677419</c:v>
                </c:pt>
                <c:pt idx="13">
                  <c:v>7.1052631578947372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79-E849-9D0A-33B49E0381D4}"/>
            </c:ext>
          </c:extLst>
        </c:ser>
        <c:ser>
          <c:idx val="11"/>
          <c:order val="10"/>
          <c:tx>
            <c:strRef>
              <c:f>'R8H1E'!$AO$36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'R8H1E'!$AP$36:$BC$36</c:f>
              <c:numCache>
                <c:formatCode>0.00</c:formatCode>
                <c:ptCount val="14"/>
                <c:pt idx="0">
                  <c:v>224.52316076294281</c:v>
                </c:pt>
                <c:pt idx="1">
                  <c:v>166.14420062695925</c:v>
                </c:pt>
                <c:pt idx="2">
                  <c:v>140.14598540145982</c:v>
                </c:pt>
                <c:pt idx="3">
                  <c:v>99.437412095639957</c:v>
                </c:pt>
                <c:pt idx="4">
                  <c:v>48.917748917748916</c:v>
                </c:pt>
                <c:pt idx="5">
                  <c:v>27.701149425287358</c:v>
                </c:pt>
                <c:pt idx="6">
                  <c:v>23.529411764705884</c:v>
                </c:pt>
                <c:pt idx="7">
                  <c:v>15.517241379310345</c:v>
                </c:pt>
                <c:pt idx="8">
                  <c:v>12.598425196850393</c:v>
                </c:pt>
                <c:pt idx="9">
                  <c:v>10.588235294117647</c:v>
                </c:pt>
                <c:pt idx="10">
                  <c:v>10.040160642570282</c:v>
                </c:pt>
                <c:pt idx="11">
                  <c:v>9.4444444444444464</c:v>
                </c:pt>
                <c:pt idx="12">
                  <c:v>8.870967741935484</c:v>
                </c:pt>
                <c:pt idx="13">
                  <c:v>8.6842105263157894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79-E849-9D0A-33B49E038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354744"/>
        <c:axId val="-2137351528"/>
      </c:lineChart>
      <c:catAx>
        <c:axId val="-213735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351528"/>
        <c:crosses val="autoZero"/>
        <c:auto val="1"/>
        <c:lblAlgn val="ctr"/>
        <c:lblOffset val="100"/>
        <c:noMultiLvlLbl val="0"/>
      </c:catAx>
      <c:valAx>
        <c:axId val="-2137351528"/>
        <c:scaling>
          <c:logBase val="10"/>
          <c:orientation val="minMax"/>
          <c:max val="1000"/>
          <c:min val="1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354744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R8H1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'R8H1E'!$AO$32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'R8H1E'!$AP$32:$BC$32</c:f>
              <c:numCache>
                <c:formatCode>0.00</c:formatCode>
                <c:ptCount val="14"/>
                <c:pt idx="0">
                  <c:v>316.07629427792915</c:v>
                </c:pt>
                <c:pt idx="1">
                  <c:v>197.49216300940441</c:v>
                </c:pt>
                <c:pt idx="2">
                  <c:v>171.53284671532845</c:v>
                </c:pt>
                <c:pt idx="3">
                  <c:v>109.84528832630099</c:v>
                </c:pt>
                <c:pt idx="4">
                  <c:v>48.051948051948045</c:v>
                </c:pt>
                <c:pt idx="5">
                  <c:v>27.126436781609197</c:v>
                </c:pt>
                <c:pt idx="6">
                  <c:v>21.56862745098039</c:v>
                </c:pt>
                <c:pt idx="7">
                  <c:v>13.793103448275863</c:v>
                </c:pt>
                <c:pt idx="8">
                  <c:v>11.286089238845143</c:v>
                </c:pt>
                <c:pt idx="9">
                  <c:v>9.4117647058823533</c:v>
                </c:pt>
                <c:pt idx="10">
                  <c:v>9.236947791164658</c:v>
                </c:pt>
                <c:pt idx="11">
                  <c:v>8.8888888888888893</c:v>
                </c:pt>
                <c:pt idx="12">
                  <c:v>8.4677419354838719</c:v>
                </c:pt>
                <c:pt idx="13">
                  <c:v>8.9473684210526319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8-4740-8C4E-3A6606D88FEC}"/>
            </c:ext>
          </c:extLst>
        </c:ser>
        <c:ser>
          <c:idx val="1"/>
          <c:order val="1"/>
          <c:tx>
            <c:strRef>
              <c:f>'R8H1E'!$AO$33</c:f>
              <c:strCache>
                <c:ptCount val="1"/>
                <c:pt idx="0">
                  <c:v>450</c:v>
                </c:pt>
              </c:strCache>
            </c:strRef>
          </c:tx>
          <c:val>
            <c:numRef>
              <c:f>'R8H1E'!$AP$33:$BC$33</c:f>
              <c:numCache>
                <c:formatCode>0.00</c:formatCode>
                <c:ptCount val="14"/>
                <c:pt idx="0">
                  <c:v>243.86920980926431</c:v>
                </c:pt>
                <c:pt idx="1">
                  <c:v>160.91954022988506</c:v>
                </c:pt>
                <c:pt idx="2">
                  <c:v>129.19708029197079</c:v>
                </c:pt>
                <c:pt idx="3">
                  <c:v>85.091420534458507</c:v>
                </c:pt>
                <c:pt idx="4">
                  <c:v>38.095238095238095</c:v>
                </c:pt>
                <c:pt idx="5">
                  <c:v>24.942528735632184</c:v>
                </c:pt>
                <c:pt idx="6">
                  <c:v>19.607843137254903</c:v>
                </c:pt>
                <c:pt idx="7">
                  <c:v>13.793103448275863</c:v>
                </c:pt>
                <c:pt idx="8">
                  <c:v>11.023622047244094</c:v>
                </c:pt>
                <c:pt idx="9">
                  <c:v>9.4117647058823533</c:v>
                </c:pt>
                <c:pt idx="10">
                  <c:v>9.236947791164658</c:v>
                </c:pt>
                <c:pt idx="11">
                  <c:v>8.6111111111111125</c:v>
                </c:pt>
                <c:pt idx="12">
                  <c:v>8.064516129032258</c:v>
                </c:pt>
                <c:pt idx="13">
                  <c:v>8.6842105263157894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8-4740-8C4E-3A6606D88FEC}"/>
            </c:ext>
          </c:extLst>
        </c:ser>
        <c:ser>
          <c:idx val="2"/>
          <c:order val="2"/>
          <c:tx>
            <c:strRef>
              <c:f>'R8H1E'!$AO$34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'R8H1E'!$AP$34:$BC$34</c:f>
              <c:numCache>
                <c:formatCode>0.00</c:formatCode>
                <c:ptCount val="14"/>
                <c:pt idx="0">
                  <c:v>365.12261580381471</c:v>
                </c:pt>
                <c:pt idx="1">
                  <c:v>249.73876698014629</c:v>
                </c:pt>
                <c:pt idx="2">
                  <c:v>191.97080291970801</c:v>
                </c:pt>
                <c:pt idx="3">
                  <c:v>125.03516174402252</c:v>
                </c:pt>
                <c:pt idx="4">
                  <c:v>51.948051948051948</c:v>
                </c:pt>
                <c:pt idx="5">
                  <c:v>28.160919540229887</c:v>
                </c:pt>
                <c:pt idx="6">
                  <c:v>22.875816993464053</c:v>
                </c:pt>
                <c:pt idx="7">
                  <c:v>15.517241379310345</c:v>
                </c:pt>
                <c:pt idx="8">
                  <c:v>11.811023622047244</c:v>
                </c:pt>
                <c:pt idx="9">
                  <c:v>9.4117647058823533</c:v>
                </c:pt>
                <c:pt idx="10">
                  <c:v>9.236947791164658</c:v>
                </c:pt>
                <c:pt idx="11">
                  <c:v>8.3333333333333339</c:v>
                </c:pt>
                <c:pt idx="12">
                  <c:v>7.661290322580645</c:v>
                </c:pt>
                <c:pt idx="13">
                  <c:v>8.1578947368421062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8-4740-8C4E-3A6606D88FEC}"/>
            </c:ext>
          </c:extLst>
        </c:ser>
        <c:ser>
          <c:idx val="3"/>
          <c:order val="3"/>
          <c:tx>
            <c:strRef>
              <c:f>'R8H1E'!$AO$35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'R8H1E'!$AP$35:$BC$35</c:f>
              <c:numCache>
                <c:formatCode>0.00</c:formatCode>
                <c:ptCount val="14"/>
                <c:pt idx="0">
                  <c:v>111.9891008174387</c:v>
                </c:pt>
                <c:pt idx="1">
                  <c:v>85.266457680250781</c:v>
                </c:pt>
                <c:pt idx="2">
                  <c:v>67.956204379562038</c:v>
                </c:pt>
                <c:pt idx="3">
                  <c:v>48.38255977496484</c:v>
                </c:pt>
                <c:pt idx="4">
                  <c:v>26.839826839826838</c:v>
                </c:pt>
                <c:pt idx="5">
                  <c:v>17.816091954022991</c:v>
                </c:pt>
                <c:pt idx="6">
                  <c:v>14.705882352941178</c:v>
                </c:pt>
                <c:pt idx="7">
                  <c:v>10.344827586206895</c:v>
                </c:pt>
                <c:pt idx="8">
                  <c:v>8.3989501312335957</c:v>
                </c:pt>
                <c:pt idx="9">
                  <c:v>7.0588235294117636</c:v>
                </c:pt>
                <c:pt idx="10">
                  <c:v>7.6305220883534135</c:v>
                </c:pt>
                <c:pt idx="11">
                  <c:v>6.9444444444444446</c:v>
                </c:pt>
                <c:pt idx="12">
                  <c:v>6.854838709677419</c:v>
                </c:pt>
                <c:pt idx="13">
                  <c:v>7.1052631578947372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D8-4740-8C4E-3A6606D88FEC}"/>
            </c:ext>
          </c:extLst>
        </c:ser>
        <c:ser>
          <c:idx val="4"/>
          <c:order val="4"/>
          <c:tx>
            <c:strRef>
              <c:f>'R8H1E'!$AO$36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'R8H1E'!$AP$36:$BC$36</c:f>
              <c:numCache>
                <c:formatCode>0.00</c:formatCode>
                <c:ptCount val="14"/>
                <c:pt idx="0">
                  <c:v>224.52316076294281</c:v>
                </c:pt>
                <c:pt idx="1">
                  <c:v>166.14420062695925</c:v>
                </c:pt>
                <c:pt idx="2">
                  <c:v>140.14598540145982</c:v>
                </c:pt>
                <c:pt idx="3">
                  <c:v>99.437412095639957</c:v>
                </c:pt>
                <c:pt idx="4">
                  <c:v>48.917748917748916</c:v>
                </c:pt>
                <c:pt idx="5">
                  <c:v>27.701149425287358</c:v>
                </c:pt>
                <c:pt idx="6">
                  <c:v>23.529411764705884</c:v>
                </c:pt>
                <c:pt idx="7">
                  <c:v>15.517241379310345</c:v>
                </c:pt>
                <c:pt idx="8">
                  <c:v>12.598425196850393</c:v>
                </c:pt>
                <c:pt idx="9">
                  <c:v>10.588235294117647</c:v>
                </c:pt>
                <c:pt idx="10">
                  <c:v>10.040160642570282</c:v>
                </c:pt>
                <c:pt idx="11">
                  <c:v>9.4444444444444464</c:v>
                </c:pt>
                <c:pt idx="12">
                  <c:v>8.870967741935484</c:v>
                </c:pt>
                <c:pt idx="13">
                  <c:v>8.6842105263157894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D8-4740-8C4E-3A6606D88FEC}"/>
            </c:ext>
          </c:extLst>
        </c:ser>
        <c:ser>
          <c:idx val="5"/>
          <c:order val="5"/>
          <c:tx>
            <c:strRef>
              <c:f>'R8H1E'!$AO$37</c:f>
              <c:strCache>
                <c:ptCount val="1"/>
                <c:pt idx="0">
                  <c:v>850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'R8H1E'!$AP$37:$BC$37</c:f>
              <c:numCache>
                <c:formatCode>0.00</c:formatCode>
                <c:ptCount val="14"/>
                <c:pt idx="0">
                  <c:v>623.97820163487745</c:v>
                </c:pt>
                <c:pt idx="1">
                  <c:v>485.89341692789969</c:v>
                </c:pt>
                <c:pt idx="2">
                  <c:v>385.40145985401455</c:v>
                </c:pt>
                <c:pt idx="3">
                  <c:v>265.82278481012662</c:v>
                </c:pt>
                <c:pt idx="4">
                  <c:v>120.77922077922076</c:v>
                </c:pt>
                <c:pt idx="5">
                  <c:v>63.333333333333336</c:v>
                </c:pt>
                <c:pt idx="6">
                  <c:v>50.326797385620914</c:v>
                </c:pt>
                <c:pt idx="7">
                  <c:v>32.758620689655167</c:v>
                </c:pt>
                <c:pt idx="8">
                  <c:v>25.459317585301836</c:v>
                </c:pt>
                <c:pt idx="9">
                  <c:v>19.999999999999996</c:v>
                </c:pt>
                <c:pt idx="10">
                  <c:v>18.072289156626507</c:v>
                </c:pt>
                <c:pt idx="11">
                  <c:v>17.5</c:v>
                </c:pt>
                <c:pt idx="12">
                  <c:v>15.32258064516129</c:v>
                </c:pt>
                <c:pt idx="13">
                  <c:v>14.999999999999998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D8-4740-8C4E-3A6606D88FEC}"/>
            </c:ext>
          </c:extLst>
        </c:ser>
        <c:ser>
          <c:idx val="6"/>
          <c:order val="6"/>
          <c:tx>
            <c:strRef>
              <c:f>'R8H1E'!$AO$38</c:f>
              <c:strCache>
                <c:ptCount val="1"/>
                <c:pt idx="0">
                  <c:v>950</c:v>
                </c:pt>
              </c:strCache>
            </c:strRef>
          </c:tx>
          <c:cat>
            <c:strRef>
              <c:f>'R8H1E'!$AP$23:$BC$23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'R8H1E'!$AP$38:$BC$38</c:f>
              <c:numCache>
                <c:formatCode>0.00</c:formatCode>
                <c:ptCount val="14"/>
                <c:pt idx="0">
                  <c:v>645.77656675749324</c:v>
                </c:pt>
                <c:pt idx="1">
                  <c:v>509.92685475444097</c:v>
                </c:pt>
                <c:pt idx="2">
                  <c:v>410.94890510948898</c:v>
                </c:pt>
                <c:pt idx="3">
                  <c:v>278.48101265822788</c:v>
                </c:pt>
                <c:pt idx="4">
                  <c:v>121.2121212121212</c:v>
                </c:pt>
                <c:pt idx="5">
                  <c:v>64.827586206896555</c:v>
                </c:pt>
                <c:pt idx="6">
                  <c:v>49.673202614379086</c:v>
                </c:pt>
                <c:pt idx="7">
                  <c:v>31.03448275862069</c:v>
                </c:pt>
                <c:pt idx="8">
                  <c:v>22.834645669291337</c:v>
                </c:pt>
                <c:pt idx="9">
                  <c:v>17.647058823529409</c:v>
                </c:pt>
                <c:pt idx="10">
                  <c:v>16.064257028112451</c:v>
                </c:pt>
                <c:pt idx="11">
                  <c:v>14.722222222222223</c:v>
                </c:pt>
                <c:pt idx="12">
                  <c:v>12.096774193548388</c:v>
                </c:pt>
                <c:pt idx="13">
                  <c:v>11.578947368421053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D8-4740-8C4E-3A6606D88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486184"/>
        <c:axId val="2141250680"/>
      </c:lineChart>
      <c:catAx>
        <c:axId val="-213548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41250680"/>
        <c:crosses val="autoZero"/>
        <c:auto val="1"/>
        <c:lblAlgn val="ctr"/>
        <c:lblOffset val="100"/>
        <c:noMultiLvlLbl val="0"/>
      </c:catAx>
      <c:valAx>
        <c:axId val="2141250680"/>
        <c:scaling>
          <c:logBase val="10"/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5486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93813357479488"/>
          <c:y val="0.15597168664392999"/>
          <c:w val="0.69786225829444937"/>
          <c:h val="0.8254586352525339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'R8H1E'!$BD$26:$BD$38</c:f>
              <c:numCache>
                <c:formatCode>0.00</c:formatCode>
                <c:ptCount val="13"/>
                <c:pt idx="0">
                  <c:v>119.35000000000001</c:v>
                </c:pt>
                <c:pt idx="1">
                  <c:v>77.549999999999983</c:v>
                </c:pt>
                <c:pt idx="2">
                  <c:v>85.64</c:v>
                </c:pt>
                <c:pt idx="3">
                  <c:v>157.04000000000005</c:v>
                </c:pt>
                <c:pt idx="4">
                  <c:v>203.98</c:v>
                </c:pt>
                <c:pt idx="5">
                  <c:v>389.37999999999994</c:v>
                </c:pt>
                <c:pt idx="6">
                  <c:v>437.62000000000012</c:v>
                </c:pt>
                <c:pt idx="7">
                  <c:v>349.41</c:v>
                </c:pt>
                <c:pt idx="8">
                  <c:v>520.65999999999974</c:v>
                </c:pt>
                <c:pt idx="9">
                  <c:v>187.17999999999998</c:v>
                </c:pt>
                <c:pt idx="10">
                  <c:v>364.17999999999995</c:v>
                </c:pt>
                <c:pt idx="11">
                  <c:v>1007.41</c:v>
                </c:pt>
                <c:pt idx="12">
                  <c:v>1048.1099999999999</c:v>
                </c:pt>
              </c:numCache>
            </c:numRef>
          </c:xVal>
          <c:yVal>
            <c:numRef>
              <c:f>'R8H1E'!$AO$26:$AO$38</c:f>
              <c:numCache>
                <c:formatCode>0</c:formatCode>
                <c:ptCount val="13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6-104E-917B-297893DFE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531288"/>
        <c:axId val="-2135461576"/>
      </c:scatterChart>
      <c:valAx>
        <c:axId val="-2135531288"/>
        <c:scaling>
          <c:orientation val="minMax"/>
          <c:max val="12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R8H1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5461576"/>
        <c:crosses val="autoZero"/>
        <c:crossBetween val="midCat"/>
      </c:valAx>
      <c:valAx>
        <c:axId val="-2135461576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-2135531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R8H1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'R8H1E'!$BK$7:$BK$20</c:f>
              <c:numCache>
                <c:formatCode>0.0</c:formatCode>
                <c:ptCount val="14"/>
                <c:pt idx="0">
                  <c:v>86.934353091140849</c:v>
                </c:pt>
                <c:pt idx="1">
                  <c:v>93.048973143759866</c:v>
                </c:pt>
                <c:pt idx="2">
                  <c:v>92.213114754098356</c:v>
                </c:pt>
                <c:pt idx="3">
                  <c:v>90.707620528771372</c:v>
                </c:pt>
                <c:pt idx="4">
                  <c:v>87.088018611865053</c:v>
                </c:pt>
                <c:pt idx="5">
                  <c:v>77.842565597667644</c:v>
                </c:pt>
                <c:pt idx="6">
                  <c:v>75.122349102773242</c:v>
                </c:pt>
                <c:pt idx="7">
                  <c:v>73.004596740493099</c:v>
                </c:pt>
                <c:pt idx="8">
                  <c:v>76.05042016806722</c:v>
                </c:pt>
                <c:pt idx="9">
                  <c:v>74.856203779786355</c:v>
                </c:pt>
                <c:pt idx="10">
                  <c:v>71.565762004175355</c:v>
                </c:pt>
                <c:pt idx="11">
                  <c:v>67.36924277907886</c:v>
                </c:pt>
                <c:pt idx="12">
                  <c:v>63.263785394932938</c:v>
                </c:pt>
                <c:pt idx="13">
                  <c:v>65.087636191378493</c:v>
                </c:pt>
              </c:numCache>
            </c:numRef>
          </c:xVal>
          <c:yVal>
            <c:numRef>
              <c:f>'R8H1E'!$E$7:$E$20</c:f>
              <c:numCache>
                <c:formatCode>General</c:formatCode>
                <c:ptCount val="14"/>
                <c:pt idx="0">
                  <c:v>7.5</c:v>
                </c:pt>
                <c:pt idx="1">
                  <c:v>20.5</c:v>
                </c:pt>
                <c:pt idx="2">
                  <c:v>51.5</c:v>
                </c:pt>
                <c:pt idx="3">
                  <c:v>103</c:v>
                </c:pt>
                <c:pt idx="4">
                  <c:v>157.5</c:v>
                </c:pt>
                <c:pt idx="5">
                  <c:v>230.5</c:v>
                </c:pt>
                <c:pt idx="6">
                  <c:v>350</c:v>
                </c:pt>
                <c:pt idx="7">
                  <c:v>450</c:v>
                </c:pt>
                <c:pt idx="8">
                  <c:v>550</c:v>
                </c:pt>
                <c:pt idx="9">
                  <c:v>650</c:v>
                </c:pt>
                <c:pt idx="10">
                  <c:v>750</c:v>
                </c:pt>
                <c:pt idx="11">
                  <c:v>850</c:v>
                </c:pt>
                <c:pt idx="12">
                  <c:v>950</c:v>
                </c:pt>
                <c:pt idx="13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82-764B-9AF9-7080318B1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</a:t>
            </a:r>
            <a:r>
              <a:rPr lang="en-US" baseline="-25000"/>
              <a:t>2</a:t>
            </a:r>
            <a:r>
              <a:rPr lang="en-US"/>
              <a:t>O vs albite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Na vs albite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'R8H1E'!$L$7:$L$19</c:f>
              <c:numCache>
                <c:formatCode>General</c:formatCode>
                <c:ptCount val="13"/>
                <c:pt idx="0">
                  <c:v>0.81</c:v>
                </c:pt>
                <c:pt idx="1">
                  <c:v>0.34</c:v>
                </c:pt>
                <c:pt idx="2">
                  <c:v>0.45</c:v>
                </c:pt>
                <c:pt idx="3">
                  <c:v>0.42</c:v>
                </c:pt>
                <c:pt idx="4">
                  <c:v>1.1200000000000001</c:v>
                </c:pt>
                <c:pt idx="5">
                  <c:v>1.56</c:v>
                </c:pt>
                <c:pt idx="6">
                  <c:v>2.0099999999999998</c:v>
                </c:pt>
                <c:pt idx="7">
                  <c:v>2.46</c:v>
                </c:pt>
                <c:pt idx="8">
                  <c:v>2.58</c:v>
                </c:pt>
                <c:pt idx="9">
                  <c:v>2.89</c:v>
                </c:pt>
                <c:pt idx="10">
                  <c:v>3.08</c:v>
                </c:pt>
                <c:pt idx="11">
                  <c:v>2.77</c:v>
                </c:pt>
                <c:pt idx="12">
                  <c:v>3.22</c:v>
                </c:pt>
              </c:numCache>
            </c:numRef>
          </c:xVal>
          <c:yVal>
            <c:numRef>
              <c:f>'R8H1E'!$BN$7:$BN$19</c:f>
              <c:numCache>
                <c:formatCode>0.00</c:formatCode>
                <c:ptCount val="13"/>
                <c:pt idx="0">
                  <c:v>0</c:v>
                </c:pt>
                <c:pt idx="1">
                  <c:v>2.7470686767169183E-2</c:v>
                </c:pt>
                <c:pt idx="2">
                  <c:v>1.5967614978072638E-2</c:v>
                </c:pt>
                <c:pt idx="3">
                  <c:v>2.5836369658827421E-2</c:v>
                </c:pt>
                <c:pt idx="4">
                  <c:v>4.8638771443152824E-2</c:v>
                </c:pt>
                <c:pt idx="5">
                  <c:v>7.1441173227478227E-2</c:v>
                </c:pt>
                <c:pt idx="6">
                  <c:v>0.11534913654403092</c:v>
                </c:pt>
                <c:pt idx="7">
                  <c:v>0.16501723023906956</c:v>
                </c:pt>
                <c:pt idx="8">
                  <c:v>0.17381604911203682</c:v>
                </c:pt>
                <c:pt idx="9">
                  <c:v>0.21155591572123178</c:v>
                </c:pt>
                <c:pt idx="10">
                  <c:v>0.19839813205907908</c:v>
                </c:pt>
                <c:pt idx="11">
                  <c:v>0.1692046922083513</c:v>
                </c:pt>
                <c:pt idx="12">
                  <c:v>0.23803913090476705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35-8849-95D5-9028C971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45424"/>
        <c:axId val="723950016"/>
      </c:scatterChart>
      <c:valAx>
        <c:axId val="724245424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Wt percent albite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50016"/>
        <c:crosses val="autoZero"/>
        <c:crossBetween val="midCat"/>
      </c:valAx>
      <c:valAx>
        <c:axId val="72395001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Wt fraction Na</a:t>
                </a:r>
                <a:r>
                  <a:rPr lang="en-US" baseline="-25000"/>
                  <a:t>2</a:t>
                </a:r>
                <a:r>
                  <a:rPr lang="en-US"/>
                  <a:t>O</a:t>
                </a:r>
              </a:p>
            </c:rich>
          </c:tx>
          <c:layout>
            <c:manualLayout>
              <c:xMode val="edge"/>
              <c:yMode val="edge"/>
              <c:x val="1.5104847693014109E-2"/>
              <c:y val="0.36346696486248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24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R7H2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25384820468259"/>
          <c:y val="0.21993856215705895"/>
          <c:w val="0.73854508231472693"/>
          <c:h val="0.67877353571681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'R7H2E'!$E$31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'R7H2E'!$E$32:$E$43</c:f>
              <c:numCache>
                <c:formatCode>0.00</c:formatCode>
                <c:ptCount val="12"/>
                <c:pt idx="0">
                  <c:v>0.84382426084553708</c:v>
                </c:pt>
                <c:pt idx="1">
                  <c:v>0.8917511398618545</c:v>
                </c:pt>
                <c:pt idx="2">
                  <c:v>0.60772152782963285</c:v>
                </c:pt>
                <c:pt idx="3">
                  <c:v>0.17924273918388423</c:v>
                </c:pt>
                <c:pt idx="4">
                  <c:v>0.59132487549307799</c:v>
                </c:pt>
                <c:pt idx="5">
                  <c:v>1.6556902938468454</c:v>
                </c:pt>
                <c:pt idx="6">
                  <c:v>0.77365581620900792</c:v>
                </c:pt>
                <c:pt idx="7">
                  <c:v>1.1071500345507048</c:v>
                </c:pt>
                <c:pt idx="8">
                  <c:v>0.60629300172949807</c:v>
                </c:pt>
                <c:pt idx="9">
                  <c:v>1.0495087552999345</c:v>
                </c:pt>
                <c:pt idx="10">
                  <c:v>0.62004413327158314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70-FA4E-88E6-6142477F4458}"/>
            </c:ext>
          </c:extLst>
        </c:ser>
        <c:ser>
          <c:idx val="1"/>
          <c:order val="1"/>
          <c:tx>
            <c:strRef>
              <c:f>'R7H2E'!$F$31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'R7H2E'!$F$32:$F$43</c:f>
              <c:numCache>
                <c:formatCode>0.00</c:formatCode>
                <c:ptCount val="12"/>
                <c:pt idx="0">
                  <c:v>-8.9712464911614997E-2</c:v>
                </c:pt>
                <c:pt idx="1">
                  <c:v>-1.1695043529170945E-2</c:v>
                </c:pt>
                <c:pt idx="2">
                  <c:v>0.37006671080103892</c:v>
                </c:pt>
                <c:pt idx="3">
                  <c:v>0.53762155236086007</c:v>
                </c:pt>
                <c:pt idx="4">
                  <c:v>0.5676218911297799</c:v>
                </c:pt>
                <c:pt idx="5">
                  <c:v>0.57006268947447847</c:v>
                </c:pt>
                <c:pt idx="6">
                  <c:v>0.57362395280610956</c:v>
                </c:pt>
                <c:pt idx="7">
                  <c:v>0.50564000255177488</c:v>
                </c:pt>
                <c:pt idx="8">
                  <c:v>0.6983152292095971</c:v>
                </c:pt>
                <c:pt idx="9">
                  <c:v>0.87572318373175162</c:v>
                </c:pt>
                <c:pt idx="10">
                  <c:v>0.66651657154824906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70-FA4E-88E6-6142477F4458}"/>
            </c:ext>
          </c:extLst>
        </c:ser>
        <c:ser>
          <c:idx val="2"/>
          <c:order val="2"/>
          <c:tx>
            <c:strRef>
              <c:f>'R7H2E'!$G$31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'R7H2E'!$G$32:$G$43</c:f>
              <c:numCache>
                <c:formatCode>0.00</c:formatCode>
                <c:ptCount val="12"/>
                <c:pt idx="0">
                  <c:v>-0.58827220077220077</c:v>
                </c:pt>
                <c:pt idx="1">
                  <c:v>-0.54802920718413684</c:v>
                </c:pt>
                <c:pt idx="2">
                  <c:v>-0.37598195954360347</c:v>
                </c:pt>
                <c:pt idx="3">
                  <c:v>-0.24478001602041122</c:v>
                </c:pt>
                <c:pt idx="4">
                  <c:v>-0.19711286089238844</c:v>
                </c:pt>
                <c:pt idx="5">
                  <c:v>-9.0076792659818494E-2</c:v>
                </c:pt>
                <c:pt idx="6">
                  <c:v>-0.14794794794794774</c:v>
                </c:pt>
                <c:pt idx="7">
                  <c:v>-0.15883121811358947</c:v>
                </c:pt>
                <c:pt idx="8">
                  <c:v>1.2293909508394263E-2</c:v>
                </c:pt>
                <c:pt idx="9">
                  <c:v>-3.5886880257741227E-2</c:v>
                </c:pt>
                <c:pt idx="10">
                  <c:v>-7.6893795203653026E-3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70-FA4E-88E6-6142477F4458}"/>
            </c:ext>
          </c:extLst>
        </c:ser>
        <c:ser>
          <c:idx val="3"/>
          <c:order val="3"/>
          <c:tx>
            <c:strRef>
              <c:f>'R7H2E'!$I$31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'R7H2E'!$I$32:$I$43</c:f>
              <c:numCache>
                <c:formatCode>0.00</c:formatCode>
                <c:ptCount val="12"/>
                <c:pt idx="0">
                  <c:v>-0.88223140495867769</c:v>
                </c:pt>
                <c:pt idx="1">
                  <c:v>-0.87614945873588634</c:v>
                </c:pt>
                <c:pt idx="2">
                  <c:v>-0.86311661846587695</c:v>
                </c:pt>
                <c:pt idx="3">
                  <c:v>-0.86003937186453905</c:v>
                </c:pt>
                <c:pt idx="4">
                  <c:v>-0.83844168239300665</c:v>
                </c:pt>
                <c:pt idx="5">
                  <c:v>-0.80531243328962221</c:v>
                </c:pt>
                <c:pt idx="6">
                  <c:v>-0.82463327917873364</c:v>
                </c:pt>
                <c:pt idx="7">
                  <c:v>-0.86281765320199588</c:v>
                </c:pt>
                <c:pt idx="8">
                  <c:v>-0.77342940675429916</c:v>
                </c:pt>
                <c:pt idx="9">
                  <c:v>-0.3011876744567894</c:v>
                </c:pt>
                <c:pt idx="10">
                  <c:v>-0.21354906297287846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70-FA4E-88E6-6142477F4458}"/>
            </c:ext>
          </c:extLst>
        </c:ser>
        <c:ser>
          <c:idx val="4"/>
          <c:order val="4"/>
          <c:tx>
            <c:strRef>
              <c:f>'R7H2E'!$J$31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'R7H2E'!$J$32:$J$43</c:f>
              <c:numCache>
                <c:formatCode>0.00</c:formatCode>
                <c:ptCount val="12"/>
                <c:pt idx="0">
                  <c:v>-0.82766439909297052</c:v>
                </c:pt>
                <c:pt idx="1">
                  <c:v>-0.87025181391378581</c:v>
                </c:pt>
                <c:pt idx="2">
                  <c:v>-0.89483879894838803</c:v>
                </c:pt>
                <c:pt idx="3">
                  <c:v>-0.96292230759848763</c:v>
                </c:pt>
                <c:pt idx="4">
                  <c:v>-0.9778361038203558</c:v>
                </c:pt>
                <c:pt idx="5">
                  <c:v>-1</c:v>
                </c:pt>
                <c:pt idx="6">
                  <c:v>-0.97594175371953151</c:v>
                </c:pt>
                <c:pt idx="7">
                  <c:v>-0.97365227942451027</c:v>
                </c:pt>
                <c:pt idx="8">
                  <c:v>-0.9764778706282885</c:v>
                </c:pt>
                <c:pt idx="9">
                  <c:v>-0.94407652685798382</c:v>
                </c:pt>
                <c:pt idx="10">
                  <c:v>-0.80970266040688577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70-FA4E-88E6-6142477F4458}"/>
            </c:ext>
          </c:extLst>
        </c:ser>
        <c:ser>
          <c:idx val="5"/>
          <c:order val="5"/>
          <c:tx>
            <c:strRef>
              <c:f>'R7H2E'!$K$31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'R7H2E'!$K$32:$K$43</c:f>
              <c:numCache>
                <c:formatCode>0.00</c:formatCode>
                <c:ptCount val="12"/>
                <c:pt idx="0">
                  <c:v>0.47023809523809557</c:v>
                </c:pt>
                <c:pt idx="1">
                  <c:v>0.36235595390524966</c:v>
                </c:pt>
                <c:pt idx="2">
                  <c:v>0.10419261104192623</c:v>
                </c:pt>
                <c:pt idx="3">
                  <c:v>-0.41602634467618005</c:v>
                </c:pt>
                <c:pt idx="4">
                  <c:v>-6.911636045494296E-2</c:v>
                </c:pt>
                <c:pt idx="5">
                  <c:v>-0.18204182041820416</c:v>
                </c:pt>
                <c:pt idx="6">
                  <c:v>1.0446343779677347E-2</c:v>
                </c:pt>
                <c:pt idx="7">
                  <c:v>-3.1721268850753992E-2</c:v>
                </c:pt>
                <c:pt idx="8">
                  <c:v>0.23491179201485624</c:v>
                </c:pt>
                <c:pt idx="9">
                  <c:v>0.76158940397351005</c:v>
                </c:pt>
                <c:pt idx="10">
                  <c:v>0.12394366197183126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70-FA4E-88E6-6142477F4458}"/>
            </c:ext>
          </c:extLst>
        </c:ser>
        <c:ser>
          <c:idx val="6"/>
          <c:order val="6"/>
          <c:tx>
            <c:strRef>
              <c:f>'R7H2E'!$L$31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'R7H2E'!$L$32:$L$43</c:f>
              <c:numCache>
                <c:formatCode>0.00</c:formatCode>
                <c:ptCount val="12"/>
                <c:pt idx="0">
                  <c:v>-0.28319919517102599</c:v>
                </c:pt>
                <c:pt idx="1">
                  <c:v>-0.28044579899370603</c:v>
                </c:pt>
                <c:pt idx="2">
                  <c:v>-0.33748443337484435</c:v>
                </c:pt>
                <c:pt idx="3">
                  <c:v>-0.47360121210247219</c:v>
                </c:pt>
                <c:pt idx="4">
                  <c:v>-0.44933643857898042</c:v>
                </c:pt>
                <c:pt idx="5">
                  <c:v>-0.48848812431786293</c:v>
                </c:pt>
                <c:pt idx="6">
                  <c:v>-0.50900846675494549</c:v>
                </c:pt>
                <c:pt idx="7">
                  <c:v>-0.38045747181999945</c:v>
                </c:pt>
                <c:pt idx="8">
                  <c:v>-5.0335438816744404E-2</c:v>
                </c:pt>
                <c:pt idx="9">
                  <c:v>1.8036563753381216</c:v>
                </c:pt>
                <c:pt idx="10">
                  <c:v>1.3132315016861851E-2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70-FA4E-88E6-6142477F4458}"/>
            </c:ext>
          </c:extLst>
        </c:ser>
        <c:ser>
          <c:idx val="7"/>
          <c:order val="7"/>
          <c:tx>
            <c:strRef>
              <c:f>'R7H2E'!$O$31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'R7H2E'!$O$32:$O$43</c:f>
              <c:numCache>
                <c:formatCode>0.00</c:formatCode>
                <c:ptCount val="12"/>
                <c:pt idx="0">
                  <c:v>0.4280273589305148</c:v>
                </c:pt>
                <c:pt idx="1">
                  <c:v>0.14888559768941079</c:v>
                </c:pt>
                <c:pt idx="2">
                  <c:v>0.3307984069532508</c:v>
                </c:pt>
                <c:pt idx="3">
                  <c:v>0.4945658730376763</c:v>
                </c:pt>
                <c:pt idx="4">
                  <c:v>0.50420261667509192</c:v>
                </c:pt>
                <c:pt idx="5">
                  <c:v>0.51664933406679014</c:v>
                </c:pt>
                <c:pt idx="6">
                  <c:v>0.55360248504971077</c:v>
                </c:pt>
                <c:pt idx="7">
                  <c:v>0.45219232055462855</c:v>
                </c:pt>
                <c:pt idx="8">
                  <c:v>0.57541957013951839</c:v>
                </c:pt>
                <c:pt idx="9">
                  <c:v>0.53540055776146001</c:v>
                </c:pt>
                <c:pt idx="10">
                  <c:v>0.53283575227206592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70-FA4E-88E6-6142477F4458}"/>
            </c:ext>
          </c:extLst>
        </c:ser>
        <c:ser>
          <c:idx val="8"/>
          <c:order val="8"/>
          <c:tx>
            <c:strRef>
              <c:f>'R7H2E'!$M$31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'R7H2E'!$M$32:$M$43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'R7H2E'!$E$7:$E$18</c:f>
              <c:numCache>
                <c:formatCode>General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70-FA4E-88E6-6142477F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5.2744922118753833E-2"/>
              <c:y val="0.476340380615317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'R7H2E'!$AM$25:$AM$36</c:f>
              <c:numCache>
                <c:formatCode>General</c:formatCode>
                <c:ptCount val="12"/>
                <c:pt idx="0">
                  <c:v>0.85228539576365669</c:v>
                </c:pt>
                <c:pt idx="1">
                  <c:v>0.75242165242165238</c:v>
                </c:pt>
                <c:pt idx="2">
                  <c:v>0.71282051282051273</c:v>
                </c:pt>
                <c:pt idx="3">
                  <c:v>0.47521367521367514</c:v>
                </c:pt>
                <c:pt idx="4">
                  <c:v>0.53461538461538449</c:v>
                </c:pt>
                <c:pt idx="5">
                  <c:v>0.47521367521367514</c:v>
                </c:pt>
                <c:pt idx="6">
                  <c:v>0.35641025641025637</c:v>
                </c:pt>
                <c:pt idx="7">
                  <c:v>0.78410256410256396</c:v>
                </c:pt>
                <c:pt idx="8">
                  <c:v>0.71282051282051273</c:v>
                </c:pt>
                <c:pt idx="9">
                  <c:v>0.78410256410256396</c:v>
                </c:pt>
                <c:pt idx="10">
                  <c:v>0.84647435897435885</c:v>
                </c:pt>
                <c:pt idx="11">
                  <c:v>0.8553846153846153</c:v>
                </c:pt>
              </c:numCache>
            </c:numRef>
          </c:xVal>
          <c:yVal>
            <c:numRef>
              <c:f>'R7H2E'!$AO$25:$AO$36</c:f>
              <c:numCache>
                <c:formatCode>0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51-2D4E-B578-14EF22134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R7H2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'R7H2E'!$BP$25:$BP$36</c:f>
              <c:numCache>
                <c:formatCode>0.00</c:formatCode>
                <c:ptCount val="12"/>
                <c:pt idx="0">
                  <c:v>1.3085727696987752</c:v>
                </c:pt>
                <c:pt idx="1">
                  <c:v>1.7746801427761496</c:v>
                </c:pt>
                <c:pt idx="2">
                  <c:v>2.2991761362997991</c:v>
                </c:pt>
                <c:pt idx="3">
                  <c:v>1.6781741613890133</c:v>
                </c:pt>
                <c:pt idx="4">
                  <c:v>1.5899075140174119</c:v>
                </c:pt>
                <c:pt idx="5">
                  <c:v>1.8511242536669017</c:v>
                </c:pt>
                <c:pt idx="6">
                  <c:v>2.2364574874061756</c:v>
                </c:pt>
                <c:pt idx="7">
                  <c:v>1.3636691179713616</c:v>
                </c:pt>
                <c:pt idx="8">
                  <c:v>0.91699715761639766</c:v>
                </c:pt>
                <c:pt idx="9">
                  <c:v>1.8350163277891194</c:v>
                </c:pt>
                <c:pt idx="10">
                  <c:v>0.55646751812714035</c:v>
                </c:pt>
                <c:pt idx="11">
                  <c:v>0.53998442527251367</c:v>
                </c:pt>
              </c:numCache>
            </c:numRef>
          </c:xVal>
          <c:yVal>
            <c:numRef>
              <c:f>'R7H2E'!$AO$25:$AO$36</c:f>
              <c:numCache>
                <c:formatCode>0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C4-8746-9157-470A96E2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R7H2 Ce/Ce*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'R7H2E'!$BF$25:$BF$36</c:f>
              <c:numCache>
                <c:formatCode>0.0</c:formatCode>
                <c:ptCount val="12"/>
                <c:pt idx="0">
                  <c:v>26.79</c:v>
                </c:pt>
                <c:pt idx="1">
                  <c:v>26.32</c:v>
                </c:pt>
                <c:pt idx="2">
                  <c:v>35.67</c:v>
                </c:pt>
                <c:pt idx="3">
                  <c:v>46.12</c:v>
                </c:pt>
                <c:pt idx="4">
                  <c:v>39.549999999999997</c:v>
                </c:pt>
                <c:pt idx="5">
                  <c:v>29.020000000000003</c:v>
                </c:pt>
                <c:pt idx="6">
                  <c:v>37.29</c:v>
                </c:pt>
                <c:pt idx="7">
                  <c:v>32.619999999999997</c:v>
                </c:pt>
                <c:pt idx="8">
                  <c:v>41.459999999999994</c:v>
                </c:pt>
                <c:pt idx="9">
                  <c:v>36.159999999999997</c:v>
                </c:pt>
                <c:pt idx="10">
                  <c:v>40.14</c:v>
                </c:pt>
                <c:pt idx="11">
                  <c:v>42.819999999999993</c:v>
                </c:pt>
              </c:numCache>
            </c:numRef>
          </c:xVal>
          <c:yVal>
            <c:numRef>
              <c:f>'R7H2E'!$AO$25:$AO$36</c:f>
              <c:numCache>
                <c:formatCode>0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4-5B49-9C07-ED7165E2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R7H2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763149110751"/>
          <c:y val="0.12483310076284287"/>
          <c:w val="0.26442314625306279"/>
          <c:h val="0.849262355828435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'R7H2E'!$BD$25:$BD$36</c:f>
              <c:numCache>
                <c:formatCode>0.0</c:formatCode>
                <c:ptCount val="12"/>
                <c:pt idx="0">
                  <c:v>379.59000000000003</c:v>
                </c:pt>
                <c:pt idx="1">
                  <c:v>328.0200000000001</c:v>
                </c:pt>
                <c:pt idx="2">
                  <c:v>108.28000000000002</c:v>
                </c:pt>
                <c:pt idx="3">
                  <c:v>52.5</c:v>
                </c:pt>
                <c:pt idx="4">
                  <c:v>43.420000000000016</c:v>
                </c:pt>
                <c:pt idx="5">
                  <c:v>62.47</c:v>
                </c:pt>
                <c:pt idx="6">
                  <c:v>47.620000000000019</c:v>
                </c:pt>
                <c:pt idx="7">
                  <c:v>99.34</c:v>
                </c:pt>
                <c:pt idx="8">
                  <c:v>97.739999999999981</c:v>
                </c:pt>
                <c:pt idx="9">
                  <c:v>144.75</c:v>
                </c:pt>
                <c:pt idx="10">
                  <c:v>97.22</c:v>
                </c:pt>
                <c:pt idx="11">
                  <c:v>136.62</c:v>
                </c:pt>
              </c:numCache>
            </c:numRef>
          </c:xVal>
          <c:yVal>
            <c:numRef>
              <c:f>'R7H2E'!$AO$25:$AO$36</c:f>
              <c:numCache>
                <c:formatCode>0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0-CE48-AE51-997CA8C4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logBase val="10"/>
          <c:orientation val="minMax"/>
          <c:max val="100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R7H2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R7H2</a:t>
            </a:r>
            <a:r>
              <a:rPr lang="en-US" sz="2400" baseline="0"/>
              <a:t> </a:t>
            </a:r>
            <a:r>
              <a:rPr lang="en-US" sz="2400"/>
              <a:t> REE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'R7H2E'!$AO$25</c:f>
              <c:strCache>
                <c:ptCount val="1"/>
                <c:pt idx="0">
                  <c:v>6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'R7H2E'!$AP$25:$BC$25</c:f>
              <c:numCache>
                <c:formatCode>0.00</c:formatCode>
                <c:ptCount val="14"/>
                <c:pt idx="0">
                  <c:v>161.58038147138964</c:v>
                </c:pt>
                <c:pt idx="1">
                  <c:v>181.81818181818181</c:v>
                </c:pt>
                <c:pt idx="2">
                  <c:v>125.54744525547444</c:v>
                </c:pt>
                <c:pt idx="3">
                  <c:v>93.670886075949369</c:v>
                </c:pt>
                <c:pt idx="4">
                  <c:v>62.770562770562769</c:v>
                </c:pt>
                <c:pt idx="5">
                  <c:v>44.137931034482762</c:v>
                </c:pt>
                <c:pt idx="6">
                  <c:v>40.196078431372555</c:v>
                </c:pt>
                <c:pt idx="7">
                  <c:v>32.758620689655167</c:v>
                </c:pt>
                <c:pt idx="8">
                  <c:v>31.496062992125985</c:v>
                </c:pt>
                <c:pt idx="9">
                  <c:v>27.058823529411761</c:v>
                </c:pt>
                <c:pt idx="10">
                  <c:v>26.506024096385541</c:v>
                </c:pt>
                <c:pt idx="11">
                  <c:v>27.500000000000004</c:v>
                </c:pt>
                <c:pt idx="12">
                  <c:v>28.225806451612904</c:v>
                </c:pt>
                <c:pt idx="13">
                  <c:v>27.894736842105264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1-5844-A214-C639B7E95B17}"/>
            </c:ext>
          </c:extLst>
        </c:ser>
        <c:ser>
          <c:idx val="1"/>
          <c:order val="1"/>
          <c:tx>
            <c:strRef>
              <c:f>'R7H2E'!$AO$26</c:f>
              <c:strCache>
                <c:ptCount val="1"/>
                <c:pt idx="0">
                  <c:v>21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'R7H2E'!$AP$26:$BC$26</c:f>
              <c:numCache>
                <c:formatCode>0.00</c:formatCode>
                <c:ptCount val="14"/>
                <c:pt idx="0">
                  <c:v>113.89645776566756</c:v>
                </c:pt>
                <c:pt idx="1">
                  <c:v>178.68338557993732</c:v>
                </c:pt>
                <c:pt idx="2">
                  <c:v>97.080291970802918</c:v>
                </c:pt>
                <c:pt idx="3">
                  <c:v>74.261603375527429</c:v>
                </c:pt>
                <c:pt idx="4">
                  <c:v>50.649350649350644</c:v>
                </c:pt>
                <c:pt idx="5">
                  <c:v>35.632183908045981</c:v>
                </c:pt>
                <c:pt idx="6">
                  <c:v>32.026143790849673</c:v>
                </c:pt>
                <c:pt idx="7">
                  <c:v>25.862068965517238</c:v>
                </c:pt>
                <c:pt idx="8">
                  <c:v>23.884514435695536</c:v>
                </c:pt>
                <c:pt idx="9">
                  <c:v>21.176470588235293</c:v>
                </c:pt>
                <c:pt idx="10">
                  <c:v>20.481927710843372</c:v>
                </c:pt>
                <c:pt idx="11">
                  <c:v>21.388888888888889</c:v>
                </c:pt>
                <c:pt idx="12">
                  <c:v>21.7741935483871</c:v>
                </c:pt>
                <c:pt idx="13">
                  <c:v>22.368421052631579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1-5844-A214-C639B7E95B17}"/>
            </c:ext>
          </c:extLst>
        </c:ser>
        <c:ser>
          <c:idx val="2"/>
          <c:order val="2"/>
          <c:tx>
            <c:strRef>
              <c:f>'R7H2E'!$AO$27</c:f>
              <c:strCache>
                <c:ptCount val="1"/>
                <c:pt idx="0">
                  <c:v>58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'R7H2E'!$AP$27:$BC$27</c:f>
              <c:numCache>
                <c:formatCode>0.00</c:formatCode>
                <c:ptCount val="14"/>
                <c:pt idx="0">
                  <c:v>34.332425068119889</c:v>
                </c:pt>
                <c:pt idx="1">
                  <c:v>67.607105538140033</c:v>
                </c:pt>
                <c:pt idx="2">
                  <c:v>26.204379562043794</c:v>
                </c:pt>
                <c:pt idx="3">
                  <c:v>19.549929676511958</c:v>
                </c:pt>
                <c:pt idx="4">
                  <c:v>12.987012987012987</c:v>
                </c:pt>
                <c:pt idx="5">
                  <c:v>8.9655172413793114</c:v>
                </c:pt>
                <c:pt idx="6">
                  <c:v>8.1699346405228752</c:v>
                </c:pt>
                <c:pt idx="7">
                  <c:v>6.8965517241379315</c:v>
                </c:pt>
                <c:pt idx="8">
                  <c:v>6.5616797900262469</c:v>
                </c:pt>
                <c:pt idx="9">
                  <c:v>5.8823529411764701</c:v>
                </c:pt>
                <c:pt idx="10">
                  <c:v>6.024096385542169</c:v>
                </c:pt>
                <c:pt idx="11">
                  <c:v>6.3888888888888893</c:v>
                </c:pt>
                <c:pt idx="12">
                  <c:v>7.2580645161290329</c:v>
                </c:pt>
                <c:pt idx="13">
                  <c:v>7.3684210526315796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1-5844-A214-C639B7E95B17}"/>
            </c:ext>
          </c:extLst>
        </c:ser>
        <c:ser>
          <c:idx val="3"/>
          <c:order val="3"/>
          <c:tx>
            <c:strRef>
              <c:f>'R7H2E'!$AO$28</c:f>
              <c:strCache>
                <c:ptCount val="1"/>
                <c:pt idx="0">
                  <c:v>103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'R7H2E'!$AP$28:$BC$28</c:f>
              <c:numCache>
                <c:formatCode>0.00</c:formatCode>
                <c:ptCount val="14"/>
                <c:pt idx="0">
                  <c:v>22.888283378746596</c:v>
                </c:pt>
                <c:pt idx="1">
                  <c:v>30.721003134796238</c:v>
                </c:pt>
                <c:pt idx="2">
                  <c:v>13.795620437956202</c:v>
                </c:pt>
                <c:pt idx="3">
                  <c:v>9.1420534458509142</c:v>
                </c:pt>
                <c:pt idx="4">
                  <c:v>5.6277056277056277</c:v>
                </c:pt>
                <c:pt idx="5">
                  <c:v>3.6781609195402303</c:v>
                </c:pt>
                <c:pt idx="6">
                  <c:v>3.5947712418300659</c:v>
                </c:pt>
                <c:pt idx="7">
                  <c:v>3.4482758620689657</c:v>
                </c:pt>
                <c:pt idx="8">
                  <c:v>3.1496062992125982</c:v>
                </c:pt>
                <c:pt idx="9">
                  <c:v>3.5294117647058818</c:v>
                </c:pt>
                <c:pt idx="10">
                  <c:v>2.8112449799196786</c:v>
                </c:pt>
                <c:pt idx="11">
                  <c:v>3.6111111111111116</c:v>
                </c:pt>
                <c:pt idx="12">
                  <c:v>3.6290322580645165</c:v>
                </c:pt>
                <c:pt idx="13">
                  <c:v>4.2105263157894735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1-5844-A214-C639B7E95B17}"/>
            </c:ext>
          </c:extLst>
        </c:ser>
        <c:ser>
          <c:idx val="4"/>
          <c:order val="4"/>
          <c:tx>
            <c:strRef>
              <c:f>'R7H2E'!$AO$29</c:f>
              <c:strCache>
                <c:ptCount val="1"/>
                <c:pt idx="0">
                  <c:v>132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'R7H2E'!$AP$29:$BC$29</c:f>
              <c:numCache>
                <c:formatCode>0.00</c:formatCode>
                <c:ptCount val="14"/>
                <c:pt idx="0">
                  <c:v>19.891008174386922</c:v>
                </c:pt>
                <c:pt idx="1">
                  <c:v>25.1828631138976</c:v>
                </c:pt>
                <c:pt idx="2">
                  <c:v>11.751824817518248</c:v>
                </c:pt>
                <c:pt idx="3">
                  <c:v>7.7355836849507735</c:v>
                </c:pt>
                <c:pt idx="4">
                  <c:v>4.7619047619047619</c:v>
                </c:pt>
                <c:pt idx="5">
                  <c:v>3.2183908045977017</c:v>
                </c:pt>
                <c:pt idx="6">
                  <c:v>2.6143790849673203</c:v>
                </c:pt>
                <c:pt idx="7">
                  <c:v>1.7241379310344829</c:v>
                </c:pt>
                <c:pt idx="8">
                  <c:v>2.3622047244094491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2.7777777777777781</c:v>
                </c:pt>
                <c:pt idx="12">
                  <c:v>2.82258064516129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1-5844-A214-C639B7E95B17}"/>
            </c:ext>
          </c:extLst>
        </c:ser>
        <c:ser>
          <c:idx val="5"/>
          <c:order val="5"/>
          <c:tx>
            <c:strRef>
              <c:f>'R7H2E'!$AO$30</c:f>
              <c:strCache>
                <c:ptCount val="1"/>
                <c:pt idx="0">
                  <c:v>172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'R7H2E'!$AP$30:$BC$30</c:f>
              <c:numCache>
                <c:formatCode>0.00</c:formatCode>
                <c:ptCount val="14"/>
                <c:pt idx="0">
                  <c:v>24.250681198910083</c:v>
                </c:pt>
                <c:pt idx="1">
                  <c:v>37.304075235109721</c:v>
                </c:pt>
                <c:pt idx="2">
                  <c:v>16.496350364963501</c:v>
                </c:pt>
                <c:pt idx="3">
                  <c:v>11.954992967651195</c:v>
                </c:pt>
                <c:pt idx="4">
                  <c:v>6.9264069264069263</c:v>
                </c:pt>
                <c:pt idx="5">
                  <c:v>4.8275862068965516</c:v>
                </c:pt>
                <c:pt idx="6">
                  <c:v>3.9215686274509802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3.5294117647058818</c:v>
                </c:pt>
                <c:pt idx="10">
                  <c:v>3.2128514056224899</c:v>
                </c:pt>
                <c:pt idx="11">
                  <c:v>3.6111111111111116</c:v>
                </c:pt>
                <c:pt idx="12">
                  <c:v>4.032258064516129</c:v>
                </c:pt>
                <c:pt idx="13">
                  <c:v>4.2105263157894735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1-5844-A214-C639B7E95B17}"/>
            </c:ext>
          </c:extLst>
        </c:ser>
        <c:ser>
          <c:idx val="6"/>
          <c:order val="6"/>
          <c:tx>
            <c:strRef>
              <c:f>'R7H2E'!$AO$31</c:f>
              <c:strCache>
                <c:ptCount val="1"/>
                <c:pt idx="0">
                  <c:v>250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'R7H2E'!$AP$31:$BC$31</c:f>
              <c:numCache>
                <c:formatCode>0.00</c:formatCode>
                <c:ptCount val="14"/>
                <c:pt idx="0">
                  <c:v>17.438692098092645</c:v>
                </c:pt>
                <c:pt idx="1">
                  <c:v>31.347962382445143</c:v>
                </c:pt>
                <c:pt idx="2">
                  <c:v>10.43795620437956</c:v>
                </c:pt>
                <c:pt idx="3">
                  <c:v>7.1729957805907167</c:v>
                </c:pt>
                <c:pt idx="4">
                  <c:v>4.329004329004329</c:v>
                </c:pt>
                <c:pt idx="5">
                  <c:v>3.1034482758620694</c:v>
                </c:pt>
                <c:pt idx="6">
                  <c:v>2.2875816993464051</c:v>
                </c:pt>
                <c:pt idx="7">
                  <c:v>1.7241379310344829</c:v>
                </c:pt>
                <c:pt idx="8">
                  <c:v>2.3622047244094491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2.5</c:v>
                </c:pt>
                <c:pt idx="12">
                  <c:v>2.82258064516129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01-5844-A214-C639B7E95B17}"/>
            </c:ext>
          </c:extLst>
        </c:ser>
        <c:ser>
          <c:idx val="7"/>
          <c:order val="7"/>
          <c:tx>
            <c:strRef>
              <c:f>'R7H2E'!$AO$32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'R7H2E'!$AP$32:$BC$32</c:f>
              <c:numCache>
                <c:formatCode>0.00</c:formatCode>
                <c:ptCount val="14"/>
                <c:pt idx="0">
                  <c:v>41.689373297002724</c:v>
                </c:pt>
                <c:pt idx="1">
                  <c:v>49.216300940438877</c:v>
                </c:pt>
                <c:pt idx="2">
                  <c:v>33.357664233576642</c:v>
                </c:pt>
                <c:pt idx="3">
                  <c:v>24.894514767932488</c:v>
                </c:pt>
                <c:pt idx="4">
                  <c:v>16.017316017316016</c:v>
                </c:pt>
                <c:pt idx="5">
                  <c:v>10.804597701149426</c:v>
                </c:pt>
                <c:pt idx="6">
                  <c:v>8.8235294117647065</c:v>
                </c:pt>
                <c:pt idx="7">
                  <c:v>6.8965517241379315</c:v>
                </c:pt>
                <c:pt idx="8">
                  <c:v>6.8241469816272966</c:v>
                </c:pt>
                <c:pt idx="9">
                  <c:v>5.8823529411764701</c:v>
                </c:pt>
                <c:pt idx="10">
                  <c:v>6.024096385542169</c:v>
                </c:pt>
                <c:pt idx="11">
                  <c:v>6.666666666666667</c:v>
                </c:pt>
                <c:pt idx="12">
                  <c:v>7.2580645161290329</c:v>
                </c:pt>
                <c:pt idx="13">
                  <c:v>7.6315789473684204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01-5844-A214-C639B7E95B17}"/>
            </c:ext>
          </c:extLst>
        </c:ser>
        <c:ser>
          <c:idx val="8"/>
          <c:order val="8"/>
          <c:tx>
            <c:strRef>
              <c:f>'R7H2E'!$AO$33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'R7H2E'!$AP$33:$BC$33</c:f>
              <c:numCache>
                <c:formatCode>0.00</c:formatCode>
                <c:ptCount val="14"/>
                <c:pt idx="0">
                  <c:v>46.866485013623979</c:v>
                </c:pt>
                <c:pt idx="1">
                  <c:v>37.722048066875658</c:v>
                </c:pt>
                <c:pt idx="2">
                  <c:v>38.686131386861312</c:v>
                </c:pt>
                <c:pt idx="3">
                  <c:v>29.676511954992971</c:v>
                </c:pt>
                <c:pt idx="4">
                  <c:v>19.480519480519479</c:v>
                </c:pt>
                <c:pt idx="5">
                  <c:v>14.022988505747128</c:v>
                </c:pt>
                <c:pt idx="6">
                  <c:v>11.437908496732026</c:v>
                </c:pt>
                <c:pt idx="7">
                  <c:v>8.6206896551724128</c:v>
                </c:pt>
                <c:pt idx="8">
                  <c:v>8.3989501312335957</c:v>
                </c:pt>
                <c:pt idx="9">
                  <c:v>7.0588235294117636</c:v>
                </c:pt>
                <c:pt idx="10">
                  <c:v>7.2289156626506026</c:v>
                </c:pt>
                <c:pt idx="11">
                  <c:v>7.7777777777777795</c:v>
                </c:pt>
                <c:pt idx="12">
                  <c:v>8.4677419354838719</c:v>
                </c:pt>
                <c:pt idx="13">
                  <c:v>8.9473684210526319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01-5844-A214-C639B7E95B17}"/>
            </c:ext>
          </c:extLst>
        </c:ser>
        <c:ser>
          <c:idx val="9"/>
          <c:order val="9"/>
          <c:tx>
            <c:strRef>
              <c:f>'R7H2E'!$AO$34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'R7H2E'!$AP$34:$BC$34</c:f>
              <c:numCache>
                <c:formatCode>0.00</c:formatCode>
                <c:ptCount val="14"/>
                <c:pt idx="0">
                  <c:v>55.313351498637608</c:v>
                </c:pt>
                <c:pt idx="1">
                  <c:v>85.475444096133756</c:v>
                </c:pt>
                <c:pt idx="2">
                  <c:v>39.562043795620433</c:v>
                </c:pt>
                <c:pt idx="3">
                  <c:v>29.11392405063291</c:v>
                </c:pt>
                <c:pt idx="4">
                  <c:v>18.614718614718612</c:v>
                </c:pt>
                <c:pt idx="5">
                  <c:v>13.448275862068966</c:v>
                </c:pt>
                <c:pt idx="6">
                  <c:v>10.784313725490195</c:v>
                </c:pt>
                <c:pt idx="7">
                  <c:v>8.6206896551724128</c:v>
                </c:pt>
                <c:pt idx="8">
                  <c:v>7.0866141732283472</c:v>
                </c:pt>
                <c:pt idx="9">
                  <c:v>5.8823529411764701</c:v>
                </c:pt>
                <c:pt idx="10">
                  <c:v>6.8273092369477908</c:v>
                </c:pt>
                <c:pt idx="11">
                  <c:v>7.2222222222222232</c:v>
                </c:pt>
                <c:pt idx="12">
                  <c:v>7.2580645161290329</c:v>
                </c:pt>
                <c:pt idx="13">
                  <c:v>7.8947368421052628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01-5844-A214-C639B7E95B17}"/>
            </c:ext>
          </c:extLst>
        </c:ser>
        <c:ser>
          <c:idx val="10"/>
          <c:order val="10"/>
          <c:tx>
            <c:strRef>
              <c:f>'R7H2E'!$AO$35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'R7H2E'!$AP$35:$BC$35</c:f>
              <c:numCache>
                <c:formatCode>0.00</c:formatCode>
                <c:ptCount val="14"/>
                <c:pt idx="0">
                  <c:v>59.945504087193463</c:v>
                </c:pt>
                <c:pt idx="1">
                  <c:v>27.899686520376175</c:v>
                </c:pt>
                <c:pt idx="2">
                  <c:v>40.43795620437956</c:v>
                </c:pt>
                <c:pt idx="3">
                  <c:v>30.520393811533051</c:v>
                </c:pt>
                <c:pt idx="4">
                  <c:v>20.779220779220779</c:v>
                </c:pt>
                <c:pt idx="5">
                  <c:v>15.632183908045979</c:v>
                </c:pt>
                <c:pt idx="6">
                  <c:v>14.379084967320264</c:v>
                </c:pt>
                <c:pt idx="7">
                  <c:v>12.068965517241377</c:v>
                </c:pt>
                <c:pt idx="8">
                  <c:v>9.9737532808398939</c:v>
                </c:pt>
                <c:pt idx="9">
                  <c:v>9.4117647058823533</c:v>
                </c:pt>
                <c:pt idx="10">
                  <c:v>9.236947791164658</c:v>
                </c:pt>
                <c:pt idx="11">
                  <c:v>9.4444444444444464</c:v>
                </c:pt>
                <c:pt idx="12">
                  <c:v>9.67741935483871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01-5844-A214-C639B7E95B17}"/>
            </c:ext>
          </c:extLst>
        </c:ser>
        <c:ser>
          <c:idx val="11"/>
          <c:order val="11"/>
          <c:tx>
            <c:strRef>
              <c:f>'R7H2E'!$AO$36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'R7H2E'!$AP$23:$BC$23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'R7H2E'!$AP$36:$BC$36</c:f>
              <c:numCache>
                <c:formatCode>0.00</c:formatCode>
                <c:ptCount val="14"/>
                <c:pt idx="0">
                  <c:v>80.108991825613074</c:v>
                </c:pt>
                <c:pt idx="1">
                  <c:v>36.154649947753398</c:v>
                </c:pt>
                <c:pt idx="2">
                  <c:v>53.430656934306569</c:v>
                </c:pt>
                <c:pt idx="3">
                  <c:v>40.646976090014064</c:v>
                </c:pt>
                <c:pt idx="4">
                  <c:v>29.870129870129869</c:v>
                </c:pt>
                <c:pt idx="5">
                  <c:v>24.597701149425291</c:v>
                </c:pt>
                <c:pt idx="6">
                  <c:v>25.163398692810457</c:v>
                </c:pt>
                <c:pt idx="7">
                  <c:v>20.68965517241379</c:v>
                </c:pt>
                <c:pt idx="8">
                  <c:v>18.897637795275593</c:v>
                </c:pt>
                <c:pt idx="9">
                  <c:v>17.647058823529409</c:v>
                </c:pt>
                <c:pt idx="10">
                  <c:v>17.269076305220882</c:v>
                </c:pt>
                <c:pt idx="11">
                  <c:v>17.222222222222225</c:v>
                </c:pt>
                <c:pt idx="12">
                  <c:v>16.935483870967744</c:v>
                </c:pt>
                <c:pt idx="13">
                  <c:v>16.842105263157894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01-5844-A214-C639B7E95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449272"/>
        <c:axId val="2141309208"/>
      </c:lineChart>
      <c:catAx>
        <c:axId val="2141449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41309208"/>
        <c:crosses val="autoZero"/>
        <c:auto val="1"/>
        <c:lblAlgn val="ctr"/>
        <c:lblOffset val="100"/>
        <c:noMultiLvlLbl val="0"/>
      </c:catAx>
      <c:valAx>
        <c:axId val="2141309208"/>
        <c:scaling>
          <c:logBase val="10"/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41449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49653399839104E-2"/>
          <c:y val="5.0837342333921669E-2"/>
          <c:w val="0.82156390432120285"/>
          <c:h val="0.90362496207970322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'R7H2E'!$BD$25:$BD$36</c:f>
              <c:numCache>
                <c:formatCode>0.0</c:formatCode>
                <c:ptCount val="12"/>
                <c:pt idx="0">
                  <c:v>379.59000000000003</c:v>
                </c:pt>
                <c:pt idx="1">
                  <c:v>328.0200000000001</c:v>
                </c:pt>
                <c:pt idx="2">
                  <c:v>108.28000000000002</c:v>
                </c:pt>
                <c:pt idx="3">
                  <c:v>52.5</c:v>
                </c:pt>
                <c:pt idx="4">
                  <c:v>43.420000000000016</c:v>
                </c:pt>
                <c:pt idx="5">
                  <c:v>62.47</c:v>
                </c:pt>
                <c:pt idx="6">
                  <c:v>47.620000000000019</c:v>
                </c:pt>
                <c:pt idx="7">
                  <c:v>99.34</c:v>
                </c:pt>
                <c:pt idx="8">
                  <c:v>97.739999999999981</c:v>
                </c:pt>
                <c:pt idx="9">
                  <c:v>144.75</c:v>
                </c:pt>
                <c:pt idx="10">
                  <c:v>97.22</c:v>
                </c:pt>
                <c:pt idx="11">
                  <c:v>136.62</c:v>
                </c:pt>
              </c:numCache>
            </c:numRef>
          </c:xVal>
          <c:yVal>
            <c:numRef>
              <c:f>'R7H2E'!$AO$25:$AO$36</c:f>
              <c:numCache>
                <c:formatCode>0</c:formatCode>
                <c:ptCount val="12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2D-5042-93B2-33D9DCE4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284392"/>
        <c:axId val="2141289912"/>
      </c:scatterChart>
      <c:valAx>
        <c:axId val="2141284392"/>
        <c:scaling>
          <c:orientation val="minMax"/>
          <c:max val="12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R7H2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41289912"/>
        <c:crosses val="autoZero"/>
        <c:crossBetween val="midCat"/>
      </c:valAx>
      <c:valAx>
        <c:axId val="214128991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41284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'R7H2E'!$M$7:$M$20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0.71</c:v>
                </c:pt>
                <c:pt idx="3">
                  <c:v>0.64</c:v>
                </c:pt>
                <c:pt idx="4">
                  <c:v>0.56000000000000005</c:v>
                </c:pt>
                <c:pt idx="5">
                  <c:v>0.37</c:v>
                </c:pt>
                <c:pt idx="6">
                  <c:v>0.46</c:v>
                </c:pt>
                <c:pt idx="7">
                  <c:v>0.53</c:v>
                </c:pt>
                <c:pt idx="8">
                  <c:v>0.91</c:v>
                </c:pt>
                <c:pt idx="9">
                  <c:v>2.2599999999999998</c:v>
                </c:pt>
                <c:pt idx="10">
                  <c:v>0.96</c:v>
                </c:pt>
                <c:pt idx="11">
                  <c:v>1.42</c:v>
                </c:pt>
                <c:pt idx="12">
                  <c:v>0.92</c:v>
                </c:pt>
                <c:pt idx="13">
                  <c:v>3.17</c:v>
                </c:pt>
              </c:numCache>
            </c:numRef>
          </c:xVal>
          <c:yVal>
            <c:numRef>
              <c:f>'R7H2E'!$E$7:$E$20</c:f>
              <c:numCache>
                <c:formatCode>General</c:formatCode>
                <c:ptCount val="14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  <c:pt idx="12">
                  <c:v>1000</c:v>
                </c:pt>
                <c:pt idx="13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82-1448-B015-863BD898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65800"/>
        <c:axId val="-2137574472"/>
      </c:scatterChart>
      <c:valAx>
        <c:axId val="2141365800"/>
        <c:scaling>
          <c:orientation val="minMax"/>
          <c:max val="6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R7H2 K2O%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7574472"/>
        <c:crosses val="autoZero"/>
        <c:crossBetween val="midCat"/>
      </c:valAx>
      <c:valAx>
        <c:axId val="-2137574472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1365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R7H2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'R7H2E'!$BK$7:$BK$19</c:f>
              <c:numCache>
                <c:formatCode>0.0</c:formatCode>
                <c:ptCount val="13"/>
                <c:pt idx="0">
                  <c:v>96.781609195402282</c:v>
                </c:pt>
                <c:pt idx="1">
                  <c:v>97.155049786628737</c:v>
                </c:pt>
                <c:pt idx="2">
                  <c:v>97.986914947156507</c:v>
                </c:pt>
                <c:pt idx="3">
                  <c:v>98.529411764705884</c:v>
                </c:pt>
                <c:pt idx="4">
                  <c:v>98.279869827986971</c:v>
                </c:pt>
                <c:pt idx="5">
                  <c:v>98.110749185667743</c:v>
                </c:pt>
                <c:pt idx="6">
                  <c:v>98.142570281124492</c:v>
                </c:pt>
                <c:pt idx="7">
                  <c:v>98.387096774193537</c:v>
                </c:pt>
                <c:pt idx="8">
                  <c:v>97.824116047144145</c:v>
                </c:pt>
                <c:pt idx="9">
                  <c:v>94.799054373522452</c:v>
                </c:pt>
                <c:pt idx="10">
                  <c:v>93.565683646112603</c:v>
                </c:pt>
                <c:pt idx="11">
                  <c:v>85.590909090909079</c:v>
                </c:pt>
                <c:pt idx="12">
                  <c:v>65.087636191378493</c:v>
                </c:pt>
              </c:numCache>
            </c:numRef>
          </c:xVal>
          <c:yVal>
            <c:numRef>
              <c:f>'R7H2E'!$E$7:$E$19</c:f>
              <c:numCache>
                <c:formatCode>General</c:formatCode>
                <c:ptCount val="13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  <c:pt idx="1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4-2343-80FC-D1C5563C2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'R7H2E'!$Q$31</c:f>
              <c:strCache>
                <c:ptCount val="1"/>
                <c:pt idx="0">
                  <c:v>Y/Ho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'R7H2E'!$L$32:$L$43</c:f>
              <c:numCache>
                <c:formatCode>0.00</c:formatCode>
                <c:ptCount val="12"/>
                <c:pt idx="0">
                  <c:v>-0.28319919517102599</c:v>
                </c:pt>
                <c:pt idx="1">
                  <c:v>-0.28044579899370603</c:v>
                </c:pt>
                <c:pt idx="2">
                  <c:v>-0.33748443337484435</c:v>
                </c:pt>
                <c:pt idx="3">
                  <c:v>-0.47360121210247219</c:v>
                </c:pt>
                <c:pt idx="4">
                  <c:v>-0.44933643857898042</c:v>
                </c:pt>
                <c:pt idx="5">
                  <c:v>-0.48848812431786293</c:v>
                </c:pt>
                <c:pt idx="6">
                  <c:v>-0.50900846675494549</c:v>
                </c:pt>
                <c:pt idx="7">
                  <c:v>-0.38045747181999945</c:v>
                </c:pt>
                <c:pt idx="8">
                  <c:v>-5.0335438816744404E-2</c:v>
                </c:pt>
                <c:pt idx="9">
                  <c:v>1.8036563753381216</c:v>
                </c:pt>
                <c:pt idx="10">
                  <c:v>1.3132315016861851E-2</c:v>
                </c:pt>
                <c:pt idx="11">
                  <c:v>0</c:v>
                </c:pt>
              </c:numCache>
            </c:numRef>
          </c:xVal>
          <c:yVal>
            <c:numRef>
              <c:f>'R7H2E'!$Q$32:$Q$43</c:f>
              <c:numCache>
                <c:formatCode>General</c:formatCode>
                <c:ptCount val="12"/>
                <c:pt idx="0">
                  <c:v>23.913043478260871</c:v>
                </c:pt>
                <c:pt idx="1">
                  <c:v>21.111111111111111</c:v>
                </c:pt>
                <c:pt idx="2">
                  <c:v>20</c:v>
                </c:pt>
                <c:pt idx="3">
                  <c:v>13.333333333333334</c:v>
                </c:pt>
                <c:pt idx="4">
                  <c:v>15</c:v>
                </c:pt>
                <c:pt idx="5">
                  <c:v>13.333333333333334</c:v>
                </c:pt>
                <c:pt idx="6">
                  <c:v>10</c:v>
                </c:pt>
                <c:pt idx="7">
                  <c:v>22</c:v>
                </c:pt>
                <c:pt idx="8">
                  <c:v>20</c:v>
                </c:pt>
                <c:pt idx="9">
                  <c:v>22</c:v>
                </c:pt>
                <c:pt idx="10">
                  <c:v>23.75</c:v>
                </c:pt>
                <c:pt idx="11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2-834A-A5E3-9043BC46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105311"/>
        <c:axId val="1131056127"/>
      </c:scatterChart>
      <c:valAx>
        <c:axId val="1131105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56127"/>
        <c:crosses val="autoZero"/>
        <c:crossBetween val="midCat"/>
      </c:valAx>
      <c:valAx>
        <c:axId val="113105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105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R7H1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1463027851557"/>
          <c:y val="0.20982894042407874"/>
          <c:w val="0.73854508231472693"/>
          <c:h val="0.67877353571681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'R7H1E'!$E$29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'R7H1E'!$E$30:$E$41</c:f>
              <c:numCache>
                <c:formatCode>0.00</c:formatCode>
                <c:ptCount val="12"/>
                <c:pt idx="0">
                  <c:v>0.62332228089405128</c:v>
                </c:pt>
                <c:pt idx="1">
                  <c:v>0.22288593859035277</c:v>
                </c:pt>
                <c:pt idx="2">
                  <c:v>-2.0529865097269617E-2</c:v>
                </c:pt>
                <c:pt idx="3">
                  <c:v>1.8483170551252037E-2</c:v>
                </c:pt>
                <c:pt idx="4">
                  <c:v>-2.8307579301616315E-3</c:v>
                </c:pt>
                <c:pt idx="5">
                  <c:v>9.1444056618666059E-2</c:v>
                </c:pt>
                <c:pt idx="6">
                  <c:v>0.22219641018487479</c:v>
                </c:pt>
                <c:pt idx="7">
                  <c:v>0.2243749508128734</c:v>
                </c:pt>
                <c:pt idx="8">
                  <c:v>0.20711101379344399</c:v>
                </c:pt>
                <c:pt idx="9">
                  <c:v>0.13391522318267146</c:v>
                </c:pt>
                <c:pt idx="10">
                  <c:v>0.21738174665604704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2D-3742-A1E7-9F66A0CF1992}"/>
            </c:ext>
          </c:extLst>
        </c:ser>
        <c:ser>
          <c:idx val="1"/>
          <c:order val="1"/>
          <c:tx>
            <c:strRef>
              <c:f>'R7H2E'!$F$31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'R7H1E'!$F$30:$F$41</c:f>
              <c:numCache>
                <c:formatCode>0.00</c:formatCode>
                <c:ptCount val="12"/>
                <c:pt idx="0">
                  <c:v>-0.37799143221300846</c:v>
                </c:pt>
                <c:pt idx="1">
                  <c:v>-0.1471372932258519</c:v>
                </c:pt>
                <c:pt idx="2">
                  <c:v>0.17266296834886297</c:v>
                </c:pt>
                <c:pt idx="3">
                  <c:v>0.11815925011223016</c:v>
                </c:pt>
                <c:pt idx="4">
                  <c:v>0.15797592100473357</c:v>
                </c:pt>
                <c:pt idx="5">
                  <c:v>0.13435680183799392</c:v>
                </c:pt>
                <c:pt idx="6">
                  <c:v>0.16300625259805734</c:v>
                </c:pt>
                <c:pt idx="7">
                  <c:v>0.10483357213985589</c:v>
                </c:pt>
                <c:pt idx="8">
                  <c:v>0.14104822188648813</c:v>
                </c:pt>
                <c:pt idx="9">
                  <c:v>0.11781129071130891</c:v>
                </c:pt>
                <c:pt idx="10">
                  <c:v>0.12745164102084772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2D-3742-A1E7-9F66A0CF1992}"/>
            </c:ext>
          </c:extLst>
        </c:ser>
        <c:ser>
          <c:idx val="2"/>
          <c:order val="2"/>
          <c:tx>
            <c:strRef>
              <c:f>'R7H1E'!$G$29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'R7H1E'!$G$30:$G$41</c:f>
              <c:numCache>
                <c:formatCode>0.00</c:formatCode>
                <c:ptCount val="12"/>
                <c:pt idx="0">
                  <c:v>-0.50839869253396275</c:v>
                </c:pt>
                <c:pt idx="1">
                  <c:v>-0.32160843096885028</c:v>
                </c:pt>
                <c:pt idx="2">
                  <c:v>6.4855008915782664E-2</c:v>
                </c:pt>
                <c:pt idx="3">
                  <c:v>-8.3820463855156513E-3</c:v>
                </c:pt>
                <c:pt idx="4">
                  <c:v>-2.1410348314904959E-2</c:v>
                </c:pt>
                <c:pt idx="5">
                  <c:v>-3.7625823053053731E-2</c:v>
                </c:pt>
                <c:pt idx="6">
                  <c:v>-5.2711608767644358E-2</c:v>
                </c:pt>
                <c:pt idx="7">
                  <c:v>-7.2900863479392064E-2</c:v>
                </c:pt>
                <c:pt idx="8">
                  <c:v>-7.5197268486779212E-2</c:v>
                </c:pt>
                <c:pt idx="9">
                  <c:v>-8.2431813739107018E-2</c:v>
                </c:pt>
                <c:pt idx="10">
                  <c:v>-7.2230618250487932E-2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2D-3742-A1E7-9F66A0CF1992}"/>
            </c:ext>
          </c:extLst>
        </c:ser>
        <c:ser>
          <c:idx val="3"/>
          <c:order val="3"/>
          <c:tx>
            <c:strRef>
              <c:f>'R7H1E'!$I$29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'R7H1E'!$I$30:$I$41</c:f>
              <c:numCache>
                <c:formatCode>0.00</c:formatCode>
                <c:ptCount val="12"/>
                <c:pt idx="0">
                  <c:v>-0.69560271275432073</c:v>
                </c:pt>
                <c:pt idx="1">
                  <c:v>-0.64473381846035993</c:v>
                </c:pt>
                <c:pt idx="2">
                  <c:v>-0.57639833711262289</c:v>
                </c:pt>
                <c:pt idx="3">
                  <c:v>-0.41726347531096852</c:v>
                </c:pt>
                <c:pt idx="4">
                  <c:v>-0.45002808462834665</c:v>
                </c:pt>
                <c:pt idx="5">
                  <c:v>-0.19825831702544006</c:v>
                </c:pt>
                <c:pt idx="6">
                  <c:v>0.13050021195421779</c:v>
                </c:pt>
                <c:pt idx="7">
                  <c:v>0.54048667925319904</c:v>
                </c:pt>
                <c:pt idx="8">
                  <c:v>0.45088633993743499</c:v>
                </c:pt>
                <c:pt idx="9">
                  <c:v>0.4960295291300878</c:v>
                </c:pt>
                <c:pt idx="10">
                  <c:v>0.41956011103993163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2D-3742-A1E7-9F66A0CF1992}"/>
            </c:ext>
          </c:extLst>
        </c:ser>
        <c:ser>
          <c:idx val="4"/>
          <c:order val="4"/>
          <c:tx>
            <c:strRef>
              <c:f>'R7H1E'!$J$29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'R7H1E'!$J$30</c:f>
              <c:numCache>
                <c:formatCode>0.00</c:formatCode>
                <c:ptCount val="1"/>
                <c:pt idx="0">
                  <c:v>6.1026033690658501</c:v>
                </c:pt>
              </c:numCache>
            </c:numRef>
          </c:xVal>
          <c:yVal>
            <c:numRef>
              <c:f>'R7H1E'!$E$18</c:f>
              <c:numCache>
                <c:formatCode>General</c:formatCode>
                <c:ptCount val="1"/>
                <c:pt idx="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2D-3742-A1E7-9F66A0CF1992}"/>
            </c:ext>
          </c:extLst>
        </c:ser>
        <c:ser>
          <c:idx val="5"/>
          <c:order val="5"/>
          <c:tx>
            <c:strRef>
              <c:f>'R7H1E'!$K$29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'R7H1E'!$K$30:$K$41</c:f>
              <c:numCache>
                <c:formatCode>0.00</c:formatCode>
                <c:ptCount val="12"/>
                <c:pt idx="0">
                  <c:v>1.6634762633996938</c:v>
                </c:pt>
                <c:pt idx="1">
                  <c:v>0.55428954423592502</c:v>
                </c:pt>
                <c:pt idx="2">
                  <c:v>2.2486772486772555E-2</c:v>
                </c:pt>
                <c:pt idx="3">
                  <c:v>1.9788918205804862E-2</c:v>
                </c:pt>
                <c:pt idx="4">
                  <c:v>0.26638269986893848</c:v>
                </c:pt>
                <c:pt idx="5">
                  <c:v>-0.20582191780821901</c:v>
                </c:pt>
                <c:pt idx="6">
                  <c:v>0.14688427299703255</c:v>
                </c:pt>
                <c:pt idx="7">
                  <c:v>0.13509544787077821</c:v>
                </c:pt>
                <c:pt idx="8">
                  <c:v>0.12846715328467151</c:v>
                </c:pt>
                <c:pt idx="9">
                  <c:v>-0.1902932960893855</c:v>
                </c:pt>
                <c:pt idx="10">
                  <c:v>0.4443198804185351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2D-3742-A1E7-9F66A0CF1992}"/>
            </c:ext>
          </c:extLst>
        </c:ser>
        <c:ser>
          <c:idx val="6"/>
          <c:order val="6"/>
          <c:tx>
            <c:strRef>
              <c:f>'R7H1E'!$L$29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'R7H1E'!$L$30:$L$41</c:f>
              <c:numCache>
                <c:formatCode>0.00</c:formatCode>
                <c:ptCount val="12"/>
                <c:pt idx="0">
                  <c:v>0.59013508262668268</c:v>
                </c:pt>
                <c:pt idx="1">
                  <c:v>0.1135208675123045</c:v>
                </c:pt>
                <c:pt idx="2">
                  <c:v>-0.343777146015952</c:v>
                </c:pt>
                <c:pt idx="3">
                  <c:v>-0.51293663608080964</c:v>
                </c:pt>
                <c:pt idx="4">
                  <c:v>-0.39516050155513394</c:v>
                </c:pt>
                <c:pt idx="5">
                  <c:v>-0.27299120834185231</c:v>
                </c:pt>
                <c:pt idx="6">
                  <c:v>7.8413570131538046E-2</c:v>
                </c:pt>
                <c:pt idx="7">
                  <c:v>0.40616301751156092</c:v>
                </c:pt>
                <c:pt idx="8">
                  <c:v>0.28005229327813486</c:v>
                </c:pt>
                <c:pt idx="9">
                  <c:v>0.30519886600516966</c:v>
                </c:pt>
                <c:pt idx="10">
                  <c:v>0.17270151484728813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2D-3742-A1E7-9F66A0CF1992}"/>
            </c:ext>
          </c:extLst>
        </c:ser>
        <c:ser>
          <c:idx val="7"/>
          <c:order val="7"/>
          <c:tx>
            <c:strRef>
              <c:f>'R7H1E'!$O$29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'R7H1E'!$O$30:$O$41</c:f>
              <c:numCache>
                <c:formatCode>0.00</c:formatCode>
                <c:ptCount val="12"/>
                <c:pt idx="0">
                  <c:v>-0.21120457249462676</c:v>
                </c:pt>
                <c:pt idx="1">
                  <c:v>-0.12863301981729913</c:v>
                </c:pt>
                <c:pt idx="2">
                  <c:v>0.17521515557403045</c:v>
                </c:pt>
                <c:pt idx="3">
                  <c:v>8.9027739034520881E-2</c:v>
                </c:pt>
                <c:pt idx="4">
                  <c:v>7.1082167105445571E-2</c:v>
                </c:pt>
                <c:pt idx="5">
                  <c:v>2.6038026653202984E-2</c:v>
                </c:pt>
                <c:pt idx="6">
                  <c:v>7.7915480634456413E-2</c:v>
                </c:pt>
                <c:pt idx="7">
                  <c:v>1.6191172051142955E-2</c:v>
                </c:pt>
                <c:pt idx="8">
                  <c:v>3.6526085509780648E-2</c:v>
                </c:pt>
                <c:pt idx="9">
                  <c:v>2.9345864783878461E-2</c:v>
                </c:pt>
                <c:pt idx="10">
                  <c:v>7.0281657264559483E-2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2D-3742-A1E7-9F66A0CF1992}"/>
            </c:ext>
          </c:extLst>
        </c:ser>
        <c:ser>
          <c:idx val="8"/>
          <c:order val="8"/>
          <c:tx>
            <c:strRef>
              <c:f>'R7H1E'!$M$29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'R7H1E'!$M$30:$M$41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2D-3742-A1E7-9F66A0CF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4.688437521667007E-2"/>
              <c:y val="0.47027460757552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 w="15875">
      <a:noFill/>
    </a:ln>
  </c:sp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R7H1 REE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'R7H1E'!$AO$25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'R7H1E'!$AP$25:$BC$25</c:f>
              <c:numCache>
                <c:formatCode>0.00</c:formatCode>
                <c:ptCount val="14"/>
                <c:pt idx="0">
                  <c:v>98.63760217983652</c:v>
                </c:pt>
                <c:pt idx="1">
                  <c:v>84.012539184952985</c:v>
                </c:pt>
                <c:pt idx="2">
                  <c:v>64.087591240875909</c:v>
                </c:pt>
                <c:pt idx="3">
                  <c:v>46.132208157524609</c:v>
                </c:pt>
                <c:pt idx="4">
                  <c:v>28.571428571428569</c:v>
                </c:pt>
                <c:pt idx="5">
                  <c:v>20.114942528735632</c:v>
                </c:pt>
                <c:pt idx="6">
                  <c:v>19.607843137254903</c:v>
                </c:pt>
                <c:pt idx="7">
                  <c:v>15.517241379310345</c:v>
                </c:pt>
                <c:pt idx="8">
                  <c:v>15.223097112860891</c:v>
                </c:pt>
                <c:pt idx="9">
                  <c:v>14.117647058823527</c:v>
                </c:pt>
                <c:pt idx="10">
                  <c:v>13.654618473895582</c:v>
                </c:pt>
                <c:pt idx="11">
                  <c:v>14.166666666666668</c:v>
                </c:pt>
                <c:pt idx="12">
                  <c:v>14.112903225806452</c:v>
                </c:pt>
                <c:pt idx="13">
                  <c:v>13.684210526315791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8-D44E-A5A7-D33223744920}"/>
            </c:ext>
          </c:extLst>
        </c:ser>
        <c:ser>
          <c:idx val="1"/>
          <c:order val="1"/>
          <c:tx>
            <c:strRef>
              <c:f>'R7H1E'!$AO$26</c:f>
              <c:strCache>
                <c:ptCount val="1"/>
                <c:pt idx="0">
                  <c:v>18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'R7H1E'!$AP$26:$BC$26</c:f>
              <c:numCache>
                <c:formatCode>0.00</c:formatCode>
                <c:ptCount val="14"/>
                <c:pt idx="0">
                  <c:v>52.588555858310627</c:v>
                </c:pt>
                <c:pt idx="1">
                  <c:v>40.020898641588296</c:v>
                </c:pt>
                <c:pt idx="2">
                  <c:v>34.379562043795616</c:v>
                </c:pt>
                <c:pt idx="3">
                  <c:v>25.035161744022506</c:v>
                </c:pt>
                <c:pt idx="4">
                  <c:v>14.718614718614717</c:v>
                </c:pt>
                <c:pt idx="5">
                  <c:v>10.459770114942529</c:v>
                </c:pt>
                <c:pt idx="6">
                  <c:v>9.8039215686274517</c:v>
                </c:pt>
                <c:pt idx="7">
                  <c:v>8.6206896551724128</c:v>
                </c:pt>
                <c:pt idx="8">
                  <c:v>7.6115485564304457</c:v>
                </c:pt>
                <c:pt idx="9">
                  <c:v>7.0588235294117636</c:v>
                </c:pt>
                <c:pt idx="10">
                  <c:v>6.8273092369477908</c:v>
                </c:pt>
                <c:pt idx="11">
                  <c:v>7.2222222222222232</c:v>
                </c:pt>
                <c:pt idx="12">
                  <c:v>6.854838709677419</c:v>
                </c:pt>
                <c:pt idx="13">
                  <c:v>8.1578947368421062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8-D44E-A5A7-D33223744920}"/>
            </c:ext>
          </c:extLst>
        </c:ser>
        <c:ser>
          <c:idx val="2"/>
          <c:order val="2"/>
          <c:tx>
            <c:strRef>
              <c:f>'R7H1E'!$AO$27</c:f>
              <c:strCache>
                <c:ptCount val="1"/>
                <c:pt idx="0">
                  <c:v>53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'R7H1E'!$AP$27:$BC$27</c:f>
              <c:numCache>
                <c:formatCode>0.00</c:formatCode>
                <c:ptCount val="14"/>
                <c:pt idx="0">
                  <c:v>25.068119891008173</c:v>
                </c:pt>
                <c:pt idx="1">
                  <c:v>20.689655172413794</c:v>
                </c:pt>
                <c:pt idx="2">
                  <c:v>15.985401459854012</c:v>
                </c:pt>
                <c:pt idx="3">
                  <c:v>11.814345991561183</c:v>
                </c:pt>
                <c:pt idx="4">
                  <c:v>6.9264069264069263</c:v>
                </c:pt>
                <c:pt idx="5">
                  <c:v>4.7126436781609193</c:v>
                </c:pt>
                <c:pt idx="6">
                  <c:v>4.2483660130718954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2.3529411764705883</c:v>
                </c:pt>
                <c:pt idx="10">
                  <c:v>3.2128514056224899</c:v>
                </c:pt>
                <c:pt idx="11">
                  <c:v>3.3333333333333335</c:v>
                </c:pt>
                <c:pt idx="12">
                  <c:v>3.6290322580645165</c:v>
                </c:pt>
                <c:pt idx="13">
                  <c:v>3.9473684210526314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8-D44E-A5A7-D33223744920}"/>
            </c:ext>
          </c:extLst>
        </c:ser>
        <c:ser>
          <c:idx val="3"/>
          <c:order val="3"/>
          <c:tx>
            <c:strRef>
              <c:f>'R7H1E'!$AO$28</c:f>
              <c:strCache>
                <c:ptCount val="1"/>
                <c:pt idx="0">
                  <c:v>94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'R7H1E'!$AP$28:$BC$28</c:f>
              <c:numCache>
                <c:formatCode>0.00</c:formatCode>
                <c:ptCount val="14"/>
                <c:pt idx="0">
                  <c:v>12.806539509536785</c:v>
                </c:pt>
                <c:pt idx="1">
                  <c:v>12.748171368861025</c:v>
                </c:pt>
                <c:pt idx="2">
                  <c:v>8.7591240875912391</c:v>
                </c:pt>
                <c:pt idx="3">
                  <c:v>6.3291139240506329</c:v>
                </c:pt>
                <c:pt idx="4">
                  <c:v>3.8961038961038961</c:v>
                </c:pt>
                <c:pt idx="5">
                  <c:v>2.8735632183908049</c:v>
                </c:pt>
                <c:pt idx="6">
                  <c:v>1.9607843137254901</c:v>
                </c:pt>
                <c:pt idx="7">
                  <c:v>1.7241379310344829</c:v>
                </c:pt>
                <c:pt idx="8">
                  <c:v>1.837270341207349</c:v>
                </c:pt>
                <c:pt idx="9">
                  <c:v>2.3529411764705883</c:v>
                </c:pt>
                <c:pt idx="10">
                  <c:v>2.0080321285140563</c:v>
                </c:pt>
                <c:pt idx="11">
                  <c:v>2.2222222222222223</c:v>
                </c:pt>
                <c:pt idx="12">
                  <c:v>2.4193548387096775</c:v>
                </c:pt>
                <c:pt idx="13">
                  <c:v>2.6315789473684212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8-D44E-A5A7-D33223744920}"/>
            </c:ext>
          </c:extLst>
        </c:ser>
        <c:ser>
          <c:idx val="4"/>
          <c:order val="4"/>
          <c:tx>
            <c:strRef>
              <c:f>'R7H1E'!$AO$29</c:f>
              <c:strCache>
                <c:ptCount val="1"/>
                <c:pt idx="0">
                  <c:v>129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'R7H1E'!$AP$29:$BC$29</c:f>
              <c:numCache>
                <c:formatCode>0.00</c:formatCode>
                <c:ptCount val="14"/>
                <c:pt idx="0">
                  <c:v>15.258855585831062</c:v>
                </c:pt>
                <c:pt idx="1">
                  <c:v>16.196447230929991</c:v>
                </c:pt>
                <c:pt idx="2">
                  <c:v>10.291970802919707</c:v>
                </c:pt>
                <c:pt idx="3">
                  <c:v>7.4542897327707456</c:v>
                </c:pt>
                <c:pt idx="4">
                  <c:v>4.7619047619047619</c:v>
                </c:pt>
                <c:pt idx="5">
                  <c:v>3.3333333333333335</c:v>
                </c:pt>
                <c:pt idx="6">
                  <c:v>2.6143790849673203</c:v>
                </c:pt>
                <c:pt idx="7">
                  <c:v>1.7241379310344829</c:v>
                </c:pt>
                <c:pt idx="8">
                  <c:v>2.0997375328083989</c:v>
                </c:pt>
                <c:pt idx="9">
                  <c:v>2.3529411764705883</c:v>
                </c:pt>
                <c:pt idx="10">
                  <c:v>2.0080321285140563</c:v>
                </c:pt>
                <c:pt idx="11">
                  <c:v>2.5</c:v>
                </c:pt>
                <c:pt idx="12">
                  <c:v>2.82258064516129</c:v>
                </c:pt>
                <c:pt idx="13">
                  <c:v>3.1578947368421053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8-D44E-A5A7-D33223744920}"/>
            </c:ext>
          </c:extLst>
        </c:ser>
        <c:ser>
          <c:idx val="5"/>
          <c:order val="5"/>
          <c:tx>
            <c:strRef>
              <c:f>'R7H1E'!$AO$30</c:f>
              <c:strCache>
                <c:ptCount val="1"/>
                <c:pt idx="0">
                  <c:v>174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'R7H1E'!$AP$30:$BC$30</c:f>
              <c:numCache>
                <c:formatCode>0.00</c:formatCode>
                <c:ptCount val="14"/>
                <c:pt idx="0">
                  <c:v>20.163487738419619</c:v>
                </c:pt>
                <c:pt idx="1">
                  <c:v>24.451410658307211</c:v>
                </c:pt>
                <c:pt idx="2">
                  <c:v>14.890510948905108</c:v>
                </c:pt>
                <c:pt idx="3">
                  <c:v>10.829817158931084</c:v>
                </c:pt>
                <c:pt idx="4">
                  <c:v>6.9264069264069263</c:v>
                </c:pt>
                <c:pt idx="5">
                  <c:v>4.4827586206896557</c:v>
                </c:pt>
                <c:pt idx="6">
                  <c:v>3.9215686274509802</c:v>
                </c:pt>
                <c:pt idx="7">
                  <c:v>3.4482758620689657</c:v>
                </c:pt>
                <c:pt idx="8">
                  <c:v>2.8871391076115489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2.7777777777777781</c:v>
                </c:pt>
                <c:pt idx="12">
                  <c:v>3.2258064516129035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8-D44E-A5A7-D33223744920}"/>
            </c:ext>
          </c:extLst>
        </c:ser>
        <c:ser>
          <c:idx val="6"/>
          <c:order val="6"/>
          <c:tx>
            <c:strRef>
              <c:f>'R7H1E'!$AO$31</c:f>
              <c:strCache>
                <c:ptCount val="1"/>
                <c:pt idx="0">
                  <c:v>255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'R7H1E'!$AP$31:$BC$31</c:f>
              <c:numCache>
                <c:formatCode>0.00</c:formatCode>
                <c:ptCount val="14"/>
                <c:pt idx="0">
                  <c:v>36.51226158038147</c:v>
                </c:pt>
                <c:pt idx="1">
                  <c:v>41.170323928944619</c:v>
                </c:pt>
                <c:pt idx="2">
                  <c:v>25.620437956204377</c:v>
                </c:pt>
                <c:pt idx="3">
                  <c:v>19.268635724331926</c:v>
                </c:pt>
                <c:pt idx="4">
                  <c:v>11.688311688311689</c:v>
                </c:pt>
                <c:pt idx="5">
                  <c:v>8.2758620689655178</c:v>
                </c:pt>
                <c:pt idx="6">
                  <c:v>7.1895424836601318</c:v>
                </c:pt>
                <c:pt idx="7">
                  <c:v>5.1724137931034475</c:v>
                </c:pt>
                <c:pt idx="8">
                  <c:v>4.9868766404199469</c:v>
                </c:pt>
                <c:pt idx="9">
                  <c:v>4.7058823529411766</c:v>
                </c:pt>
                <c:pt idx="10">
                  <c:v>4.4176706827309244</c:v>
                </c:pt>
                <c:pt idx="11">
                  <c:v>5</c:v>
                </c:pt>
                <c:pt idx="12">
                  <c:v>5.241935483870968</c:v>
                </c:pt>
                <c:pt idx="13">
                  <c:v>5.2631578947368425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38-D44E-A5A7-D33223744920}"/>
            </c:ext>
          </c:extLst>
        </c:ser>
        <c:ser>
          <c:idx val="7"/>
          <c:order val="7"/>
          <c:tx>
            <c:strRef>
              <c:f>'R7H1E'!$AO$32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'R7H1E'!$AP$32:$BC$32</c:f>
              <c:numCache>
                <c:formatCode>0.00</c:formatCode>
                <c:ptCount val="14"/>
                <c:pt idx="0">
                  <c:v>48.77384196185286</c:v>
                </c:pt>
                <c:pt idx="1">
                  <c:v>44.305120167189131</c:v>
                </c:pt>
                <c:pt idx="2">
                  <c:v>32.262773722627735</c:v>
                </c:pt>
                <c:pt idx="3">
                  <c:v>23.628691983122366</c:v>
                </c:pt>
                <c:pt idx="4">
                  <c:v>14.718614718614717</c:v>
                </c:pt>
                <c:pt idx="5">
                  <c:v>10.114942528735632</c:v>
                </c:pt>
                <c:pt idx="6">
                  <c:v>9.8039215686274517</c:v>
                </c:pt>
                <c:pt idx="7">
                  <c:v>6.8965517241379315</c:v>
                </c:pt>
                <c:pt idx="8">
                  <c:v>6.8241469816272966</c:v>
                </c:pt>
                <c:pt idx="9">
                  <c:v>5.8823529411764701</c:v>
                </c:pt>
                <c:pt idx="10">
                  <c:v>6.4257028112449799</c:v>
                </c:pt>
                <c:pt idx="11">
                  <c:v>6.666666666666667</c:v>
                </c:pt>
                <c:pt idx="12">
                  <c:v>6.854838709677419</c:v>
                </c:pt>
                <c:pt idx="13">
                  <c:v>6.8421052631578956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38-D44E-A5A7-D33223744920}"/>
            </c:ext>
          </c:extLst>
        </c:ser>
        <c:ser>
          <c:idx val="8"/>
          <c:order val="8"/>
          <c:tx>
            <c:strRef>
              <c:f>'R7H1E'!$AO$33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'R7H1E'!$AP$33:$BC$33</c:f>
              <c:numCache>
                <c:formatCode>0.00</c:formatCode>
                <c:ptCount val="14"/>
                <c:pt idx="0">
                  <c:v>48.77384196185286</c:v>
                </c:pt>
                <c:pt idx="1">
                  <c:v>38.453500522466037</c:v>
                </c:pt>
                <c:pt idx="2">
                  <c:v>31.678832116788318</c:v>
                </c:pt>
                <c:pt idx="3">
                  <c:v>23.909985935302391</c:v>
                </c:pt>
                <c:pt idx="4">
                  <c:v>15.15151515151515</c:v>
                </c:pt>
                <c:pt idx="5">
                  <c:v>11.264367816091955</c:v>
                </c:pt>
                <c:pt idx="6">
                  <c:v>10.130718954248367</c:v>
                </c:pt>
                <c:pt idx="7">
                  <c:v>8.6206896551724128</c:v>
                </c:pt>
                <c:pt idx="8">
                  <c:v>7.8740157480314963</c:v>
                </c:pt>
                <c:pt idx="9">
                  <c:v>7.0588235294117636</c:v>
                </c:pt>
                <c:pt idx="10">
                  <c:v>7.2289156626506026</c:v>
                </c:pt>
                <c:pt idx="11">
                  <c:v>7.7777777777777795</c:v>
                </c:pt>
                <c:pt idx="12">
                  <c:v>7.661290322580645</c:v>
                </c:pt>
                <c:pt idx="13">
                  <c:v>7.8947368421052628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38-D44E-A5A7-D33223744920}"/>
            </c:ext>
          </c:extLst>
        </c:ser>
        <c:ser>
          <c:idx val="9"/>
          <c:order val="9"/>
          <c:tx>
            <c:strRef>
              <c:f>'R7H1E'!$AO$34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'R7H1E'!$AP$34:$BC$34</c:f>
              <c:numCache>
                <c:formatCode>0.00</c:formatCode>
                <c:ptCount val="14"/>
                <c:pt idx="0">
                  <c:v>47.956403269754773</c:v>
                </c:pt>
                <c:pt idx="1">
                  <c:v>38.662486938349012</c:v>
                </c:pt>
                <c:pt idx="2">
                  <c:v>32.627737226277368</c:v>
                </c:pt>
                <c:pt idx="3">
                  <c:v>24.331926863572434</c:v>
                </c:pt>
                <c:pt idx="4">
                  <c:v>16.017316017316016</c:v>
                </c:pt>
                <c:pt idx="5">
                  <c:v>12.52873563218391</c:v>
                </c:pt>
                <c:pt idx="6">
                  <c:v>11.764705882352942</c:v>
                </c:pt>
                <c:pt idx="7">
                  <c:v>10.344827586206895</c:v>
                </c:pt>
                <c:pt idx="8">
                  <c:v>8.9238845144356951</c:v>
                </c:pt>
                <c:pt idx="9">
                  <c:v>8.235294117647058</c:v>
                </c:pt>
                <c:pt idx="10">
                  <c:v>8.4337349397590362</c:v>
                </c:pt>
                <c:pt idx="11">
                  <c:v>8.6111111111111125</c:v>
                </c:pt>
                <c:pt idx="12">
                  <c:v>8.870967741935484</c:v>
                </c:pt>
                <c:pt idx="13">
                  <c:v>9.2105263157894726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38-D44E-A5A7-D33223744920}"/>
            </c:ext>
          </c:extLst>
        </c:ser>
        <c:ser>
          <c:idx val="10"/>
          <c:order val="10"/>
          <c:tx>
            <c:strRef>
              <c:f>'R7H1E'!$AO$35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'R7H1E'!$AP$35:$BC$35</c:f>
              <c:numCache>
                <c:formatCode>0.00</c:formatCode>
                <c:ptCount val="14"/>
                <c:pt idx="0">
                  <c:v>45.231607629427799</c:v>
                </c:pt>
                <c:pt idx="1">
                  <c:v>32.392894461859981</c:v>
                </c:pt>
                <c:pt idx="2">
                  <c:v>30.072992700729927</c:v>
                </c:pt>
                <c:pt idx="3">
                  <c:v>22.925457102672294</c:v>
                </c:pt>
                <c:pt idx="4">
                  <c:v>16.017316017316016</c:v>
                </c:pt>
                <c:pt idx="5">
                  <c:v>12.758620689655174</c:v>
                </c:pt>
                <c:pt idx="6">
                  <c:v>11.764705882352942</c:v>
                </c:pt>
                <c:pt idx="7">
                  <c:v>10.344827586206895</c:v>
                </c:pt>
                <c:pt idx="8">
                  <c:v>9.7112860892388451</c:v>
                </c:pt>
                <c:pt idx="9">
                  <c:v>9.4117647058823533</c:v>
                </c:pt>
                <c:pt idx="10">
                  <c:v>8.8353413654618489</c:v>
                </c:pt>
                <c:pt idx="11">
                  <c:v>9.1666666666666679</c:v>
                </c:pt>
                <c:pt idx="12">
                  <c:v>9.2741935483870961</c:v>
                </c:pt>
                <c:pt idx="13">
                  <c:v>9.473684210526315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38-D44E-A5A7-D33223744920}"/>
            </c:ext>
          </c:extLst>
        </c:ser>
        <c:ser>
          <c:idx val="11"/>
          <c:order val="11"/>
          <c:tx>
            <c:strRef>
              <c:f>'R7H1E'!$AO$36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'R7H1E'!$AP$23:$BC$23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'R7H1E'!$AP$36:$BC$36</c:f>
              <c:numCache>
                <c:formatCode>0.00</c:formatCode>
                <c:ptCount val="14"/>
                <c:pt idx="0">
                  <c:v>34.059945504087196</c:v>
                </c:pt>
                <c:pt idx="1">
                  <c:v>28.004179728317663</c:v>
                </c:pt>
                <c:pt idx="2">
                  <c:v>24.379562043795616</c:v>
                </c:pt>
                <c:pt idx="3">
                  <c:v>19.127988748241915</c:v>
                </c:pt>
                <c:pt idx="4">
                  <c:v>13.852813852813853</c:v>
                </c:pt>
                <c:pt idx="5">
                  <c:v>11.379310344827587</c:v>
                </c:pt>
                <c:pt idx="6">
                  <c:v>10.457516339869281</c:v>
                </c:pt>
                <c:pt idx="7">
                  <c:v>8.6206896551724128</c:v>
                </c:pt>
                <c:pt idx="8">
                  <c:v>8.6614173228346445</c:v>
                </c:pt>
                <c:pt idx="9">
                  <c:v>8.235294117647058</c:v>
                </c:pt>
                <c:pt idx="10">
                  <c:v>8.4337349397590362</c:v>
                </c:pt>
                <c:pt idx="11">
                  <c:v>8.6111111111111125</c:v>
                </c:pt>
                <c:pt idx="12">
                  <c:v>8.870967741935484</c:v>
                </c:pt>
                <c:pt idx="13">
                  <c:v>8.9473684210526319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38-D44E-A5A7-D33223744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354744"/>
        <c:axId val="-2137351528"/>
      </c:lineChart>
      <c:catAx>
        <c:axId val="-213735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351528"/>
        <c:crosses val="autoZero"/>
        <c:auto val="1"/>
        <c:lblAlgn val="ctr"/>
        <c:lblOffset val="100"/>
        <c:noMultiLvlLbl val="0"/>
      </c:catAx>
      <c:valAx>
        <c:axId val="-2137351528"/>
        <c:scaling>
          <c:logBase val="10"/>
          <c:orientation val="minMax"/>
          <c:max val="1000"/>
          <c:min val="1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354744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'R7H1E'!$AM$25:$AM$36</c:f>
              <c:numCache>
                <c:formatCode>General</c:formatCode>
                <c:ptCount val="12"/>
                <c:pt idx="0">
                  <c:v>0.98012820512820509</c:v>
                </c:pt>
                <c:pt idx="1">
                  <c:v>0.83162393162393156</c:v>
                </c:pt>
                <c:pt idx="2">
                  <c:v>0.89102564102564086</c:v>
                </c:pt>
                <c:pt idx="4">
                  <c:v>0.35641025641025637</c:v>
                </c:pt>
                <c:pt idx="5">
                  <c:v>0.71282051282051273</c:v>
                </c:pt>
                <c:pt idx="6">
                  <c:v>0.71282051282051273</c:v>
                </c:pt>
                <c:pt idx="7">
                  <c:v>0.92666666666666664</c:v>
                </c:pt>
                <c:pt idx="8">
                  <c:v>0.89102564102564097</c:v>
                </c:pt>
                <c:pt idx="9">
                  <c:v>0.8655677655677656</c:v>
                </c:pt>
                <c:pt idx="10">
                  <c:v>0.80192307692307685</c:v>
                </c:pt>
                <c:pt idx="11">
                  <c:v>0.71282051282051284</c:v>
                </c:pt>
              </c:numCache>
            </c:numRef>
          </c:xVal>
          <c:yVal>
            <c:numRef>
              <c:f>'R7H1E'!$AO$25:$AO$36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6-784A-98FF-5FC6A3646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R7H1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'R7H1E'!$BH$25:$BH$36</c:f>
              <c:numCache>
                <c:formatCode>0.00</c:formatCode>
                <c:ptCount val="12"/>
                <c:pt idx="0">
                  <c:v>1.0354558020580065</c:v>
                </c:pt>
                <c:pt idx="1">
                  <c:v>0.92205360319627205</c:v>
                </c:pt>
                <c:pt idx="2">
                  <c:v>1.001910873677555</c:v>
                </c:pt>
                <c:pt idx="3">
                  <c:v>1.1973039601470283</c:v>
                </c:pt>
                <c:pt idx="4">
                  <c:v>1.2796097265213546</c:v>
                </c:pt>
                <c:pt idx="5">
                  <c:v>1.4339099109905926</c:v>
                </c:pt>
                <c:pt idx="6">
                  <c:v>1.3382462284187848</c:v>
                </c:pt>
                <c:pt idx="7">
                  <c:v>1.0968751912812227</c:v>
                </c:pt>
                <c:pt idx="8">
                  <c:v>0.94980005545398827</c:v>
                </c:pt>
                <c:pt idx="9">
                  <c:v>0.96459493511650274</c:v>
                </c:pt>
                <c:pt idx="10">
                  <c:v>0.85704049056801634</c:v>
                </c:pt>
                <c:pt idx="11">
                  <c:v>0.96291783157944999</c:v>
                </c:pt>
              </c:numCache>
            </c:numRef>
          </c:xVal>
          <c:yVal>
            <c:numRef>
              <c:f>'R7H1E'!$AO$25:$AO$36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C9-9649-A853-3F85ED606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R7H1 Ce/Ce*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'R7H1E'!$BF$25:$BF$36</c:f>
              <c:numCache>
                <c:formatCode>0.0</c:formatCode>
                <c:ptCount val="12"/>
                <c:pt idx="0">
                  <c:v>22.22</c:v>
                </c:pt>
                <c:pt idx="1">
                  <c:v>32.76</c:v>
                </c:pt>
                <c:pt idx="2">
                  <c:v>46.82</c:v>
                </c:pt>
                <c:pt idx="3">
                  <c:v>44.19</c:v>
                </c:pt>
                <c:pt idx="4">
                  <c:v>44.97</c:v>
                </c:pt>
                <c:pt idx="5">
                  <c:v>41.96</c:v>
                </c:pt>
                <c:pt idx="6">
                  <c:v>39.58</c:v>
                </c:pt>
                <c:pt idx="7">
                  <c:v>38.179999999999993</c:v>
                </c:pt>
                <c:pt idx="8">
                  <c:v>39.229999999999997</c:v>
                </c:pt>
                <c:pt idx="9">
                  <c:v>40.42</c:v>
                </c:pt>
                <c:pt idx="10">
                  <c:v>38.400000000000006</c:v>
                </c:pt>
                <c:pt idx="11">
                  <c:v>41.8</c:v>
                </c:pt>
              </c:numCache>
            </c:numRef>
          </c:xVal>
          <c:yVal>
            <c:numRef>
              <c:f>'R7H1E'!$AO$25:$AO$36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C-034E-A1C7-8298CDDA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R7H1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763149110751"/>
          <c:y val="0.12483310076284287"/>
          <c:w val="0.26442314625306279"/>
          <c:h val="0.849262355828435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'R7H1E'!$BD$25:$BD$36</c:f>
              <c:numCache>
                <c:formatCode>0.0</c:formatCode>
                <c:ptCount val="12"/>
                <c:pt idx="0">
                  <c:v>188.36</c:v>
                </c:pt>
                <c:pt idx="1">
                  <c:v>95.390000000000015</c:v>
                </c:pt>
                <c:pt idx="2">
                  <c:v>46.569999999999993</c:v>
                </c:pt>
                <c:pt idx="3">
                  <c:v>26.63</c:v>
                </c:pt>
                <c:pt idx="4">
                  <c:v>32.510000000000005</c:v>
                </c:pt>
                <c:pt idx="5">
                  <c:v>46.860000000000014</c:v>
                </c:pt>
                <c:pt idx="6">
                  <c:v>81.010000000000005</c:v>
                </c:pt>
                <c:pt idx="7">
                  <c:v>96.1</c:v>
                </c:pt>
                <c:pt idx="8">
                  <c:v>91.999999999999986</c:v>
                </c:pt>
                <c:pt idx="9">
                  <c:v>94.42</c:v>
                </c:pt>
                <c:pt idx="10">
                  <c:v>86.719999999999985</c:v>
                </c:pt>
                <c:pt idx="11">
                  <c:v>73.080000000000013</c:v>
                </c:pt>
              </c:numCache>
            </c:numRef>
          </c:xVal>
          <c:yVal>
            <c:numRef>
              <c:f>'R7H1E'!$AO$25:$AO$36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9-DE4D-A665-6A01228FC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logBase val="10"/>
          <c:orientation val="minMax"/>
          <c:max val="100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R7H1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'R7H1E'!$BD$25:$BD$36</c:f>
              <c:numCache>
                <c:formatCode>0.0</c:formatCode>
                <c:ptCount val="12"/>
                <c:pt idx="0">
                  <c:v>188.36</c:v>
                </c:pt>
                <c:pt idx="1">
                  <c:v>95.390000000000015</c:v>
                </c:pt>
                <c:pt idx="2">
                  <c:v>46.569999999999993</c:v>
                </c:pt>
                <c:pt idx="3">
                  <c:v>26.63</c:v>
                </c:pt>
                <c:pt idx="4">
                  <c:v>32.510000000000005</c:v>
                </c:pt>
                <c:pt idx="5">
                  <c:v>46.860000000000014</c:v>
                </c:pt>
                <c:pt idx="6">
                  <c:v>81.010000000000005</c:v>
                </c:pt>
                <c:pt idx="7">
                  <c:v>96.1</c:v>
                </c:pt>
                <c:pt idx="8">
                  <c:v>91.999999999999986</c:v>
                </c:pt>
                <c:pt idx="9">
                  <c:v>94.42</c:v>
                </c:pt>
                <c:pt idx="10">
                  <c:v>86.719999999999985</c:v>
                </c:pt>
                <c:pt idx="11">
                  <c:v>73.080000000000013</c:v>
                </c:pt>
              </c:numCache>
            </c:numRef>
          </c:xVal>
          <c:yVal>
            <c:numRef>
              <c:f>'R7H1E'!$AO$25:$AO$36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F-7F44-B42F-3BE6C17A2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346152"/>
        <c:axId val="-2137618584"/>
      </c:scatterChart>
      <c:valAx>
        <c:axId val="-2137346152"/>
        <c:scaling>
          <c:orientation val="minMax"/>
          <c:max val="12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R7H1 Sum REE</a:t>
                </a:r>
                <a:r>
                  <a:rPr lang="en-US" baseline="0"/>
                  <a:t>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7618584"/>
        <c:crosses val="autoZero"/>
        <c:crossBetween val="midCat"/>
      </c:valAx>
      <c:valAx>
        <c:axId val="-2137618584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7346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'R7H1E'!$M$7:$M$20</c:f>
              <c:numCache>
                <c:formatCode>General</c:formatCode>
                <c:ptCount val="14"/>
                <c:pt idx="0">
                  <c:v>0.9</c:v>
                </c:pt>
                <c:pt idx="1">
                  <c:v>0.72</c:v>
                </c:pt>
                <c:pt idx="2">
                  <c:v>0.43</c:v>
                </c:pt>
                <c:pt idx="3">
                  <c:v>0.32</c:v>
                </c:pt>
                <c:pt idx="4">
                  <c:v>0.4</c:v>
                </c:pt>
                <c:pt idx="5">
                  <c:v>0.46</c:v>
                </c:pt>
                <c:pt idx="6">
                  <c:v>0.63</c:v>
                </c:pt>
                <c:pt idx="7">
                  <c:v>0.83</c:v>
                </c:pt>
                <c:pt idx="8">
                  <c:v>0.76</c:v>
                </c:pt>
                <c:pt idx="9">
                  <c:v>0.81</c:v>
                </c:pt>
                <c:pt idx="10">
                  <c:v>0.68</c:v>
                </c:pt>
                <c:pt idx="11">
                  <c:v>0.67</c:v>
                </c:pt>
                <c:pt idx="12">
                  <c:v>0.92</c:v>
                </c:pt>
                <c:pt idx="13">
                  <c:v>3.17</c:v>
                </c:pt>
              </c:numCache>
            </c:numRef>
          </c:xVal>
          <c:yVal>
            <c:numRef>
              <c:f>'R7H1E'!$E$7:$E$20</c:f>
              <c:numCache>
                <c:formatCode>General</c:formatCode>
                <c:ptCount val="14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  <c:pt idx="12">
                  <c:v>1500</c:v>
                </c:pt>
                <c:pt idx="13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C4-EE4E-B17F-940BD193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559896"/>
        <c:axId val="-2137554424"/>
      </c:scatterChart>
      <c:valAx>
        <c:axId val="-2137559896"/>
        <c:scaling>
          <c:orientation val="minMax"/>
          <c:max val="6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R7H1 K2O%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7554424"/>
        <c:crosses val="autoZero"/>
        <c:crossBetween val="midCat"/>
      </c:valAx>
      <c:valAx>
        <c:axId val="-2137554424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75598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R7H1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'R2P1EA'!$BK$7:$BK$20</c:f>
              <c:numCache>
                <c:formatCode>General</c:formatCode>
                <c:ptCount val="14"/>
                <c:pt idx="0">
                  <c:v>95.955056179775283</c:v>
                </c:pt>
                <c:pt idx="1">
                  <c:v>96.971027216856896</c:v>
                </c:pt>
                <c:pt idx="2">
                  <c:v>96.15773508594539</c:v>
                </c:pt>
                <c:pt idx="3">
                  <c:v>94.695571955719558</c:v>
                </c:pt>
                <c:pt idx="4">
                  <c:v>95.08110936682364</c:v>
                </c:pt>
                <c:pt idx="5">
                  <c:v>95.759233926128601</c:v>
                </c:pt>
                <c:pt idx="6">
                  <c:v>95.134779750164384</c:v>
                </c:pt>
                <c:pt idx="7">
                  <c:v>90.704360325826542</c:v>
                </c:pt>
                <c:pt idx="8">
                  <c:v>92.881165919282509</c:v>
                </c:pt>
                <c:pt idx="9">
                  <c:v>93.755656108597279</c:v>
                </c:pt>
                <c:pt idx="10">
                  <c:v>94.807280513918641</c:v>
                </c:pt>
                <c:pt idx="11">
                  <c:v>94.767441860465127</c:v>
                </c:pt>
                <c:pt idx="12">
                  <c:v>94.458598726114644</c:v>
                </c:pt>
                <c:pt idx="13">
                  <c:v>65.087636191378493</c:v>
                </c:pt>
              </c:numCache>
            </c:numRef>
          </c:xVal>
          <c:yVal>
            <c:numRef>
              <c:f>'R2P1EA'!$E$7:$E$20</c:f>
              <c:numCache>
                <c:formatCode>General</c:formatCode>
                <c:ptCount val="14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  <c:pt idx="13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C-6F47-BA9A-C9CB92D4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R7P1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146302785155697"/>
          <c:y val="0.20578509173088663"/>
          <c:w val="0.73854508231472693"/>
          <c:h val="0.67877353571681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'R7P1EA'!$F$3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'R7P1EA'!$F$7:$F$13</c:f>
              <c:numCache>
                <c:formatCode>General</c:formatCode>
                <c:ptCount val="7"/>
                <c:pt idx="0">
                  <c:v>75.78</c:v>
                </c:pt>
                <c:pt idx="1">
                  <c:v>75.47</c:v>
                </c:pt>
                <c:pt idx="2">
                  <c:v>69.19</c:v>
                </c:pt>
                <c:pt idx="3">
                  <c:v>63.04</c:v>
                </c:pt>
                <c:pt idx="4">
                  <c:v>62.76</c:v>
                </c:pt>
                <c:pt idx="5">
                  <c:v>66.180000000000007</c:v>
                </c:pt>
                <c:pt idx="6">
                  <c:v>61.35</c:v>
                </c:pt>
              </c:numCache>
            </c:numRef>
          </c:xVal>
          <c:yVal>
            <c:numRef>
              <c:f>'R7P1EA'!$E$7:$E$13</c:f>
              <c:numCache>
                <c:formatCode>General</c:formatCode>
                <c:ptCount val="7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16-4041-9DA6-9ACCE1C960DE}"/>
            </c:ext>
          </c:extLst>
        </c:ser>
        <c:ser>
          <c:idx val="1"/>
          <c:order val="1"/>
          <c:tx>
            <c:strRef>
              <c:f>'R7H2E'!$F$31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'R7H1E'!$F$30:$F$41</c:f>
              <c:numCache>
                <c:formatCode>0.00</c:formatCode>
                <c:ptCount val="12"/>
                <c:pt idx="0">
                  <c:v>-0.37799143221300846</c:v>
                </c:pt>
                <c:pt idx="1">
                  <c:v>-0.1471372932258519</c:v>
                </c:pt>
                <c:pt idx="2">
                  <c:v>0.17266296834886297</c:v>
                </c:pt>
                <c:pt idx="3">
                  <c:v>0.11815925011223016</c:v>
                </c:pt>
                <c:pt idx="4">
                  <c:v>0.15797592100473357</c:v>
                </c:pt>
                <c:pt idx="5">
                  <c:v>0.13435680183799392</c:v>
                </c:pt>
                <c:pt idx="6">
                  <c:v>0.16300625259805734</c:v>
                </c:pt>
                <c:pt idx="7">
                  <c:v>0.10483357213985589</c:v>
                </c:pt>
                <c:pt idx="8">
                  <c:v>0.14104822188648813</c:v>
                </c:pt>
                <c:pt idx="9">
                  <c:v>0.11781129071130891</c:v>
                </c:pt>
                <c:pt idx="10">
                  <c:v>0.12745164102084772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16-4041-9DA6-9ACCE1C960DE}"/>
            </c:ext>
          </c:extLst>
        </c:ser>
        <c:ser>
          <c:idx val="2"/>
          <c:order val="2"/>
          <c:tx>
            <c:strRef>
              <c:f>'R7H1E'!$G$29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'R7H1E'!$G$30:$G$41</c:f>
              <c:numCache>
                <c:formatCode>0.00</c:formatCode>
                <c:ptCount val="12"/>
                <c:pt idx="0">
                  <c:v>-0.50839869253396275</c:v>
                </c:pt>
                <c:pt idx="1">
                  <c:v>-0.32160843096885028</c:v>
                </c:pt>
                <c:pt idx="2">
                  <c:v>6.4855008915782664E-2</c:v>
                </c:pt>
                <c:pt idx="3">
                  <c:v>-8.3820463855156513E-3</c:v>
                </c:pt>
                <c:pt idx="4">
                  <c:v>-2.1410348314904959E-2</c:v>
                </c:pt>
                <c:pt idx="5">
                  <c:v>-3.7625823053053731E-2</c:v>
                </c:pt>
                <c:pt idx="6">
                  <c:v>-5.2711608767644358E-2</c:v>
                </c:pt>
                <c:pt idx="7">
                  <c:v>-7.2900863479392064E-2</c:v>
                </c:pt>
                <c:pt idx="8">
                  <c:v>-7.5197268486779212E-2</c:v>
                </c:pt>
                <c:pt idx="9">
                  <c:v>-8.2431813739107018E-2</c:v>
                </c:pt>
                <c:pt idx="10">
                  <c:v>-7.2230618250487932E-2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16-4041-9DA6-9ACCE1C960DE}"/>
            </c:ext>
          </c:extLst>
        </c:ser>
        <c:ser>
          <c:idx val="3"/>
          <c:order val="3"/>
          <c:tx>
            <c:strRef>
              <c:f>'R7H1E'!$I$29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'R7H1E'!$I$30:$I$41</c:f>
              <c:numCache>
                <c:formatCode>0.00</c:formatCode>
                <c:ptCount val="12"/>
                <c:pt idx="0">
                  <c:v>-0.69560271275432073</c:v>
                </c:pt>
                <c:pt idx="1">
                  <c:v>-0.64473381846035993</c:v>
                </c:pt>
                <c:pt idx="2">
                  <c:v>-0.57639833711262289</c:v>
                </c:pt>
                <c:pt idx="3">
                  <c:v>-0.41726347531096852</c:v>
                </c:pt>
                <c:pt idx="4">
                  <c:v>-0.45002808462834665</c:v>
                </c:pt>
                <c:pt idx="5">
                  <c:v>-0.19825831702544006</c:v>
                </c:pt>
                <c:pt idx="6">
                  <c:v>0.13050021195421779</c:v>
                </c:pt>
                <c:pt idx="7">
                  <c:v>0.54048667925319904</c:v>
                </c:pt>
                <c:pt idx="8">
                  <c:v>0.45088633993743499</c:v>
                </c:pt>
                <c:pt idx="9">
                  <c:v>0.4960295291300878</c:v>
                </c:pt>
                <c:pt idx="10">
                  <c:v>0.41956011103993163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16-4041-9DA6-9ACCE1C960DE}"/>
            </c:ext>
          </c:extLst>
        </c:ser>
        <c:ser>
          <c:idx val="4"/>
          <c:order val="4"/>
          <c:tx>
            <c:strRef>
              <c:f>'R7H1E'!$J$29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'R7H1E'!$J$30</c:f>
              <c:numCache>
                <c:formatCode>0.00</c:formatCode>
                <c:ptCount val="1"/>
                <c:pt idx="0">
                  <c:v>6.1026033690658501</c:v>
                </c:pt>
              </c:numCache>
            </c:numRef>
          </c:xVal>
          <c:yVal>
            <c:numRef>
              <c:f>'R7H1E'!$E$18</c:f>
              <c:numCache>
                <c:formatCode>General</c:formatCode>
                <c:ptCount val="1"/>
                <c:pt idx="0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16-4041-9DA6-9ACCE1C960DE}"/>
            </c:ext>
          </c:extLst>
        </c:ser>
        <c:ser>
          <c:idx val="5"/>
          <c:order val="5"/>
          <c:tx>
            <c:strRef>
              <c:f>'R7H1E'!$K$29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'R7H1E'!$K$30:$K$41</c:f>
              <c:numCache>
                <c:formatCode>0.00</c:formatCode>
                <c:ptCount val="12"/>
                <c:pt idx="0">
                  <c:v>1.6634762633996938</c:v>
                </c:pt>
                <c:pt idx="1">
                  <c:v>0.55428954423592502</c:v>
                </c:pt>
                <c:pt idx="2">
                  <c:v>2.2486772486772555E-2</c:v>
                </c:pt>
                <c:pt idx="3">
                  <c:v>1.9788918205804862E-2</c:v>
                </c:pt>
                <c:pt idx="4">
                  <c:v>0.26638269986893848</c:v>
                </c:pt>
                <c:pt idx="5">
                  <c:v>-0.20582191780821901</c:v>
                </c:pt>
                <c:pt idx="6">
                  <c:v>0.14688427299703255</c:v>
                </c:pt>
                <c:pt idx="7">
                  <c:v>0.13509544787077821</c:v>
                </c:pt>
                <c:pt idx="8">
                  <c:v>0.12846715328467151</c:v>
                </c:pt>
                <c:pt idx="9">
                  <c:v>-0.1902932960893855</c:v>
                </c:pt>
                <c:pt idx="10">
                  <c:v>0.4443198804185351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16-4041-9DA6-9ACCE1C960DE}"/>
            </c:ext>
          </c:extLst>
        </c:ser>
        <c:ser>
          <c:idx val="6"/>
          <c:order val="6"/>
          <c:tx>
            <c:strRef>
              <c:f>'R7H1E'!$L$29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'R7H1E'!$L$30:$L$41</c:f>
              <c:numCache>
                <c:formatCode>0.00</c:formatCode>
                <c:ptCount val="12"/>
                <c:pt idx="0">
                  <c:v>0.59013508262668268</c:v>
                </c:pt>
                <c:pt idx="1">
                  <c:v>0.1135208675123045</c:v>
                </c:pt>
                <c:pt idx="2">
                  <c:v>-0.343777146015952</c:v>
                </c:pt>
                <c:pt idx="3">
                  <c:v>-0.51293663608080964</c:v>
                </c:pt>
                <c:pt idx="4">
                  <c:v>-0.39516050155513394</c:v>
                </c:pt>
                <c:pt idx="5">
                  <c:v>-0.27299120834185231</c:v>
                </c:pt>
                <c:pt idx="6">
                  <c:v>7.8413570131538046E-2</c:v>
                </c:pt>
                <c:pt idx="7">
                  <c:v>0.40616301751156092</c:v>
                </c:pt>
                <c:pt idx="8">
                  <c:v>0.28005229327813486</c:v>
                </c:pt>
                <c:pt idx="9">
                  <c:v>0.30519886600516966</c:v>
                </c:pt>
                <c:pt idx="10">
                  <c:v>0.17270151484728813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16-4041-9DA6-9ACCE1C960DE}"/>
            </c:ext>
          </c:extLst>
        </c:ser>
        <c:ser>
          <c:idx val="7"/>
          <c:order val="7"/>
          <c:tx>
            <c:strRef>
              <c:f>'R7H1E'!$O$29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'R7H1E'!$O$30:$O$41</c:f>
              <c:numCache>
                <c:formatCode>0.00</c:formatCode>
                <c:ptCount val="12"/>
                <c:pt idx="0">
                  <c:v>-0.21120457249462676</c:v>
                </c:pt>
                <c:pt idx="1">
                  <c:v>-0.12863301981729913</c:v>
                </c:pt>
                <c:pt idx="2">
                  <c:v>0.17521515557403045</c:v>
                </c:pt>
                <c:pt idx="3">
                  <c:v>8.9027739034520881E-2</c:v>
                </c:pt>
                <c:pt idx="4">
                  <c:v>7.1082167105445571E-2</c:v>
                </c:pt>
                <c:pt idx="5">
                  <c:v>2.6038026653202984E-2</c:v>
                </c:pt>
                <c:pt idx="6">
                  <c:v>7.7915480634456413E-2</c:v>
                </c:pt>
                <c:pt idx="7">
                  <c:v>1.6191172051142955E-2</c:v>
                </c:pt>
                <c:pt idx="8">
                  <c:v>3.6526085509780648E-2</c:v>
                </c:pt>
                <c:pt idx="9">
                  <c:v>2.9345864783878461E-2</c:v>
                </c:pt>
                <c:pt idx="10">
                  <c:v>7.0281657264559483E-2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16-4041-9DA6-9ACCE1C960DE}"/>
            </c:ext>
          </c:extLst>
        </c:ser>
        <c:ser>
          <c:idx val="8"/>
          <c:order val="8"/>
          <c:tx>
            <c:strRef>
              <c:f>'R7H1E'!$M$29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'R7H1E'!$M$30:$M$41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'R7H1E'!$E$7:$E$18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16-4041-9DA6-9ACCE1C9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5.5675195569795707E-2"/>
              <c:y val="0.48645000234829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 w="15875">
      <a:noFill/>
    </a:ln>
  </c:sp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R7P1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'R7P1EA'!$AO$20</c:f>
              <c:strCache>
                <c:ptCount val="1"/>
                <c:pt idx="0">
                  <c:v>4.5</c:v>
                </c:pt>
              </c:strCache>
            </c:strRef>
          </c:tx>
          <c:cat>
            <c:strRef>
              <c:f>'R7P1EA'!$AP$18:$BC$18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'R7P1EA'!$AP$20:$BC$20</c:f>
              <c:numCache>
                <c:formatCode>0.000</c:formatCode>
                <c:ptCount val="14"/>
                <c:pt idx="0">
                  <c:v>149.59128065395095</c:v>
                </c:pt>
                <c:pt idx="1">
                  <c:v>179.72831765935214</c:v>
                </c:pt>
                <c:pt idx="2">
                  <c:v>108.75912408759123</c:v>
                </c:pt>
                <c:pt idx="3">
                  <c:v>79.74683544303798</c:v>
                </c:pt>
                <c:pt idx="4">
                  <c:v>49.78354978354978</c:v>
                </c:pt>
                <c:pt idx="5">
                  <c:v>34.942528735632187</c:v>
                </c:pt>
                <c:pt idx="6">
                  <c:v>32.352941176470587</c:v>
                </c:pt>
                <c:pt idx="7">
                  <c:v>27.586206896551726</c:v>
                </c:pt>
                <c:pt idx="8">
                  <c:v>24.934383202099738</c:v>
                </c:pt>
                <c:pt idx="9">
                  <c:v>22.352941176470587</c:v>
                </c:pt>
                <c:pt idx="10">
                  <c:v>21.285140562248994</c:v>
                </c:pt>
                <c:pt idx="11">
                  <c:v>22.222222222222225</c:v>
                </c:pt>
                <c:pt idx="12">
                  <c:v>22.177419354838708</c:v>
                </c:pt>
                <c:pt idx="13">
                  <c:v>22.105263157894736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6-EC41-BB1D-FC2FB13A0A8C}"/>
            </c:ext>
          </c:extLst>
        </c:ser>
        <c:ser>
          <c:idx val="1"/>
          <c:order val="1"/>
          <c:tx>
            <c:strRef>
              <c:f>'R7P1EA'!$AO$21</c:f>
              <c:strCache>
                <c:ptCount val="1"/>
                <c:pt idx="0">
                  <c:v>15</c:v>
                </c:pt>
              </c:strCache>
            </c:strRef>
          </c:tx>
          <c:cat>
            <c:strRef>
              <c:f>'R7P1EA'!$AP$18:$BC$18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'R7P1EA'!$AP$21:$BC$21</c:f>
              <c:numCache>
                <c:formatCode>0.000</c:formatCode>
                <c:ptCount val="14"/>
                <c:pt idx="0">
                  <c:v>177.3841961852861</c:v>
                </c:pt>
                <c:pt idx="1">
                  <c:v>207.94148380355279</c:v>
                </c:pt>
                <c:pt idx="2">
                  <c:v>130.65693430656933</c:v>
                </c:pt>
                <c:pt idx="3">
                  <c:v>96.483825597749643</c:v>
                </c:pt>
                <c:pt idx="4">
                  <c:v>60.17316017316017</c:v>
                </c:pt>
                <c:pt idx="5">
                  <c:v>44.252873563218394</c:v>
                </c:pt>
                <c:pt idx="6">
                  <c:v>39.542483660130721</c:v>
                </c:pt>
                <c:pt idx="7">
                  <c:v>32.758620689655167</c:v>
                </c:pt>
                <c:pt idx="8">
                  <c:v>30.183727034120736</c:v>
                </c:pt>
                <c:pt idx="9">
                  <c:v>27.058823529411761</c:v>
                </c:pt>
                <c:pt idx="10">
                  <c:v>26.907630522088354</c:v>
                </c:pt>
                <c:pt idx="11">
                  <c:v>26.944444444444446</c:v>
                </c:pt>
                <c:pt idx="12">
                  <c:v>26.612903225806452</c:v>
                </c:pt>
                <c:pt idx="13">
                  <c:v>27.10526315789474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6-EC41-BB1D-FC2FB13A0A8C}"/>
            </c:ext>
          </c:extLst>
        </c:ser>
        <c:ser>
          <c:idx val="2"/>
          <c:order val="2"/>
          <c:tx>
            <c:strRef>
              <c:f>'R7P1EA'!$AO$22</c:f>
              <c:strCache>
                <c:ptCount val="1"/>
                <c:pt idx="0">
                  <c:v>32.5</c:v>
                </c:pt>
              </c:strCache>
            </c:strRef>
          </c:tx>
          <c:cat>
            <c:strRef>
              <c:f>'R7P1EA'!$AP$18:$BC$18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'R7P1EA'!$AP$22:$BC$22</c:f>
              <c:numCache>
                <c:formatCode>0.000</c:formatCode>
                <c:ptCount val="14"/>
                <c:pt idx="0">
                  <c:v>110.0817438692098</c:v>
                </c:pt>
                <c:pt idx="1">
                  <c:v>197.49216300940441</c:v>
                </c:pt>
                <c:pt idx="2">
                  <c:v>81.021897810218974</c:v>
                </c:pt>
                <c:pt idx="3">
                  <c:v>59.071729957805907</c:v>
                </c:pt>
                <c:pt idx="4">
                  <c:v>38.095238095238095</c:v>
                </c:pt>
                <c:pt idx="5">
                  <c:v>26.206896551724139</c:v>
                </c:pt>
                <c:pt idx="6">
                  <c:v>23.529411764705884</c:v>
                </c:pt>
                <c:pt idx="7">
                  <c:v>18.96551724137931</c:v>
                </c:pt>
                <c:pt idx="8">
                  <c:v>17.585301837270343</c:v>
                </c:pt>
                <c:pt idx="9">
                  <c:v>16.470588235294116</c:v>
                </c:pt>
                <c:pt idx="10">
                  <c:v>15.662650602409638</c:v>
                </c:pt>
                <c:pt idx="11">
                  <c:v>16.666666666666668</c:v>
                </c:pt>
                <c:pt idx="12">
                  <c:v>16.935483870967744</c:v>
                </c:pt>
                <c:pt idx="13">
                  <c:v>17.894736842105264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6-EC41-BB1D-FC2FB13A0A8C}"/>
            </c:ext>
          </c:extLst>
        </c:ser>
        <c:ser>
          <c:idx val="3"/>
          <c:order val="3"/>
          <c:tx>
            <c:strRef>
              <c:f>'R7P1EA'!$AO$23</c:f>
              <c:strCache>
                <c:ptCount val="1"/>
                <c:pt idx="0">
                  <c:v>60</c:v>
                </c:pt>
              </c:strCache>
            </c:strRef>
          </c:tx>
          <c:cat>
            <c:strRef>
              <c:f>'R7P1EA'!$AP$18:$BC$18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'R7P1EA'!$AP$23:$BC$23</c:f>
              <c:numCache>
                <c:formatCode>0.000</c:formatCode>
                <c:ptCount val="14"/>
                <c:pt idx="0">
                  <c:v>49.591280653950953</c:v>
                </c:pt>
                <c:pt idx="1">
                  <c:v>165.09926854754443</c:v>
                </c:pt>
                <c:pt idx="2">
                  <c:v>32.846715328467148</c:v>
                </c:pt>
                <c:pt idx="3">
                  <c:v>23.769338959212376</c:v>
                </c:pt>
                <c:pt idx="4">
                  <c:v>14.718614718614717</c:v>
                </c:pt>
                <c:pt idx="5">
                  <c:v>9.3103448275862082</c:v>
                </c:pt>
                <c:pt idx="6">
                  <c:v>8.4967320261437909</c:v>
                </c:pt>
                <c:pt idx="7">
                  <c:v>8.6206896551724128</c:v>
                </c:pt>
                <c:pt idx="8">
                  <c:v>7.6115485564304457</c:v>
                </c:pt>
                <c:pt idx="9">
                  <c:v>7.0588235294117636</c:v>
                </c:pt>
                <c:pt idx="10">
                  <c:v>7.2289156626506026</c:v>
                </c:pt>
                <c:pt idx="11">
                  <c:v>7.7777777777777795</c:v>
                </c:pt>
                <c:pt idx="12">
                  <c:v>8.064516129032258</c:v>
                </c:pt>
                <c:pt idx="13">
                  <c:v>8.4210526315789469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6-EC41-BB1D-FC2FB13A0A8C}"/>
            </c:ext>
          </c:extLst>
        </c:ser>
        <c:ser>
          <c:idx val="4"/>
          <c:order val="4"/>
          <c:tx>
            <c:strRef>
              <c:f>'R7P1EA'!$AO$24</c:f>
              <c:strCache>
                <c:ptCount val="1"/>
                <c:pt idx="0">
                  <c:v>89</c:v>
                </c:pt>
              </c:strCache>
            </c:strRef>
          </c:tx>
          <c:cat>
            <c:strRef>
              <c:f>'R7P1EA'!$AP$18:$BC$18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'R7P1EA'!$AP$24:$BC$24</c:f>
              <c:numCache>
                <c:formatCode>0.000</c:formatCode>
                <c:ptCount val="14"/>
                <c:pt idx="0">
                  <c:v>22.6158038147139</c:v>
                </c:pt>
                <c:pt idx="1">
                  <c:v>39.28944618599791</c:v>
                </c:pt>
                <c:pt idx="2">
                  <c:v>14.087591240875911</c:v>
                </c:pt>
                <c:pt idx="3">
                  <c:v>10.126582278481013</c:v>
                </c:pt>
                <c:pt idx="4">
                  <c:v>6.0606060606060597</c:v>
                </c:pt>
                <c:pt idx="5">
                  <c:v>4.0229885057471266</c:v>
                </c:pt>
                <c:pt idx="6">
                  <c:v>3.2679738562091503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3.5294117647058818</c:v>
                </c:pt>
                <c:pt idx="10">
                  <c:v>3.6144578313253013</c:v>
                </c:pt>
                <c:pt idx="11">
                  <c:v>3.8888888888888897</c:v>
                </c:pt>
                <c:pt idx="12">
                  <c:v>4.435483870967742</c:v>
                </c:pt>
                <c:pt idx="13">
                  <c:v>5.2631578947368425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6-EC41-BB1D-FC2FB13A0A8C}"/>
            </c:ext>
          </c:extLst>
        </c:ser>
        <c:ser>
          <c:idx val="5"/>
          <c:order val="5"/>
          <c:tx>
            <c:strRef>
              <c:f>'R7P1EA'!$AO$25</c:f>
              <c:strCache>
                <c:ptCount val="1"/>
                <c:pt idx="0">
                  <c:v>125.5</c:v>
                </c:pt>
              </c:strCache>
            </c:strRef>
          </c:tx>
          <c:cat>
            <c:strRef>
              <c:f>'R7P1EA'!$AP$18:$BC$18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'R7P1EA'!$AP$25:$BC$25</c:f>
              <c:numCache>
                <c:formatCode>0.000</c:formatCode>
                <c:ptCount val="14"/>
                <c:pt idx="0">
                  <c:v>13.896457765667574</c:v>
                </c:pt>
                <c:pt idx="1">
                  <c:v>25.287356321839081</c:v>
                </c:pt>
                <c:pt idx="2">
                  <c:v>9.0510948905109476</c:v>
                </c:pt>
                <c:pt idx="3">
                  <c:v>6.1884669479606194</c:v>
                </c:pt>
                <c:pt idx="4">
                  <c:v>3.8961038961038961</c:v>
                </c:pt>
                <c:pt idx="5">
                  <c:v>2.4137931034482758</c:v>
                </c:pt>
                <c:pt idx="6">
                  <c:v>2.2875816993464051</c:v>
                </c:pt>
                <c:pt idx="7">
                  <c:v>1.7241379310344829</c:v>
                </c:pt>
                <c:pt idx="8">
                  <c:v>2.3622047244094491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2.7777777777777781</c:v>
                </c:pt>
                <c:pt idx="12">
                  <c:v>3.2258064516129035</c:v>
                </c:pt>
                <c:pt idx="13">
                  <c:v>3.6842105263157898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6-EC41-BB1D-FC2FB13A0A8C}"/>
            </c:ext>
          </c:extLst>
        </c:ser>
        <c:ser>
          <c:idx val="6"/>
          <c:order val="6"/>
          <c:tx>
            <c:strRef>
              <c:f>'R7P1EA'!$AO$26</c:f>
              <c:strCache>
                <c:ptCount val="1"/>
                <c:pt idx="0">
                  <c:v>152</c:v>
                </c:pt>
              </c:strCache>
            </c:strRef>
          </c:tx>
          <c:cat>
            <c:strRef>
              <c:f>'R7P1EA'!$AP$18:$BC$18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'R7P1EA'!$AP$26:$BC$26</c:f>
              <c:numCache>
                <c:formatCode>0.000</c:formatCode>
                <c:ptCount val="14"/>
                <c:pt idx="0">
                  <c:v>16.348773841961854</c:v>
                </c:pt>
                <c:pt idx="1">
                  <c:v>28.317659352142112</c:v>
                </c:pt>
                <c:pt idx="2">
                  <c:v>10.510948905109489</c:v>
                </c:pt>
                <c:pt idx="3">
                  <c:v>7.313642756680732</c:v>
                </c:pt>
                <c:pt idx="4">
                  <c:v>3.8961038961038961</c:v>
                </c:pt>
                <c:pt idx="5">
                  <c:v>2.8735632183908049</c:v>
                </c:pt>
                <c:pt idx="6">
                  <c:v>2.6143790849673203</c:v>
                </c:pt>
                <c:pt idx="7">
                  <c:v>1.7241379310344829</c:v>
                </c:pt>
                <c:pt idx="8">
                  <c:v>2.6246719160104988</c:v>
                </c:pt>
                <c:pt idx="9">
                  <c:v>2.3529411764705883</c:v>
                </c:pt>
                <c:pt idx="10">
                  <c:v>2.8112449799196786</c:v>
                </c:pt>
                <c:pt idx="11">
                  <c:v>3.0555555555555558</c:v>
                </c:pt>
                <c:pt idx="12">
                  <c:v>3.2258064516129035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36-EC41-BB1D-FC2FB13A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175608"/>
        <c:axId val="-2137289160"/>
      </c:lineChart>
      <c:catAx>
        <c:axId val="-2137175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7289160"/>
        <c:crosses val="autoZero"/>
        <c:auto val="1"/>
        <c:lblAlgn val="ctr"/>
        <c:lblOffset val="100"/>
        <c:noMultiLvlLbl val="0"/>
      </c:catAx>
      <c:valAx>
        <c:axId val="-2137289160"/>
        <c:scaling>
          <c:logBase val="10"/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7175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'R7P1EA'!$BD$20:$BD$26</c:f>
              <c:numCache>
                <c:formatCode>0.000</c:formatCode>
                <c:ptCount val="7"/>
                <c:pt idx="0">
                  <c:v>348.38</c:v>
                </c:pt>
                <c:pt idx="1">
                  <c:v>411.45000000000005</c:v>
                </c:pt>
                <c:pt idx="2">
                  <c:v>319.35999999999996</c:v>
                </c:pt>
                <c:pt idx="3">
                  <c:v>212.81</c:v>
                </c:pt>
                <c:pt idx="4">
                  <c:v>61.920000000000009</c:v>
                </c:pt>
                <c:pt idx="5">
                  <c:v>39.590000000000003</c:v>
                </c:pt>
                <c:pt idx="6">
                  <c:v>44.730000000000004</c:v>
                </c:pt>
              </c:numCache>
            </c:numRef>
          </c:xVal>
          <c:yVal>
            <c:numRef>
              <c:f>'R7P1EA'!$AO$20:$AO$26</c:f>
              <c:numCache>
                <c:formatCode>General</c:formatCode>
                <c:ptCount val="7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25-2545-A527-52A79EA6B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170040"/>
        <c:axId val="-2137164520"/>
      </c:scatterChart>
      <c:valAx>
        <c:axId val="-2137170040"/>
        <c:scaling>
          <c:orientation val="minMax"/>
          <c:max val="12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R7P1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7164520"/>
        <c:crosses val="autoZero"/>
        <c:crossBetween val="midCat"/>
      </c:valAx>
      <c:valAx>
        <c:axId val="-2137164520"/>
        <c:scaling>
          <c:orientation val="maxMin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71700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'R7P1EA'!$M$7:$M$15</c:f>
              <c:numCache>
                <c:formatCode>General</c:formatCode>
                <c:ptCount val="9"/>
                <c:pt idx="0">
                  <c:v>1.31</c:v>
                </c:pt>
                <c:pt idx="1">
                  <c:v>1.38</c:v>
                </c:pt>
                <c:pt idx="2">
                  <c:v>1.32</c:v>
                </c:pt>
                <c:pt idx="3">
                  <c:v>1.1499999999999999</c:v>
                </c:pt>
                <c:pt idx="4">
                  <c:v>0.87</c:v>
                </c:pt>
                <c:pt idx="5">
                  <c:v>0.49</c:v>
                </c:pt>
                <c:pt idx="6">
                  <c:v>0.59</c:v>
                </c:pt>
                <c:pt idx="7">
                  <c:v>0.92</c:v>
                </c:pt>
                <c:pt idx="8">
                  <c:v>3.17</c:v>
                </c:pt>
              </c:numCache>
            </c:numRef>
          </c:xVal>
          <c:yVal>
            <c:numRef>
              <c:f>'R7P1EA'!$E$7:$E$15</c:f>
              <c:numCache>
                <c:formatCode>General</c:formatCode>
                <c:ptCount val="9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  <c:pt idx="7">
                  <c:v>1000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C-5641-8721-BE552E55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021944"/>
        <c:axId val="-2137300440"/>
      </c:scatterChart>
      <c:valAx>
        <c:axId val="-2137021944"/>
        <c:scaling>
          <c:orientation val="minMax"/>
          <c:max val="6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R7P1 K2O%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7300440"/>
        <c:crosses val="autoZero"/>
        <c:crossBetween val="midCat"/>
      </c:valAx>
      <c:valAx>
        <c:axId val="-2137300440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70219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763149110751"/>
          <c:y val="0.12483310076284287"/>
          <c:w val="0.26442314625306279"/>
          <c:h val="0.849262355828435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'R7P2EA'!$BD$27:$BD$40</c:f>
              <c:numCache>
                <c:formatCode>0.0</c:formatCode>
                <c:ptCount val="14"/>
                <c:pt idx="0">
                  <c:v>23.680000000000003</c:v>
                </c:pt>
                <c:pt idx="1">
                  <c:v>28.45</c:v>
                </c:pt>
                <c:pt idx="2">
                  <c:v>40.040000000000006</c:v>
                </c:pt>
                <c:pt idx="3">
                  <c:v>39.260000000000012</c:v>
                </c:pt>
                <c:pt idx="4">
                  <c:v>26.15</c:v>
                </c:pt>
                <c:pt idx="5">
                  <c:v>30.920000000000005</c:v>
                </c:pt>
                <c:pt idx="6">
                  <c:v>37.730000000000004</c:v>
                </c:pt>
                <c:pt idx="7">
                  <c:v>54.309999999999988</c:v>
                </c:pt>
                <c:pt idx="8">
                  <c:v>58.989999999999988</c:v>
                </c:pt>
                <c:pt idx="9">
                  <c:v>78.34</c:v>
                </c:pt>
                <c:pt idx="10">
                  <c:v>70.739999999999995</c:v>
                </c:pt>
                <c:pt idx="11">
                  <c:v>61.3</c:v>
                </c:pt>
                <c:pt idx="12">
                  <c:v>65.930000000000021</c:v>
                </c:pt>
                <c:pt idx="13">
                  <c:v>64.059999999999988</c:v>
                </c:pt>
              </c:numCache>
            </c:numRef>
          </c:xVal>
          <c:yVal>
            <c:numRef>
              <c:f>'R7P2EA'!$AO$27:$AO$40</c:f>
              <c:numCache>
                <c:formatCode>0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6C-C94B-A0DA-AF041010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logBase val="10"/>
          <c:orientation val="minMax"/>
          <c:max val="100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R7P2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R7P2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853275440051512"/>
          <c:y val="0.18556584826492623"/>
          <c:w val="0.74001021904024789"/>
          <c:h val="0.727299720035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'R7P2EA'!$E$27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'R7P2EA'!$E$28:$E$41</c:f>
              <c:numCache>
                <c:formatCode>0.00</c:formatCode>
                <c:ptCount val="14"/>
                <c:pt idx="0">
                  <c:v>2.6994082941752797</c:v>
                </c:pt>
                <c:pt idx="1">
                  <c:v>1.6905733631638382</c:v>
                </c:pt>
                <c:pt idx="2">
                  <c:v>1.9537086770208778</c:v>
                </c:pt>
                <c:pt idx="3">
                  <c:v>0.10834137917943654</c:v>
                </c:pt>
                <c:pt idx="4">
                  <c:v>6.9557327690800363E-2</c:v>
                </c:pt>
                <c:pt idx="5">
                  <c:v>-6.6743126182703727E-2</c:v>
                </c:pt>
                <c:pt idx="6">
                  <c:v>4.4725772547363984E-2</c:v>
                </c:pt>
                <c:pt idx="7">
                  <c:v>2.9783347213504507E-2</c:v>
                </c:pt>
                <c:pt idx="8">
                  <c:v>-2.5701606882748029E-2</c:v>
                </c:pt>
                <c:pt idx="9">
                  <c:v>-7.4464473680997401E-3</c:v>
                </c:pt>
                <c:pt idx="10">
                  <c:v>8.0767037481296766E-2</c:v>
                </c:pt>
                <c:pt idx="11">
                  <c:v>4.921701266215206E-2</c:v>
                </c:pt>
                <c:pt idx="12">
                  <c:v>-2.6577949259205425E-2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5-964A-9B2A-941E0490EE00}"/>
            </c:ext>
          </c:extLst>
        </c:ser>
        <c:ser>
          <c:idx val="1"/>
          <c:order val="1"/>
          <c:tx>
            <c:strRef>
              <c:f>'R7P2EA'!$F$27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'R7P2EA'!$F$28:$F$41</c:f>
              <c:numCache>
                <c:formatCode>0.00</c:formatCode>
                <c:ptCount val="14"/>
                <c:pt idx="0">
                  <c:v>-0.48177886594355901</c:v>
                </c:pt>
                <c:pt idx="1">
                  <c:v>-0.50668487017699215</c:v>
                </c:pt>
                <c:pt idx="2">
                  <c:v>-0.32950403634142233</c:v>
                </c:pt>
                <c:pt idx="3">
                  <c:v>0.17692695604949749</c:v>
                </c:pt>
                <c:pt idx="4">
                  <c:v>0.26578149742257784</c:v>
                </c:pt>
                <c:pt idx="5">
                  <c:v>0.19506292617685106</c:v>
                </c:pt>
                <c:pt idx="6">
                  <c:v>0.20550528830360859</c:v>
                </c:pt>
                <c:pt idx="7">
                  <c:v>9.7440923909569488E-2</c:v>
                </c:pt>
                <c:pt idx="8">
                  <c:v>9.0148213683337142E-2</c:v>
                </c:pt>
                <c:pt idx="9">
                  <c:v>0.19047111717201859</c:v>
                </c:pt>
                <c:pt idx="10">
                  <c:v>0.15029295402675324</c:v>
                </c:pt>
                <c:pt idx="11">
                  <c:v>7.9929043260928756E-2</c:v>
                </c:pt>
                <c:pt idx="12">
                  <c:v>4.5778301140468214E-2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5-964A-9B2A-941E0490EE00}"/>
            </c:ext>
          </c:extLst>
        </c:ser>
        <c:ser>
          <c:idx val="2"/>
          <c:order val="2"/>
          <c:tx>
            <c:strRef>
              <c:f>'R7P2EA'!$G$27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'R7P2EA'!$G$28:$G$41</c:f>
              <c:numCache>
                <c:formatCode>0.00</c:formatCode>
                <c:ptCount val="14"/>
                <c:pt idx="0">
                  <c:v>-0.17118879353861693</c:v>
                </c:pt>
                <c:pt idx="1">
                  <c:v>-0.26475391986062724</c:v>
                </c:pt>
                <c:pt idx="2">
                  <c:v>-0.27930216802168029</c:v>
                </c:pt>
                <c:pt idx="3">
                  <c:v>8.6122411242603336E-2</c:v>
                </c:pt>
                <c:pt idx="4">
                  <c:v>0.18899031296572266</c:v>
                </c:pt>
                <c:pt idx="5">
                  <c:v>0.20854158579192528</c:v>
                </c:pt>
                <c:pt idx="6">
                  <c:v>0.16747335935851404</c:v>
                </c:pt>
                <c:pt idx="7">
                  <c:v>0.14694416498993945</c:v>
                </c:pt>
                <c:pt idx="8">
                  <c:v>9.5960942043031627E-2</c:v>
                </c:pt>
                <c:pt idx="9">
                  <c:v>0.16439260563380254</c:v>
                </c:pt>
                <c:pt idx="10">
                  <c:v>8.7405322953923559E-2</c:v>
                </c:pt>
                <c:pt idx="11">
                  <c:v>7.3543897757122556E-2</c:v>
                </c:pt>
                <c:pt idx="12">
                  <c:v>9.6044726301735439E-2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5-964A-9B2A-941E0490EE00}"/>
            </c:ext>
          </c:extLst>
        </c:ser>
        <c:ser>
          <c:idx val="3"/>
          <c:order val="3"/>
          <c:tx>
            <c:strRef>
              <c:f>'R7P2EA'!$I$27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'R7P2EA'!$I$28:$I$41</c:f>
              <c:numCache>
                <c:formatCode>0.00</c:formatCode>
                <c:ptCount val="14"/>
                <c:pt idx="0">
                  <c:v>-0.85356890459363954</c:v>
                </c:pt>
                <c:pt idx="1">
                  <c:v>-0.91336585365853662</c:v>
                </c:pt>
                <c:pt idx="2">
                  <c:v>-0.90373983739837405</c:v>
                </c:pt>
                <c:pt idx="3">
                  <c:v>-0.83360946745562137</c:v>
                </c:pt>
                <c:pt idx="4">
                  <c:v>-0.81472429210134134</c:v>
                </c:pt>
                <c:pt idx="5">
                  <c:v>-0.80695652173913046</c:v>
                </c:pt>
                <c:pt idx="6">
                  <c:v>-0.79887740029542098</c:v>
                </c:pt>
                <c:pt idx="7">
                  <c:v>-0.68315492957746482</c:v>
                </c:pt>
                <c:pt idx="8">
                  <c:v>-0.72689280868385342</c:v>
                </c:pt>
                <c:pt idx="9">
                  <c:v>-0.6164507042253522</c:v>
                </c:pt>
                <c:pt idx="10">
                  <c:v>-0.45944035346097212</c:v>
                </c:pt>
                <c:pt idx="11">
                  <c:v>-5.3804809052333979E-2</c:v>
                </c:pt>
                <c:pt idx="12">
                  <c:v>-0.21751668891855802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5-964A-9B2A-941E0490EE00}"/>
            </c:ext>
          </c:extLst>
        </c:ser>
        <c:ser>
          <c:idx val="4"/>
          <c:order val="4"/>
          <c:tx>
            <c:strRef>
              <c:f>'R7P2EA'!$J$27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'R7P2EA'!$J$28:$J$41</c:f>
              <c:numCache>
                <c:formatCode>0.00</c:formatCode>
                <c:ptCount val="14"/>
                <c:pt idx="0">
                  <c:v>16.432273262661958</c:v>
                </c:pt>
                <c:pt idx="1">
                  <c:v>3.2113821138211387</c:v>
                </c:pt>
                <c:pt idx="2">
                  <c:v>2.342366757000903</c:v>
                </c:pt>
                <c:pt idx="3">
                  <c:v>-0.27021696252465488</c:v>
                </c:pt>
                <c:pt idx="4">
                  <c:v>-0.26477893691008447</c:v>
                </c:pt>
                <c:pt idx="5">
                  <c:v>-0.32971014492753625</c:v>
                </c:pt>
                <c:pt idx="6">
                  <c:v>-0.63564746430329888</c:v>
                </c:pt>
                <c:pt idx="7">
                  <c:v>-0.30516431924882625</c:v>
                </c:pt>
                <c:pt idx="8">
                  <c:v>0.67345092718227062</c:v>
                </c:pt>
                <c:pt idx="9">
                  <c:v>-0.65258215962441313</c:v>
                </c:pt>
                <c:pt idx="10">
                  <c:v>-1</c:v>
                </c:pt>
                <c:pt idx="11">
                  <c:v>-0.30221593587930218</c:v>
                </c:pt>
                <c:pt idx="12">
                  <c:v>-0.67067200712060515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5-964A-9B2A-941E0490EE00}"/>
            </c:ext>
          </c:extLst>
        </c:ser>
        <c:ser>
          <c:idx val="5"/>
          <c:order val="5"/>
          <c:tx>
            <c:strRef>
              <c:f>'R7P2EA'!$K$27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'R7P2EA'!$K$28:$K$41</c:f>
              <c:numCache>
                <c:formatCode>0.00</c:formatCode>
                <c:ptCount val="14"/>
                <c:pt idx="0">
                  <c:v>4.2296819787985873</c:v>
                </c:pt>
                <c:pt idx="1">
                  <c:v>2.6097560975609757</c:v>
                </c:pt>
                <c:pt idx="2">
                  <c:v>2.6766034327009938</c:v>
                </c:pt>
                <c:pt idx="3">
                  <c:v>-8.7771203155818656E-2</c:v>
                </c:pt>
                <c:pt idx="4">
                  <c:v>0.10283159463487324</c:v>
                </c:pt>
                <c:pt idx="5">
                  <c:v>0.34057971014492749</c:v>
                </c:pt>
                <c:pt idx="6">
                  <c:v>-0.45347119645494838</c:v>
                </c:pt>
                <c:pt idx="7">
                  <c:v>-0.30516431924882625</c:v>
                </c:pt>
                <c:pt idx="8">
                  <c:v>0.50610583446404345</c:v>
                </c:pt>
                <c:pt idx="9">
                  <c:v>-0.13145539906103287</c:v>
                </c:pt>
                <c:pt idx="10">
                  <c:v>8.9837997054491803E-2</c:v>
                </c:pt>
                <c:pt idx="11">
                  <c:v>0.39556812824139564</c:v>
                </c:pt>
                <c:pt idx="12">
                  <c:v>-0.1766800178015131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5-964A-9B2A-941E0490EE00}"/>
            </c:ext>
          </c:extLst>
        </c:ser>
        <c:ser>
          <c:idx val="6"/>
          <c:order val="6"/>
          <c:tx>
            <c:strRef>
              <c:f>'R7P2EA'!$L$27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'R7P2EA'!$L$28:$L$41</c:f>
              <c:numCache>
                <c:formatCode>0.00</c:formatCode>
                <c:ptCount val="14"/>
                <c:pt idx="0">
                  <c:v>2.0031837105972081</c:v>
                </c:pt>
                <c:pt idx="1">
                  <c:v>1.7877324317797636</c:v>
                </c:pt>
                <c:pt idx="2">
                  <c:v>1.7996458182403603</c:v>
                </c:pt>
                <c:pt idx="3">
                  <c:v>-0.32802155955240508</c:v>
                </c:pt>
                <c:pt idx="4">
                  <c:v>-0.71610275781676536</c:v>
                </c:pt>
                <c:pt idx="5">
                  <c:v>-0.75113000430477839</c:v>
                </c:pt>
                <c:pt idx="6">
                  <c:v>-0.78355294909106865</c:v>
                </c:pt>
                <c:pt idx="7">
                  <c:v>-0.68010040440663788</c:v>
                </c:pt>
                <c:pt idx="8">
                  <c:v>-0.36375727124951296</c:v>
                </c:pt>
                <c:pt idx="9">
                  <c:v>-0.30860409984660442</c:v>
                </c:pt>
                <c:pt idx="10">
                  <c:v>-0.1799238834045408</c:v>
                </c:pt>
                <c:pt idx="11">
                  <c:v>5.2235775204110269E-3</c:v>
                </c:pt>
                <c:pt idx="12">
                  <c:v>-0.17831035439992604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5-964A-9B2A-941E0490EE00}"/>
            </c:ext>
          </c:extLst>
        </c:ser>
        <c:ser>
          <c:idx val="7"/>
          <c:order val="7"/>
          <c:tx>
            <c:strRef>
              <c:f>'R7P2EA'!$O$27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'R7P2EA'!$O$28:$O$41</c:f>
              <c:numCache>
                <c:formatCode>0.00</c:formatCode>
                <c:ptCount val="14"/>
                <c:pt idx="0">
                  <c:v>1.4757827094625222</c:v>
                </c:pt>
                <c:pt idx="1">
                  <c:v>-0.38457234415931218</c:v>
                </c:pt>
                <c:pt idx="2">
                  <c:v>-0.40402010902277952</c:v>
                </c:pt>
                <c:pt idx="3">
                  <c:v>0.17686075855643502</c:v>
                </c:pt>
                <c:pt idx="4">
                  <c:v>0.25232909964272898</c:v>
                </c:pt>
                <c:pt idx="5">
                  <c:v>0.16479462302216974</c:v>
                </c:pt>
                <c:pt idx="6">
                  <c:v>0.2549076385883251</c:v>
                </c:pt>
                <c:pt idx="7">
                  <c:v>0.1433271159805547</c:v>
                </c:pt>
                <c:pt idx="8">
                  <c:v>8.9924347359798151E-2</c:v>
                </c:pt>
                <c:pt idx="9">
                  <c:v>0.16506337293836015</c:v>
                </c:pt>
                <c:pt idx="10">
                  <c:v>0.12165808455973237</c:v>
                </c:pt>
                <c:pt idx="11">
                  <c:v>4.2310398178206032E-2</c:v>
                </c:pt>
                <c:pt idx="12">
                  <c:v>4.2585804360628199E-2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5-964A-9B2A-941E0490EE00}"/>
            </c:ext>
          </c:extLst>
        </c:ser>
        <c:ser>
          <c:idx val="8"/>
          <c:order val="8"/>
          <c:tx>
            <c:strRef>
              <c:f>'R7P2EA'!$M$27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'R7P2EA'!$M$28:$M$41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'R7P2EA'!$E$7:$E$20</c:f>
              <c:numCache>
                <c:formatCode>General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5-964A-9B2A-941E0490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4.688437521667007E-2"/>
              <c:y val="0.46825268322893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'R7P2EA'!$BF$27:$BF$40</c:f>
              <c:numCache>
                <c:formatCode>0.0</c:formatCode>
                <c:ptCount val="14"/>
                <c:pt idx="0">
                  <c:v>15.85</c:v>
                </c:pt>
                <c:pt idx="1">
                  <c:v>12.34</c:v>
                </c:pt>
                <c:pt idx="2">
                  <c:v>12.7</c:v>
                </c:pt>
                <c:pt idx="3">
                  <c:v>40.520000000000003</c:v>
                </c:pt>
                <c:pt idx="4">
                  <c:v>43.31</c:v>
                </c:pt>
                <c:pt idx="5">
                  <c:v>45.45</c:v>
                </c:pt>
                <c:pt idx="6">
                  <c:v>42.45</c:v>
                </c:pt>
                <c:pt idx="7">
                  <c:v>41.26</c:v>
                </c:pt>
                <c:pt idx="8">
                  <c:v>41.72</c:v>
                </c:pt>
                <c:pt idx="9">
                  <c:v>43.379999999999995</c:v>
                </c:pt>
                <c:pt idx="10">
                  <c:v>39.739999999999995</c:v>
                </c:pt>
                <c:pt idx="11">
                  <c:v>39.200000000000003</c:v>
                </c:pt>
                <c:pt idx="12">
                  <c:v>41.05</c:v>
                </c:pt>
                <c:pt idx="13">
                  <c:v>38.379999999999995</c:v>
                </c:pt>
              </c:numCache>
            </c:numRef>
          </c:xVal>
          <c:yVal>
            <c:numRef>
              <c:f>'R7P2EA'!$AO$27:$AO$40</c:f>
              <c:numCache>
                <c:formatCode>0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3E-754A-8A87-375910B3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R7P2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'R7P2EA'!$AM$28:$AM$40</c:f>
              <c:numCache>
                <c:formatCode>General</c:formatCode>
                <c:ptCount val="13"/>
                <c:pt idx="0">
                  <c:v>1.069230769230769</c:v>
                </c:pt>
                <c:pt idx="1">
                  <c:v>0.71282051282051273</c:v>
                </c:pt>
                <c:pt idx="2">
                  <c:v>1.069230769230769</c:v>
                </c:pt>
                <c:pt idx="3">
                  <c:v>0.71282051282051273</c:v>
                </c:pt>
                <c:pt idx="4">
                  <c:v>0.53461538461538449</c:v>
                </c:pt>
                <c:pt idx="5">
                  <c:v>0.89102564102564086</c:v>
                </c:pt>
                <c:pt idx="6">
                  <c:v>0.59401709401709391</c:v>
                </c:pt>
                <c:pt idx="7">
                  <c:v>0.80192307692307685</c:v>
                </c:pt>
                <c:pt idx="8">
                  <c:v>0.6415384615384615</c:v>
                </c:pt>
                <c:pt idx="9">
                  <c:v>0.65341880341880343</c:v>
                </c:pt>
                <c:pt idx="10">
                  <c:v>0.78410256410256396</c:v>
                </c:pt>
                <c:pt idx="11">
                  <c:v>0.71282051282051273</c:v>
                </c:pt>
                <c:pt idx="12">
                  <c:v>0.83162393162393156</c:v>
                </c:pt>
              </c:numCache>
            </c:numRef>
          </c:xVal>
          <c:yVal>
            <c:numRef>
              <c:f>'R7P2EA'!$AO$28:$AO$40</c:f>
              <c:numCache>
                <c:formatCode>0</c:formatCode>
                <c:ptCount val="13"/>
                <c:pt idx="0">
                  <c:v>5.5</c:v>
                </c:pt>
                <c:pt idx="1">
                  <c:v>12</c:v>
                </c:pt>
                <c:pt idx="2">
                  <c:v>36</c:v>
                </c:pt>
                <c:pt idx="3">
                  <c:v>69.5</c:v>
                </c:pt>
                <c:pt idx="4">
                  <c:v>99</c:v>
                </c:pt>
                <c:pt idx="5">
                  <c:v>143.5</c:v>
                </c:pt>
                <c:pt idx="6">
                  <c:v>188</c:v>
                </c:pt>
                <c:pt idx="7">
                  <c:v>275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A-C845-84F4-C37B0EDA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R7P2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'R7P2EA'!$BH$28:$BH$40</c:f>
              <c:numCache>
                <c:formatCode>0.00</c:formatCode>
                <c:ptCount val="13"/>
                <c:pt idx="0">
                  <c:v>1.01897229316674</c:v>
                </c:pt>
                <c:pt idx="1">
                  <c:v>1.252989204379126</c:v>
                </c:pt>
                <c:pt idx="2">
                  <c:v>1.1309664350190141</c:v>
                </c:pt>
                <c:pt idx="3">
                  <c:v>1.2187697728935245</c:v>
                </c:pt>
                <c:pt idx="4">
                  <c:v>1.1984308852819754</c:v>
                </c:pt>
                <c:pt idx="5">
                  <c:v>1.1290376084815668</c:v>
                </c:pt>
                <c:pt idx="6">
                  <c:v>1.4897001119419446</c:v>
                </c:pt>
                <c:pt idx="7">
                  <c:v>1.133056182780553</c:v>
                </c:pt>
                <c:pt idx="8">
                  <c:v>1.6006159178520163</c:v>
                </c:pt>
                <c:pt idx="9">
                  <c:v>1.3331486145161264</c:v>
                </c:pt>
                <c:pt idx="10">
                  <c:v>1.2653965462336878</c:v>
                </c:pt>
                <c:pt idx="11">
                  <c:v>1.2773179798416485</c:v>
                </c:pt>
                <c:pt idx="12">
                  <c:v>1.0501981369230149</c:v>
                </c:pt>
              </c:numCache>
            </c:numRef>
          </c:xVal>
          <c:yVal>
            <c:numRef>
              <c:f>'R7P2EA'!$AO$27:$AO$40</c:f>
              <c:numCache>
                <c:formatCode>0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7-1A43-B2C0-CA1944CF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R7P2 Ce/Ce*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R7P2</a:t>
            </a:r>
            <a:r>
              <a:rPr lang="en-US" sz="2400" baseline="0"/>
              <a:t> </a:t>
            </a:r>
            <a:r>
              <a:rPr lang="en-US" sz="2400"/>
              <a:t> REE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'R7P2EA'!$AO$27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'R7P2EA'!$AP$27:$BC$27</c:f>
              <c:numCache>
                <c:formatCode>0.0</c:formatCode>
                <c:ptCount val="14"/>
                <c:pt idx="0">
                  <c:v>13.623978201634877</c:v>
                </c:pt>
                <c:pt idx="1">
                  <c:v>9.9268547544409618</c:v>
                </c:pt>
                <c:pt idx="2">
                  <c:v>8.0291970802919703</c:v>
                </c:pt>
                <c:pt idx="3">
                  <c:v>5.485232067510549</c:v>
                </c:pt>
                <c:pt idx="4">
                  <c:v>3.4632034632034632</c:v>
                </c:pt>
                <c:pt idx="5">
                  <c:v>1.8390804597701151</c:v>
                </c:pt>
                <c:pt idx="6">
                  <c:v>1.9607843137254901</c:v>
                </c:pt>
                <c:pt idx="7">
                  <c:v>1.7241379310344829</c:v>
                </c:pt>
                <c:pt idx="8">
                  <c:v>2.0997375328083989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2.5</c:v>
                </c:pt>
                <c:pt idx="12">
                  <c:v>2.82258064516129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1-014D-9429-667A935176F9}"/>
            </c:ext>
          </c:extLst>
        </c:ser>
        <c:ser>
          <c:idx val="1"/>
          <c:order val="1"/>
          <c:tx>
            <c:strRef>
              <c:f>'R7P2EA'!$AO$28</c:f>
              <c:strCache>
                <c:ptCount val="1"/>
                <c:pt idx="0">
                  <c:v>6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'R7P2EA'!$AP$28:$BC$28</c:f>
              <c:numCache>
                <c:formatCode>0.0</c:formatCode>
                <c:ptCount val="14"/>
                <c:pt idx="0">
                  <c:v>14.986376021798366</c:v>
                </c:pt>
                <c:pt idx="1">
                  <c:v>12.33019853709509</c:v>
                </c:pt>
                <c:pt idx="2">
                  <c:v>8.9781021897810209</c:v>
                </c:pt>
                <c:pt idx="3">
                  <c:v>6.3291139240506329</c:v>
                </c:pt>
                <c:pt idx="4">
                  <c:v>3.4632034632034632</c:v>
                </c:pt>
                <c:pt idx="5">
                  <c:v>2.1839080459770117</c:v>
                </c:pt>
                <c:pt idx="6">
                  <c:v>2.9411764705882355</c:v>
                </c:pt>
                <c:pt idx="7">
                  <c:v>3.4482758620689657</c:v>
                </c:pt>
                <c:pt idx="8">
                  <c:v>2.6246719160104988</c:v>
                </c:pt>
                <c:pt idx="9">
                  <c:v>2.3529411764705883</c:v>
                </c:pt>
                <c:pt idx="10">
                  <c:v>2.8112449799196786</c:v>
                </c:pt>
                <c:pt idx="11">
                  <c:v>3.6111111111111116</c:v>
                </c:pt>
                <c:pt idx="12">
                  <c:v>4.435483870967742</c:v>
                </c:pt>
                <c:pt idx="13">
                  <c:v>5.2631578947368425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1-014D-9429-667A935176F9}"/>
            </c:ext>
          </c:extLst>
        </c:ser>
        <c:ser>
          <c:idx val="2"/>
          <c:order val="2"/>
          <c:tx>
            <c:strRef>
              <c:f>'R7P2EA'!$AO$29</c:f>
              <c:strCache>
                <c:ptCount val="1"/>
                <c:pt idx="0">
                  <c:v>12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'R7P2EA'!$AP$29:$BC$29</c:f>
              <c:numCache>
                <c:formatCode>0.0</c:formatCode>
                <c:ptCount val="14"/>
                <c:pt idx="0">
                  <c:v>19.618528610354225</c:v>
                </c:pt>
                <c:pt idx="1">
                  <c:v>19.853709508881924</c:v>
                </c:pt>
                <c:pt idx="2">
                  <c:v>11.970802919708028</c:v>
                </c:pt>
                <c:pt idx="3">
                  <c:v>8.2981715893108312</c:v>
                </c:pt>
                <c:pt idx="4">
                  <c:v>5.1948051948051948</c:v>
                </c:pt>
                <c:pt idx="5">
                  <c:v>3.2183908045977017</c:v>
                </c:pt>
                <c:pt idx="6">
                  <c:v>3.2679738562091503</c:v>
                </c:pt>
                <c:pt idx="7">
                  <c:v>3.4482758620689657</c:v>
                </c:pt>
                <c:pt idx="8">
                  <c:v>3.1496062992125982</c:v>
                </c:pt>
                <c:pt idx="9">
                  <c:v>3.5294117647058818</c:v>
                </c:pt>
                <c:pt idx="10">
                  <c:v>3.2128514056224899</c:v>
                </c:pt>
                <c:pt idx="11">
                  <c:v>3.8888888888888897</c:v>
                </c:pt>
                <c:pt idx="12">
                  <c:v>4.032258064516129</c:v>
                </c:pt>
                <c:pt idx="13">
                  <c:v>4.7368421052631575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1-014D-9429-667A935176F9}"/>
            </c:ext>
          </c:extLst>
        </c:ser>
        <c:ser>
          <c:idx val="3"/>
          <c:order val="3"/>
          <c:tx>
            <c:strRef>
              <c:f>'R7P2EA'!$AO$30</c:f>
              <c:strCache>
                <c:ptCount val="1"/>
                <c:pt idx="0">
                  <c:v>36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'R7P2EA'!$AP$30:$BC$30</c:f>
              <c:numCache>
                <c:formatCode>0.0</c:formatCode>
                <c:ptCount val="14"/>
                <c:pt idx="0">
                  <c:v>19.891008174386922</c:v>
                </c:pt>
                <c:pt idx="1">
                  <c:v>18.390804597701152</c:v>
                </c:pt>
                <c:pt idx="2">
                  <c:v>12.846715328467152</c:v>
                </c:pt>
                <c:pt idx="3">
                  <c:v>9.0014064697609015</c:v>
                </c:pt>
                <c:pt idx="4">
                  <c:v>5.1948051948051948</c:v>
                </c:pt>
                <c:pt idx="5">
                  <c:v>3.4482758620689657</c:v>
                </c:pt>
                <c:pt idx="6">
                  <c:v>3.5947712418300659</c:v>
                </c:pt>
                <c:pt idx="7">
                  <c:v>3.4482758620689657</c:v>
                </c:pt>
                <c:pt idx="8">
                  <c:v>2.8871391076115489</c:v>
                </c:pt>
                <c:pt idx="9">
                  <c:v>2.3529411764705883</c:v>
                </c:pt>
                <c:pt idx="10">
                  <c:v>3.2128514056224899</c:v>
                </c:pt>
                <c:pt idx="11">
                  <c:v>3.6111111111111116</c:v>
                </c:pt>
                <c:pt idx="12">
                  <c:v>4.032258064516129</c:v>
                </c:pt>
                <c:pt idx="13">
                  <c:v>4.4736842105263159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1-014D-9429-667A935176F9}"/>
            </c:ext>
          </c:extLst>
        </c:ser>
        <c:ser>
          <c:idx val="4"/>
          <c:order val="4"/>
          <c:tx>
            <c:strRef>
              <c:f>'R7P2EA'!$AO$31</c:f>
              <c:strCache>
                <c:ptCount val="1"/>
                <c:pt idx="0">
                  <c:v>70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'R7P2EA'!$AP$31:$BC$31</c:f>
              <c:numCache>
                <c:formatCode>0.0</c:formatCode>
                <c:ptCount val="14"/>
                <c:pt idx="0">
                  <c:v>12.806539509536785</c:v>
                </c:pt>
                <c:pt idx="1">
                  <c:v>12.748171368861025</c:v>
                </c:pt>
                <c:pt idx="2">
                  <c:v>8.3941605839416038</c:v>
                </c:pt>
                <c:pt idx="3">
                  <c:v>5.7665260196905761</c:v>
                </c:pt>
                <c:pt idx="4">
                  <c:v>3.4632034632034632</c:v>
                </c:pt>
                <c:pt idx="5">
                  <c:v>2.298850574712644</c:v>
                </c:pt>
                <c:pt idx="6">
                  <c:v>2.2875816993464051</c:v>
                </c:pt>
                <c:pt idx="7">
                  <c:v>1.7241379310344829</c:v>
                </c:pt>
                <c:pt idx="8">
                  <c:v>1.837270341207349</c:v>
                </c:pt>
                <c:pt idx="9">
                  <c:v>1.1764705882352942</c:v>
                </c:pt>
                <c:pt idx="10">
                  <c:v>2.0080321285140563</c:v>
                </c:pt>
                <c:pt idx="11">
                  <c:v>2.2222222222222223</c:v>
                </c:pt>
                <c:pt idx="12">
                  <c:v>2.82258064516129</c:v>
                </c:pt>
                <c:pt idx="13">
                  <c:v>3.1578947368421053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01-014D-9429-667A935176F9}"/>
            </c:ext>
          </c:extLst>
        </c:ser>
        <c:ser>
          <c:idx val="5"/>
          <c:order val="5"/>
          <c:tx>
            <c:strRef>
              <c:f>'R7P2EA'!$AO$32</c:f>
              <c:strCache>
                <c:ptCount val="1"/>
                <c:pt idx="0">
                  <c:v>99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'R7P2EA'!$AP$32:$BC$32</c:f>
              <c:numCache>
                <c:formatCode>0.0</c:formatCode>
                <c:ptCount val="14"/>
                <c:pt idx="0">
                  <c:v>14.713896457765669</c:v>
                </c:pt>
                <c:pt idx="1">
                  <c:v>14.733542319749217</c:v>
                </c:pt>
                <c:pt idx="2">
                  <c:v>10.364963503649633</c:v>
                </c:pt>
                <c:pt idx="3">
                  <c:v>7.4542897327707456</c:v>
                </c:pt>
                <c:pt idx="4">
                  <c:v>4.329004329004329</c:v>
                </c:pt>
                <c:pt idx="5">
                  <c:v>3.1034482758620694</c:v>
                </c:pt>
                <c:pt idx="6">
                  <c:v>2.6143790849673203</c:v>
                </c:pt>
                <c:pt idx="7">
                  <c:v>1.7241379310344829</c:v>
                </c:pt>
                <c:pt idx="8">
                  <c:v>2.0997375328083989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2.7777777777777781</c:v>
                </c:pt>
                <c:pt idx="12">
                  <c:v>2.82258064516129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01-014D-9429-667A935176F9}"/>
            </c:ext>
          </c:extLst>
        </c:ser>
        <c:ser>
          <c:idx val="6"/>
          <c:order val="6"/>
          <c:tx>
            <c:strRef>
              <c:f>'R7P2EA'!$AO$33</c:f>
              <c:strCache>
                <c:ptCount val="1"/>
                <c:pt idx="0">
                  <c:v>144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'R7P2EA'!$AP$33:$BC$33</c:f>
              <c:numCache>
                <c:formatCode>0.0</c:formatCode>
                <c:ptCount val="14"/>
                <c:pt idx="0">
                  <c:v>17.983651226158038</c:v>
                </c:pt>
                <c:pt idx="1">
                  <c:v>17.241379310344829</c:v>
                </c:pt>
                <c:pt idx="2">
                  <c:v>13.357664233576642</c:v>
                </c:pt>
                <c:pt idx="3">
                  <c:v>9.8452883263009845</c:v>
                </c:pt>
                <c:pt idx="4">
                  <c:v>6.0606060606060597</c:v>
                </c:pt>
                <c:pt idx="5">
                  <c:v>4.0229885057471266</c:v>
                </c:pt>
                <c:pt idx="6">
                  <c:v>3.2679738562091503</c:v>
                </c:pt>
                <c:pt idx="7">
                  <c:v>3.4482758620689657</c:v>
                </c:pt>
                <c:pt idx="8">
                  <c:v>2.6246719160104988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3.0555555555555558</c:v>
                </c:pt>
                <c:pt idx="12">
                  <c:v>3.2258064516129035</c:v>
                </c:pt>
                <c:pt idx="13">
                  <c:v>3.6842105263157898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01-014D-9429-667A935176F9}"/>
            </c:ext>
          </c:extLst>
        </c:ser>
        <c:ser>
          <c:idx val="7"/>
          <c:order val="7"/>
          <c:tx>
            <c:strRef>
              <c:f>'R7P2EA'!$AO$34</c:f>
              <c:strCache>
                <c:ptCount val="1"/>
                <c:pt idx="0">
                  <c:v>188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'R7P2EA'!$AP$34:$BC$34</c:f>
              <c:numCache>
                <c:formatCode>0.0</c:formatCode>
                <c:ptCount val="14"/>
                <c:pt idx="0">
                  <c:v>21.798365122615806</c:v>
                </c:pt>
                <c:pt idx="1">
                  <c:v>28.004179728317663</c:v>
                </c:pt>
                <c:pt idx="2">
                  <c:v>17.591240875912408</c:v>
                </c:pt>
                <c:pt idx="3">
                  <c:v>12.79887482419128</c:v>
                </c:pt>
                <c:pt idx="4">
                  <c:v>8.6580086580086579</c:v>
                </c:pt>
                <c:pt idx="5">
                  <c:v>5.5172413793103452</c:v>
                </c:pt>
                <c:pt idx="6">
                  <c:v>4.5751633986928102</c:v>
                </c:pt>
                <c:pt idx="7">
                  <c:v>3.4482758620689657</c:v>
                </c:pt>
                <c:pt idx="8">
                  <c:v>3.674540682414698</c:v>
                </c:pt>
                <c:pt idx="9">
                  <c:v>3.5294117647058818</c:v>
                </c:pt>
                <c:pt idx="10">
                  <c:v>3.2128514056224899</c:v>
                </c:pt>
                <c:pt idx="11">
                  <c:v>3.6111111111111116</c:v>
                </c:pt>
                <c:pt idx="12">
                  <c:v>4.435483870967742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01-014D-9429-667A935176F9}"/>
            </c:ext>
          </c:extLst>
        </c:ser>
        <c:ser>
          <c:idx val="8"/>
          <c:order val="8"/>
          <c:tx>
            <c:strRef>
              <c:f>'R7P2EA'!$AO$35</c:f>
              <c:strCache>
                <c:ptCount val="1"/>
                <c:pt idx="0">
                  <c:v>275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'R7P2EA'!$AP$35:$BC$35</c:f>
              <c:numCache>
                <c:formatCode>0.0</c:formatCode>
                <c:ptCount val="14"/>
                <c:pt idx="0">
                  <c:v>26.43051771117166</c:v>
                </c:pt>
                <c:pt idx="1">
                  <c:v>25.914315569487986</c:v>
                </c:pt>
                <c:pt idx="2">
                  <c:v>20.65693430656934</c:v>
                </c:pt>
                <c:pt idx="3">
                  <c:v>15.752461322081576</c:v>
                </c:pt>
                <c:pt idx="4">
                  <c:v>10.38961038961039</c:v>
                </c:pt>
                <c:pt idx="5">
                  <c:v>7.5862068965517251</c:v>
                </c:pt>
                <c:pt idx="6">
                  <c:v>6.2091503267973858</c:v>
                </c:pt>
                <c:pt idx="7">
                  <c:v>5.1724137931034475</c:v>
                </c:pt>
                <c:pt idx="8">
                  <c:v>4.9868766404199469</c:v>
                </c:pt>
                <c:pt idx="9">
                  <c:v>4.7058823529411766</c:v>
                </c:pt>
                <c:pt idx="10">
                  <c:v>4.8192771084337345</c:v>
                </c:pt>
                <c:pt idx="11">
                  <c:v>5</c:v>
                </c:pt>
                <c:pt idx="12">
                  <c:v>5.241935483870968</c:v>
                </c:pt>
                <c:pt idx="13">
                  <c:v>5.7894736842105265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01-014D-9429-667A935176F9}"/>
            </c:ext>
          </c:extLst>
        </c:ser>
        <c:ser>
          <c:idx val="9"/>
          <c:order val="9"/>
          <c:tx>
            <c:strRef>
              <c:f>'R7P2EA'!$AO$36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'R7P2EA'!$AP$36:$BC$36</c:f>
              <c:numCache>
                <c:formatCode>0.0</c:formatCode>
                <c:ptCount val="14"/>
                <c:pt idx="0">
                  <c:v>29.427792915531338</c:v>
                </c:pt>
                <c:pt idx="1">
                  <c:v>40.85684430512017</c:v>
                </c:pt>
                <c:pt idx="2">
                  <c:v>22.189781021897808</c:v>
                </c:pt>
                <c:pt idx="3">
                  <c:v>17.721518987341774</c:v>
                </c:pt>
                <c:pt idx="4">
                  <c:v>11.688311688311689</c:v>
                </c:pt>
                <c:pt idx="5">
                  <c:v>8.7356321839080469</c:v>
                </c:pt>
                <c:pt idx="6">
                  <c:v>7.5163398692810457</c:v>
                </c:pt>
                <c:pt idx="7">
                  <c:v>6.8965517241379315</c:v>
                </c:pt>
                <c:pt idx="8">
                  <c:v>6.0367454068241466</c:v>
                </c:pt>
                <c:pt idx="9">
                  <c:v>5.8823529411764701</c:v>
                </c:pt>
                <c:pt idx="10">
                  <c:v>6.024096385542169</c:v>
                </c:pt>
                <c:pt idx="11">
                  <c:v>6.666666666666667</c:v>
                </c:pt>
                <c:pt idx="12">
                  <c:v>7.2580645161290329</c:v>
                </c:pt>
                <c:pt idx="13">
                  <c:v>7.8947368421052628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01-014D-9429-667A935176F9}"/>
            </c:ext>
          </c:extLst>
        </c:ser>
        <c:ser>
          <c:idx val="10"/>
          <c:order val="10"/>
          <c:tx>
            <c:strRef>
              <c:f>'R7P2EA'!$AO$37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'R7P2EA'!$AP$37:$BC$37</c:f>
              <c:numCache>
                <c:formatCode>0.0</c:formatCode>
                <c:ptCount val="14"/>
                <c:pt idx="0">
                  <c:v>28.337874659400548</c:v>
                </c:pt>
                <c:pt idx="1">
                  <c:v>32.810867293625911</c:v>
                </c:pt>
                <c:pt idx="2">
                  <c:v>21.824817518248175</c:v>
                </c:pt>
                <c:pt idx="3">
                  <c:v>17.158931082981717</c:v>
                </c:pt>
                <c:pt idx="4">
                  <c:v>11.688311688311689</c:v>
                </c:pt>
                <c:pt idx="5">
                  <c:v>9.1954022988505759</c:v>
                </c:pt>
                <c:pt idx="6">
                  <c:v>8.4967320261437909</c:v>
                </c:pt>
                <c:pt idx="7">
                  <c:v>6.8965517241379315</c:v>
                </c:pt>
                <c:pt idx="8">
                  <c:v>6.8241469816272966</c:v>
                </c:pt>
                <c:pt idx="9">
                  <c:v>7.0588235294117636</c:v>
                </c:pt>
                <c:pt idx="10">
                  <c:v>6.8273092369477908</c:v>
                </c:pt>
                <c:pt idx="11">
                  <c:v>7.2222222222222232</c:v>
                </c:pt>
                <c:pt idx="12">
                  <c:v>7.2580645161290329</c:v>
                </c:pt>
                <c:pt idx="13">
                  <c:v>7.6315789473684204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01-014D-9429-667A935176F9}"/>
            </c:ext>
          </c:extLst>
        </c:ser>
        <c:ser>
          <c:idx val="11"/>
          <c:order val="11"/>
          <c:tx>
            <c:strRef>
              <c:f>'R7P2EA'!$AO$38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'R7P2EA'!$AP$38:$BC$38</c:f>
              <c:numCache>
                <c:formatCode>0.0</c:formatCode>
                <c:ptCount val="14"/>
                <c:pt idx="0">
                  <c:v>24.52316076294278</c:v>
                </c:pt>
                <c:pt idx="1">
                  <c:v>27.272727272727277</c:v>
                </c:pt>
                <c:pt idx="2">
                  <c:v>19.343065693430656</c:v>
                </c:pt>
                <c:pt idx="3">
                  <c:v>15.611814345991561</c:v>
                </c:pt>
                <c:pt idx="4">
                  <c:v>10.822510822510822</c:v>
                </c:pt>
                <c:pt idx="5">
                  <c:v>8.5057471264367823</c:v>
                </c:pt>
                <c:pt idx="6">
                  <c:v>7.8431372549019605</c:v>
                </c:pt>
                <c:pt idx="7">
                  <c:v>6.8965517241379315</c:v>
                </c:pt>
                <c:pt idx="8">
                  <c:v>6.0367454068241466</c:v>
                </c:pt>
                <c:pt idx="9">
                  <c:v>5.8823529411764701</c:v>
                </c:pt>
                <c:pt idx="10">
                  <c:v>6.024096385542169</c:v>
                </c:pt>
                <c:pt idx="11">
                  <c:v>6.3888888888888893</c:v>
                </c:pt>
                <c:pt idx="12">
                  <c:v>6.4516129032258069</c:v>
                </c:pt>
                <c:pt idx="13">
                  <c:v>7.3684210526315796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01-014D-9429-667A935176F9}"/>
            </c:ext>
          </c:extLst>
        </c:ser>
        <c:ser>
          <c:idx val="12"/>
          <c:order val="12"/>
          <c:tx>
            <c:strRef>
              <c:f>'R7P2EA'!$AO$39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'R7P2EA'!$AP$39:$BC$39</c:f>
              <c:numCache>
                <c:formatCode>0.0</c:formatCode>
                <c:ptCount val="14"/>
                <c:pt idx="0">
                  <c:v>25.885558583106267</c:v>
                </c:pt>
                <c:pt idx="1">
                  <c:v>29.049111807732498</c:v>
                </c:pt>
                <c:pt idx="2">
                  <c:v>20.510948905109487</c:v>
                </c:pt>
                <c:pt idx="3">
                  <c:v>16.455696202531644</c:v>
                </c:pt>
                <c:pt idx="4">
                  <c:v>11.688311688311689</c:v>
                </c:pt>
                <c:pt idx="5">
                  <c:v>10.114942528735632</c:v>
                </c:pt>
                <c:pt idx="6">
                  <c:v>8.8235294117647065</c:v>
                </c:pt>
                <c:pt idx="7">
                  <c:v>6.8965517241379315</c:v>
                </c:pt>
                <c:pt idx="8">
                  <c:v>7.349081364829396</c:v>
                </c:pt>
                <c:pt idx="9">
                  <c:v>7.0588235294117636</c:v>
                </c:pt>
                <c:pt idx="10">
                  <c:v>6.8273092369477908</c:v>
                </c:pt>
                <c:pt idx="11">
                  <c:v>6.9444444444444446</c:v>
                </c:pt>
                <c:pt idx="12">
                  <c:v>7.2580645161290329</c:v>
                </c:pt>
                <c:pt idx="13">
                  <c:v>7.6315789473684204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01-014D-9429-667A935176F9}"/>
            </c:ext>
          </c:extLst>
        </c:ser>
        <c:ser>
          <c:idx val="13"/>
          <c:order val="13"/>
          <c:tx>
            <c:strRef>
              <c:f>'R7P2EA'!$AO$40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'R7P2EA'!$AP$25:$BC$25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'R7P2EA'!$AP$40:$BC$40</c:f>
              <c:numCache>
                <c:formatCode>0.0</c:formatCode>
                <c:ptCount val="14"/>
                <c:pt idx="0">
                  <c:v>28.337874659400548</c:v>
                </c:pt>
                <c:pt idx="1">
                  <c:v>25.600835945663533</c:v>
                </c:pt>
                <c:pt idx="2">
                  <c:v>20.43795620437956</c:v>
                </c:pt>
                <c:pt idx="3">
                  <c:v>16.455696202531644</c:v>
                </c:pt>
                <c:pt idx="4">
                  <c:v>12.121212121212119</c:v>
                </c:pt>
                <c:pt idx="5">
                  <c:v>10.344827586206897</c:v>
                </c:pt>
                <c:pt idx="6">
                  <c:v>9.1503267973856204</c:v>
                </c:pt>
                <c:pt idx="7">
                  <c:v>8.6206896551724128</c:v>
                </c:pt>
                <c:pt idx="8">
                  <c:v>7.8740157480314963</c:v>
                </c:pt>
                <c:pt idx="9">
                  <c:v>7.0588235294117636</c:v>
                </c:pt>
                <c:pt idx="10">
                  <c:v>6.8273092369477908</c:v>
                </c:pt>
                <c:pt idx="11">
                  <c:v>7.2222222222222232</c:v>
                </c:pt>
                <c:pt idx="12">
                  <c:v>7.2580645161290329</c:v>
                </c:pt>
                <c:pt idx="13">
                  <c:v>7.8947368421052628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01-014D-9429-667A9351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846344"/>
        <c:axId val="-2137843336"/>
      </c:lineChart>
      <c:catAx>
        <c:axId val="-213784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843336"/>
        <c:crosses val="autoZero"/>
        <c:auto val="1"/>
        <c:lblAlgn val="ctr"/>
        <c:lblOffset val="100"/>
        <c:noMultiLvlLbl val="0"/>
      </c:catAx>
      <c:valAx>
        <c:axId val="-2137843336"/>
        <c:scaling>
          <c:logBase val="10"/>
          <c:orientation val="minMax"/>
          <c:max val="10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846344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 w="15875">
      <a:noFill/>
    </a:ln>
  </c:sp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R7P2 Sum REE (ppm)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'R7P2EA'!$BD$28:$BD$40</c:f>
              <c:numCache>
                <c:formatCode>0.0</c:formatCode>
                <c:ptCount val="13"/>
                <c:pt idx="0">
                  <c:v>28.45</c:v>
                </c:pt>
                <c:pt idx="1">
                  <c:v>40.040000000000006</c:v>
                </c:pt>
                <c:pt idx="2">
                  <c:v>39.260000000000012</c:v>
                </c:pt>
                <c:pt idx="3">
                  <c:v>26.15</c:v>
                </c:pt>
                <c:pt idx="4">
                  <c:v>30.920000000000005</c:v>
                </c:pt>
                <c:pt idx="5">
                  <c:v>37.730000000000004</c:v>
                </c:pt>
                <c:pt idx="6">
                  <c:v>54.309999999999988</c:v>
                </c:pt>
                <c:pt idx="7">
                  <c:v>58.989999999999988</c:v>
                </c:pt>
                <c:pt idx="8">
                  <c:v>78.34</c:v>
                </c:pt>
                <c:pt idx="9">
                  <c:v>70.739999999999995</c:v>
                </c:pt>
                <c:pt idx="10">
                  <c:v>61.3</c:v>
                </c:pt>
                <c:pt idx="11">
                  <c:v>65.930000000000021</c:v>
                </c:pt>
                <c:pt idx="12">
                  <c:v>64.059999999999988</c:v>
                </c:pt>
              </c:numCache>
            </c:numRef>
          </c:xVal>
          <c:yVal>
            <c:numRef>
              <c:f>'R7P2EA'!$AO$27:$AO$40</c:f>
              <c:numCache>
                <c:formatCode>0</c:formatCode>
                <c:ptCount val="14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3-AD4F-81B5-6C09DBA4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656440"/>
        <c:axId val="-2137250632"/>
      </c:scatterChart>
      <c:valAx>
        <c:axId val="-2137656440"/>
        <c:scaling>
          <c:orientation val="minMax"/>
          <c:max val="1200"/>
        </c:scaling>
        <c:delete val="0"/>
        <c:axPos val="t"/>
        <c:numFmt formatCode="0" sourceLinked="0"/>
        <c:majorTickMark val="out"/>
        <c:minorTickMark val="none"/>
        <c:tickLblPos val="nextTo"/>
        <c:crossAx val="-2137250632"/>
        <c:crosses val="autoZero"/>
        <c:crossBetween val="midCat"/>
      </c:valAx>
      <c:valAx>
        <c:axId val="-2137250632"/>
        <c:scaling>
          <c:orientation val="maxMin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-2137656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R7P2 K2O%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'R7P2EA'!$M$7:$M$22</c:f>
              <c:numCache>
                <c:formatCode>General</c:formatCode>
                <c:ptCount val="16"/>
                <c:pt idx="0">
                  <c:v>1.1599999999999999</c:v>
                </c:pt>
                <c:pt idx="1">
                  <c:v>1.56</c:v>
                </c:pt>
                <c:pt idx="2">
                  <c:v>1.41</c:v>
                </c:pt>
                <c:pt idx="3">
                  <c:v>0.62</c:v>
                </c:pt>
                <c:pt idx="4">
                  <c:v>0.26</c:v>
                </c:pt>
                <c:pt idx="5">
                  <c:v>0.25</c:v>
                </c:pt>
                <c:pt idx="6">
                  <c:v>0.2</c:v>
                </c:pt>
                <c:pt idx="7">
                  <c:v>0.31</c:v>
                </c:pt>
                <c:pt idx="8">
                  <c:v>0.64</c:v>
                </c:pt>
                <c:pt idx="9">
                  <c:v>0.67</c:v>
                </c:pt>
                <c:pt idx="10">
                  <c:v>0.76</c:v>
                </c:pt>
                <c:pt idx="11">
                  <c:v>0.97</c:v>
                </c:pt>
                <c:pt idx="12">
                  <c:v>0.84</c:v>
                </c:pt>
                <c:pt idx="13">
                  <c:v>1.01</c:v>
                </c:pt>
                <c:pt idx="14">
                  <c:v>0.92</c:v>
                </c:pt>
                <c:pt idx="15">
                  <c:v>3.17</c:v>
                </c:pt>
              </c:numCache>
            </c:numRef>
          </c:xVal>
          <c:yVal>
            <c:numRef>
              <c:f>'R7P2EA'!$E$7:$E$22</c:f>
              <c:numCache>
                <c:formatCode>General</c:formatCode>
                <c:ptCount val="16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  <c:pt idx="14">
                  <c:v>1500</c:v>
                </c:pt>
                <c:pt idx="15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FC-814A-8969-DBCD5B788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684904"/>
        <c:axId val="-2137709160"/>
      </c:scatterChart>
      <c:valAx>
        <c:axId val="-2137684904"/>
        <c:scaling>
          <c:orientation val="minMax"/>
          <c:max val="6"/>
        </c:scaling>
        <c:delete val="0"/>
        <c:axPos val="t"/>
        <c:numFmt formatCode="0" sourceLinked="0"/>
        <c:majorTickMark val="out"/>
        <c:minorTickMark val="none"/>
        <c:tickLblPos val="nextTo"/>
        <c:crossAx val="-2137709160"/>
        <c:crosses val="autoZero"/>
        <c:crossBetween val="midCat"/>
      </c:valAx>
      <c:valAx>
        <c:axId val="-2137709160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7684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R7: LOI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567656285708296E-2"/>
          <c:y val="0.102072059174421"/>
          <c:w val="0.905186046994785"/>
          <c:h val="0.811788799127382"/>
        </c:manualLayout>
      </c:layout>
      <c:scatterChart>
        <c:scatterStyle val="lineMarker"/>
        <c:varyColors val="0"/>
        <c:ser>
          <c:idx val="0"/>
          <c:order val="0"/>
          <c:tx>
            <c:v>LOI R7P2</c:v>
          </c:tx>
          <c:spPr>
            <a:ln>
              <a:solidFill>
                <a:srgbClr val="FEA817"/>
              </a:solidFill>
            </a:ln>
          </c:spPr>
          <c:marker>
            <c:symbol val="circle"/>
            <c:size val="12"/>
            <c:spPr>
              <a:solidFill>
                <a:srgbClr val="FEA817"/>
              </a:solidFill>
              <a:ln>
                <a:solidFill>
                  <a:srgbClr val="FEA817"/>
                </a:solidFill>
              </a:ln>
            </c:spPr>
          </c:marker>
          <c:xVal>
            <c:numRef>
              <c:f>'R7P2EA'!$P$7:$P$22</c:f>
              <c:numCache>
                <c:formatCode>General</c:formatCode>
                <c:ptCount val="16"/>
                <c:pt idx="0">
                  <c:v>9.08</c:v>
                </c:pt>
                <c:pt idx="1">
                  <c:v>3.27</c:v>
                </c:pt>
                <c:pt idx="2">
                  <c:v>2.85</c:v>
                </c:pt>
                <c:pt idx="3">
                  <c:v>10.31</c:v>
                </c:pt>
                <c:pt idx="4">
                  <c:v>10.89</c:v>
                </c:pt>
                <c:pt idx="5">
                  <c:v>11.11</c:v>
                </c:pt>
                <c:pt idx="6">
                  <c:v>11.01</c:v>
                </c:pt>
                <c:pt idx="7">
                  <c:v>10.52</c:v>
                </c:pt>
                <c:pt idx="8">
                  <c:v>10.41</c:v>
                </c:pt>
                <c:pt idx="9">
                  <c:v>10.72</c:v>
                </c:pt>
                <c:pt idx="10">
                  <c:v>9.8699999999999992</c:v>
                </c:pt>
                <c:pt idx="11">
                  <c:v>9.5500000000000007</c:v>
                </c:pt>
                <c:pt idx="12">
                  <c:v>10.119999999999999</c:v>
                </c:pt>
                <c:pt idx="13">
                  <c:v>9.59</c:v>
                </c:pt>
                <c:pt idx="14">
                  <c:v>0.89</c:v>
                </c:pt>
                <c:pt idx="15">
                  <c:v>0.37</c:v>
                </c:pt>
              </c:numCache>
            </c:numRef>
          </c:xVal>
          <c:yVal>
            <c:numRef>
              <c:f>'R7P2EA'!$E$7:$E$22</c:f>
              <c:numCache>
                <c:formatCode>General</c:formatCode>
                <c:ptCount val="16"/>
                <c:pt idx="0">
                  <c:v>1</c:v>
                </c:pt>
                <c:pt idx="1">
                  <c:v>5.5</c:v>
                </c:pt>
                <c:pt idx="2">
                  <c:v>12</c:v>
                </c:pt>
                <c:pt idx="3">
                  <c:v>36</c:v>
                </c:pt>
                <c:pt idx="4">
                  <c:v>69.5</c:v>
                </c:pt>
                <c:pt idx="5">
                  <c:v>99</c:v>
                </c:pt>
                <c:pt idx="6">
                  <c:v>143.5</c:v>
                </c:pt>
                <c:pt idx="7">
                  <c:v>188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  <c:pt idx="14">
                  <c:v>1500</c:v>
                </c:pt>
                <c:pt idx="15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2-3340-8012-D88519794885}"/>
            </c:ext>
          </c:extLst>
        </c:ser>
        <c:ser>
          <c:idx val="1"/>
          <c:order val="1"/>
          <c:tx>
            <c:v>LOI R7H1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'R7H1E'!$P$7:$P$20</c:f>
              <c:numCache>
                <c:formatCode>General</c:formatCode>
                <c:ptCount val="14"/>
                <c:pt idx="0">
                  <c:v>6.87</c:v>
                </c:pt>
                <c:pt idx="1">
                  <c:v>8.67</c:v>
                </c:pt>
                <c:pt idx="2">
                  <c:v>11.85</c:v>
                </c:pt>
                <c:pt idx="3">
                  <c:v>11.01</c:v>
                </c:pt>
                <c:pt idx="4">
                  <c:v>10.9</c:v>
                </c:pt>
                <c:pt idx="5">
                  <c:v>9.99</c:v>
                </c:pt>
                <c:pt idx="6">
                  <c:v>9.69</c:v>
                </c:pt>
                <c:pt idx="7">
                  <c:v>9.23</c:v>
                </c:pt>
                <c:pt idx="8">
                  <c:v>9.4700000000000006</c:v>
                </c:pt>
                <c:pt idx="9">
                  <c:v>9.83</c:v>
                </c:pt>
                <c:pt idx="10">
                  <c:v>9.5500000000000007</c:v>
                </c:pt>
                <c:pt idx="11">
                  <c:v>10.31</c:v>
                </c:pt>
                <c:pt idx="12">
                  <c:v>0.89</c:v>
                </c:pt>
                <c:pt idx="13">
                  <c:v>0.37</c:v>
                </c:pt>
              </c:numCache>
            </c:numRef>
          </c:xVal>
          <c:yVal>
            <c:numRef>
              <c:f>'R7H1E'!$E$7:$E$20</c:f>
              <c:numCache>
                <c:formatCode>General</c:formatCode>
                <c:ptCount val="14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  <c:pt idx="12">
                  <c:v>1500</c:v>
                </c:pt>
                <c:pt idx="13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2-3340-8012-D88519794885}"/>
            </c:ext>
          </c:extLst>
        </c:ser>
        <c:ser>
          <c:idx val="2"/>
          <c:order val="2"/>
          <c:tx>
            <c:v>LOI R7H2</c:v>
          </c:tx>
          <c:spPr>
            <a:ln>
              <a:solidFill>
                <a:srgbClr val="FF6600"/>
              </a:solidFill>
            </a:ln>
          </c:spPr>
          <c:marker>
            <c:symbol val="circle"/>
            <c:size val="14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'R7H2E'!$P$7:$P$20</c:f>
              <c:numCache>
                <c:formatCode>General</c:formatCode>
                <c:ptCount val="14"/>
                <c:pt idx="0">
                  <c:v>9.67</c:v>
                </c:pt>
                <c:pt idx="1">
                  <c:v>7.75</c:v>
                </c:pt>
                <c:pt idx="2">
                  <c:v>9.23</c:v>
                </c:pt>
                <c:pt idx="3">
                  <c:v>11.76</c:v>
                </c:pt>
                <c:pt idx="4">
                  <c:v>9.9</c:v>
                </c:pt>
                <c:pt idx="5">
                  <c:v>7.1</c:v>
                </c:pt>
                <c:pt idx="6">
                  <c:v>9.42</c:v>
                </c:pt>
                <c:pt idx="7">
                  <c:v>8.0399999999999991</c:v>
                </c:pt>
                <c:pt idx="8">
                  <c:v>9.77</c:v>
                </c:pt>
                <c:pt idx="9">
                  <c:v>8.01</c:v>
                </c:pt>
                <c:pt idx="10">
                  <c:v>9.4</c:v>
                </c:pt>
                <c:pt idx="11">
                  <c:v>9.19</c:v>
                </c:pt>
                <c:pt idx="12">
                  <c:v>0.89</c:v>
                </c:pt>
                <c:pt idx="13">
                  <c:v>0.37</c:v>
                </c:pt>
              </c:numCache>
            </c:numRef>
          </c:xVal>
          <c:yVal>
            <c:numRef>
              <c:f>'R7H2E'!$E$7:$E$20</c:f>
              <c:numCache>
                <c:formatCode>General</c:formatCode>
                <c:ptCount val="14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  <c:pt idx="12">
                  <c:v>1000</c:v>
                </c:pt>
                <c:pt idx="13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12-3340-8012-D88519794885}"/>
            </c:ext>
          </c:extLst>
        </c:ser>
        <c:ser>
          <c:idx val="3"/>
          <c:order val="3"/>
          <c:tx>
            <c:v>LOI R7P1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circle"/>
            <c:size val="1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xVal>
            <c:numRef>
              <c:f>'R7P1EA'!$P$7:$P$15</c:f>
              <c:numCache>
                <c:formatCode>General</c:formatCode>
                <c:ptCount val="9"/>
                <c:pt idx="0">
                  <c:v>7.7</c:v>
                </c:pt>
                <c:pt idx="1">
                  <c:v>6.09</c:v>
                </c:pt>
                <c:pt idx="2">
                  <c:v>7.24</c:v>
                </c:pt>
                <c:pt idx="3">
                  <c:v>8.8699999999999992</c:v>
                </c:pt>
                <c:pt idx="4">
                  <c:v>8.67</c:v>
                </c:pt>
                <c:pt idx="5">
                  <c:v>7.54</c:v>
                </c:pt>
                <c:pt idx="6">
                  <c:v>8.91</c:v>
                </c:pt>
                <c:pt idx="7">
                  <c:v>0.89</c:v>
                </c:pt>
                <c:pt idx="8">
                  <c:v>0.37</c:v>
                </c:pt>
              </c:numCache>
            </c:numRef>
          </c:xVal>
          <c:yVal>
            <c:numRef>
              <c:f>'R7P1EA'!$E$7:$E$15</c:f>
              <c:numCache>
                <c:formatCode>General</c:formatCode>
                <c:ptCount val="9"/>
                <c:pt idx="0">
                  <c:v>4.5</c:v>
                </c:pt>
                <c:pt idx="1">
                  <c:v>15</c:v>
                </c:pt>
                <c:pt idx="2">
                  <c:v>32.5</c:v>
                </c:pt>
                <c:pt idx="3">
                  <c:v>60</c:v>
                </c:pt>
                <c:pt idx="4">
                  <c:v>89</c:v>
                </c:pt>
                <c:pt idx="5">
                  <c:v>125.5</c:v>
                </c:pt>
                <c:pt idx="6">
                  <c:v>152</c:v>
                </c:pt>
                <c:pt idx="7">
                  <c:v>1000</c:v>
                </c:pt>
                <c:pt idx="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12-3340-8012-D88519794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778344"/>
        <c:axId val="-2137773400"/>
      </c:scatterChart>
      <c:valAx>
        <c:axId val="-2137778344"/>
        <c:scaling>
          <c:orientation val="minMax"/>
          <c:max val="13"/>
          <c:min val="2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7773400"/>
        <c:crosses val="autoZero"/>
        <c:crossBetween val="midCat"/>
      </c:valAx>
      <c:valAx>
        <c:axId val="-2137773400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7778344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R7P2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'R1C2EA'!$BK$7:$BK$17</c:f>
              <c:numCache>
                <c:formatCode>0</c:formatCode>
                <c:ptCount val="11"/>
                <c:pt idx="0">
                  <c:v>95.450049455984185</c:v>
                </c:pt>
                <c:pt idx="1">
                  <c:v>99.102040816326522</c:v>
                </c:pt>
                <c:pt idx="2">
                  <c:v>99.220576773187844</c:v>
                </c:pt>
                <c:pt idx="3">
                  <c:v>99.28721174004194</c:v>
                </c:pt>
                <c:pt idx="4">
                  <c:v>92.8</c:v>
                </c:pt>
                <c:pt idx="5">
                  <c:v>91.914271797369707</c:v>
                </c:pt>
                <c:pt idx="6">
                  <c:v>93.091621754042137</c:v>
                </c:pt>
                <c:pt idx="7">
                  <c:v>92.914124824026274</c:v>
                </c:pt>
                <c:pt idx="8">
                  <c:v>91.981132075471692</c:v>
                </c:pt>
                <c:pt idx="9">
                  <c:v>62.625341841385598</c:v>
                </c:pt>
                <c:pt idx="10">
                  <c:v>60.781309842972043</c:v>
                </c:pt>
              </c:numCache>
            </c:numRef>
          </c:xVal>
          <c:yVal>
            <c:numRef>
              <c:f>'R1C2EA'!$E$7:$E$17</c:f>
              <c:numCache>
                <c:formatCode>General</c:formatCode>
                <c:ptCount val="11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  <c:pt idx="9">
                  <c:v>1000</c:v>
                </c:pt>
                <c:pt idx="1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8-EA4E-9887-75D491AA4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'R2P1EA'!$BF$24:$BF$36</c:f>
              <c:numCache>
                <c:formatCode>0.0</c:formatCode>
                <c:ptCount val="13"/>
                <c:pt idx="0">
                  <c:v>23.360000000000003</c:v>
                </c:pt>
                <c:pt idx="1">
                  <c:v>41.57</c:v>
                </c:pt>
                <c:pt idx="2">
                  <c:v>32.97</c:v>
                </c:pt>
                <c:pt idx="3">
                  <c:v>38.299999999999997</c:v>
                </c:pt>
                <c:pt idx="4">
                  <c:v>30.860000000000003</c:v>
                </c:pt>
                <c:pt idx="5">
                  <c:v>19.650000000000002</c:v>
                </c:pt>
                <c:pt idx="6">
                  <c:v>20.369999999999997</c:v>
                </c:pt>
                <c:pt idx="7">
                  <c:v>32.74</c:v>
                </c:pt>
                <c:pt idx="8">
                  <c:v>26.56</c:v>
                </c:pt>
                <c:pt idx="9">
                  <c:v>40.799999999999997</c:v>
                </c:pt>
                <c:pt idx="10">
                  <c:v>30.66</c:v>
                </c:pt>
                <c:pt idx="11">
                  <c:v>25.259999999999998</c:v>
                </c:pt>
                <c:pt idx="12">
                  <c:v>20.93</c:v>
                </c:pt>
              </c:numCache>
            </c:numRef>
          </c:xVal>
          <c:yVal>
            <c:numRef>
              <c:f>'R2P1EA'!$AO$24:$AO$36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F0-3F48-994E-F2E1AF81F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R2P1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'R2P1EA'!$AM$24:$AM$36</c:f>
              <c:numCache>
                <c:formatCode>General</c:formatCode>
                <c:ptCount val="13"/>
                <c:pt idx="0">
                  <c:v>0.99794871794871787</c:v>
                </c:pt>
                <c:pt idx="1">
                  <c:v>0.95042735042735027</c:v>
                </c:pt>
                <c:pt idx="2">
                  <c:v>0.95042735042735027</c:v>
                </c:pt>
                <c:pt idx="3">
                  <c:v>0.89102564102564086</c:v>
                </c:pt>
                <c:pt idx="4">
                  <c:v>0.89102564102564086</c:v>
                </c:pt>
                <c:pt idx="5">
                  <c:v>0.78410256410256396</c:v>
                </c:pt>
                <c:pt idx="6">
                  <c:v>0.8655677655677656</c:v>
                </c:pt>
                <c:pt idx="7">
                  <c:v>0.92666666666666664</c:v>
                </c:pt>
                <c:pt idx="8">
                  <c:v>0.95042735042735027</c:v>
                </c:pt>
                <c:pt idx="9">
                  <c:v>0.81465201465201453</c:v>
                </c:pt>
                <c:pt idx="10">
                  <c:v>1.0692307692307692</c:v>
                </c:pt>
                <c:pt idx="11">
                  <c:v>1.069230769230769</c:v>
                </c:pt>
                <c:pt idx="12">
                  <c:v>0.92666666666666664</c:v>
                </c:pt>
              </c:numCache>
            </c:numRef>
          </c:xVal>
          <c:yVal>
            <c:numRef>
              <c:f>'R2P1EA'!$AO$24:$AO$36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F0-C746-B4EA-342D96C8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R2P1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'R2P1EA'!$BH$24:$BH$36</c:f>
              <c:numCache>
                <c:formatCode>0.00</c:formatCode>
                <c:ptCount val="13"/>
                <c:pt idx="0">
                  <c:v>1.77783196907497</c:v>
                </c:pt>
                <c:pt idx="1">
                  <c:v>1.2495525891750847</c:v>
                </c:pt>
                <c:pt idx="2">
                  <c:v>2.2482905958051504</c:v>
                </c:pt>
                <c:pt idx="3">
                  <c:v>0.68677429051512906</c:v>
                </c:pt>
                <c:pt idx="4">
                  <c:v>0.91899514746265865</c:v>
                </c:pt>
                <c:pt idx="5">
                  <c:v>1.0719938956913106</c:v>
                </c:pt>
                <c:pt idx="6">
                  <c:v>0.92403673722042523</c:v>
                </c:pt>
                <c:pt idx="7">
                  <c:v>0.45906160584666278</c:v>
                </c:pt>
                <c:pt idx="8">
                  <c:v>0.99954308347835519</c:v>
                </c:pt>
                <c:pt idx="9">
                  <c:v>0.60554654462962165</c:v>
                </c:pt>
                <c:pt idx="10">
                  <c:v>1.1515450869817567</c:v>
                </c:pt>
                <c:pt idx="11">
                  <c:v>0.96781513086574267</c:v>
                </c:pt>
                <c:pt idx="12">
                  <c:v>1.1803663339194654</c:v>
                </c:pt>
              </c:numCache>
            </c:numRef>
          </c:xVal>
          <c:yVal>
            <c:numRef>
              <c:f>'R2P1EA'!$AO$24:$AO$36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D-6548-A396-809DF9D05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R2P1 Ce/Ce*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763149110751"/>
          <c:y val="0.12483310076284287"/>
          <c:w val="0.26442314625306279"/>
          <c:h val="0.849262355828435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'R2P1EA'!$BD$24:$BD$36</c:f>
              <c:numCache>
                <c:formatCode>0.0</c:formatCode>
                <c:ptCount val="13"/>
                <c:pt idx="0">
                  <c:v>227.88000000000002</c:v>
                </c:pt>
                <c:pt idx="1">
                  <c:v>274.36</c:v>
                </c:pt>
                <c:pt idx="2">
                  <c:v>276.75000000000011</c:v>
                </c:pt>
                <c:pt idx="3">
                  <c:v>219.83000000000004</c:v>
                </c:pt>
                <c:pt idx="4">
                  <c:v>224.72000000000003</c:v>
                </c:pt>
                <c:pt idx="5">
                  <c:v>505.48999999999995</c:v>
                </c:pt>
                <c:pt idx="6">
                  <c:v>733.4899999999999</c:v>
                </c:pt>
                <c:pt idx="7">
                  <c:v>162.60999999999999</c:v>
                </c:pt>
                <c:pt idx="8">
                  <c:v>82.34</c:v>
                </c:pt>
                <c:pt idx="9">
                  <c:v>124.26000000000002</c:v>
                </c:pt>
                <c:pt idx="10">
                  <c:v>88.689999999999984</c:v>
                </c:pt>
                <c:pt idx="11">
                  <c:v>69.870000000000019</c:v>
                </c:pt>
                <c:pt idx="12">
                  <c:v>435.01999999999992</c:v>
                </c:pt>
              </c:numCache>
            </c:numRef>
          </c:xVal>
          <c:yVal>
            <c:numRef>
              <c:f>'R2P1EA'!$AO$24:$AO$36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3E-F240-97B8-439D55AF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logBase val="10"/>
          <c:orientation val="minMax"/>
          <c:max val="100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R2P1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R2P1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60248094947321"/>
          <c:y val="0.21387278911727081"/>
          <c:w val="0.73707994558920586"/>
          <c:h val="0.67877353571681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'R2P1EA'!$E$27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'R2P1EA'!$E$28:$E$40</c:f>
              <c:numCache>
                <c:formatCode>0.00</c:formatCode>
                <c:ptCount val="13"/>
                <c:pt idx="0">
                  <c:v>-0.38997777129659561</c:v>
                </c:pt>
                <c:pt idx="1">
                  <c:v>-0.70243852443459187</c:v>
                </c:pt>
                <c:pt idx="2">
                  <c:v>-0.59959604126519028</c:v>
                </c:pt>
                <c:pt idx="3">
                  <c:v>-0.68160471021083735</c:v>
                </c:pt>
                <c:pt idx="4">
                  <c:v>-0.59147563298164441</c:v>
                </c:pt>
                <c:pt idx="5">
                  <c:v>-0.22406512375697185</c:v>
                </c:pt>
                <c:pt idx="6">
                  <c:v>-0.29435291964122279</c:v>
                </c:pt>
                <c:pt idx="7">
                  <c:v>-0.62932866556836897</c:v>
                </c:pt>
                <c:pt idx="8">
                  <c:v>-0.22930362699720197</c:v>
                </c:pt>
                <c:pt idx="9">
                  <c:v>-0.78244814287853826</c:v>
                </c:pt>
                <c:pt idx="10">
                  <c:v>-0.48332005920624355</c:v>
                </c:pt>
                <c:pt idx="11">
                  <c:v>-1.6325286357327218E-2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D9-DF4C-A5EB-8C2DDB3A3C3A}"/>
            </c:ext>
          </c:extLst>
        </c:ser>
        <c:ser>
          <c:idx val="1"/>
          <c:order val="1"/>
          <c:tx>
            <c:strRef>
              <c:f>'R2P1EA'!$F$27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'R2P1EA'!$F$28:$F$40</c:f>
              <c:numCache>
                <c:formatCode>0.00</c:formatCode>
                <c:ptCount val="13"/>
                <c:pt idx="0">
                  <c:v>-0.46684755780827047</c:v>
                </c:pt>
                <c:pt idx="1">
                  <c:v>-0.40967213675107439</c:v>
                </c:pt>
                <c:pt idx="2">
                  <c:v>-0.38949421861042621</c:v>
                </c:pt>
                <c:pt idx="3">
                  <c:v>-0.44453521454661382</c:v>
                </c:pt>
                <c:pt idx="4">
                  <c:v>-0.43952740993672956</c:v>
                </c:pt>
                <c:pt idx="5">
                  <c:v>-0.26638448602230902</c:v>
                </c:pt>
                <c:pt idx="6">
                  <c:v>-0.30073050123623279</c:v>
                </c:pt>
                <c:pt idx="7">
                  <c:v>-0.45111935266351977</c:v>
                </c:pt>
                <c:pt idx="8">
                  <c:v>-8.4853739203031187E-2</c:v>
                </c:pt>
                <c:pt idx="9">
                  <c:v>-0.5903757739226384</c:v>
                </c:pt>
                <c:pt idx="10">
                  <c:v>-0.31985906498818839</c:v>
                </c:pt>
                <c:pt idx="11">
                  <c:v>0.11643242841441848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D9-DF4C-A5EB-8C2DDB3A3C3A}"/>
            </c:ext>
          </c:extLst>
        </c:ser>
        <c:ser>
          <c:idx val="2"/>
          <c:order val="2"/>
          <c:tx>
            <c:strRef>
              <c:f>'R2P1EA'!$G$27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'R2P1EA'!$G$28:$G$40</c:f>
              <c:numCache>
                <c:formatCode>0.00</c:formatCode>
                <c:ptCount val="13"/>
                <c:pt idx="0">
                  <c:v>-0.11471029930499776</c:v>
                </c:pt>
                <c:pt idx="1">
                  <c:v>0.22220727236032123</c:v>
                </c:pt>
                <c:pt idx="2">
                  <c:v>7.0164570258841152E-2</c:v>
                </c:pt>
                <c:pt idx="3">
                  <c:v>0.20080371434085209</c:v>
                </c:pt>
                <c:pt idx="4">
                  <c:v>3.8825904643546849E-5</c:v>
                </c:pt>
                <c:pt idx="5">
                  <c:v>-0.23707237709963958</c:v>
                </c:pt>
                <c:pt idx="6">
                  <c:v>-0.22055961070559615</c:v>
                </c:pt>
                <c:pt idx="7">
                  <c:v>5.7737226277372322E-2</c:v>
                </c:pt>
                <c:pt idx="8">
                  <c:v>0.2136253041362528</c:v>
                </c:pt>
                <c:pt idx="9">
                  <c:v>0.10424684804246853</c:v>
                </c:pt>
                <c:pt idx="10">
                  <c:v>0.21805965098854352</c:v>
                </c:pt>
                <c:pt idx="11">
                  <c:v>0.29378125179608006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D9-DF4C-A5EB-8C2DDB3A3C3A}"/>
            </c:ext>
          </c:extLst>
        </c:ser>
        <c:ser>
          <c:idx val="3"/>
          <c:order val="3"/>
          <c:tx>
            <c:strRef>
              <c:f>'R2P1EA'!$I$27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'R2P1EA'!$I$28:$I$40</c:f>
              <c:numCache>
                <c:formatCode>0.00</c:formatCode>
                <c:ptCount val="13"/>
                <c:pt idx="0">
                  <c:v>-0.64509569377990439</c:v>
                </c:pt>
                <c:pt idx="1">
                  <c:v>-0.44516129032258056</c:v>
                </c:pt>
                <c:pt idx="2">
                  <c:v>-0.36928044280442807</c:v>
                </c:pt>
                <c:pt idx="3">
                  <c:v>2.317262830482103E-2</c:v>
                </c:pt>
                <c:pt idx="4">
                  <c:v>-0.13085106382978717</c:v>
                </c:pt>
                <c:pt idx="5">
                  <c:v>-0.51430722891566272</c:v>
                </c:pt>
                <c:pt idx="6">
                  <c:v>-0.3370833333333334</c:v>
                </c:pt>
                <c:pt idx="7">
                  <c:v>0.7200000000000002</c:v>
                </c:pt>
                <c:pt idx="8">
                  <c:v>0.8838095238095236</c:v>
                </c:pt>
                <c:pt idx="9">
                  <c:v>-0.12045454545454548</c:v>
                </c:pt>
                <c:pt idx="10">
                  <c:v>0.13907284768211925</c:v>
                </c:pt>
                <c:pt idx="11">
                  <c:v>0.59980314960629921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D9-DF4C-A5EB-8C2DDB3A3C3A}"/>
            </c:ext>
          </c:extLst>
        </c:ser>
        <c:ser>
          <c:idx val="4"/>
          <c:order val="4"/>
          <c:tx>
            <c:strRef>
              <c:f>'R2P1EA'!$J$27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'R2P1EA'!$J$28:$J$40</c:f>
              <c:numCache>
                <c:formatCode>0.00</c:formatCode>
                <c:ptCount val="13"/>
                <c:pt idx="0">
                  <c:v>-0.45135566188197762</c:v>
                </c:pt>
                <c:pt idx="1">
                  <c:v>-0.69175627240143367</c:v>
                </c:pt>
                <c:pt idx="2">
                  <c:v>-0.78843788437884377</c:v>
                </c:pt>
                <c:pt idx="3">
                  <c:v>-0.68792120269569712</c:v>
                </c:pt>
                <c:pt idx="4">
                  <c:v>-0.79669030732860513</c:v>
                </c:pt>
                <c:pt idx="5">
                  <c:v>-0.74096385542168675</c:v>
                </c:pt>
                <c:pt idx="6">
                  <c:v>-0.68148148148148147</c:v>
                </c:pt>
                <c:pt idx="7">
                  <c:v>0.19444444444444464</c:v>
                </c:pt>
                <c:pt idx="8">
                  <c:v>0.82010582010582023</c:v>
                </c:pt>
                <c:pt idx="9">
                  <c:v>-0.80454545454545456</c:v>
                </c:pt>
                <c:pt idx="10">
                  <c:v>-0.74687270051508459</c:v>
                </c:pt>
                <c:pt idx="11">
                  <c:v>-0.20997375328083978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D9-DF4C-A5EB-8C2DDB3A3C3A}"/>
            </c:ext>
          </c:extLst>
        </c:ser>
        <c:ser>
          <c:idx val="5"/>
          <c:order val="5"/>
          <c:tx>
            <c:strRef>
              <c:f>'R2P1EA'!$K$27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'R2P1EA'!$K$28:$K$40</c:f>
              <c:numCache>
                <c:formatCode>0.00</c:formatCode>
                <c:ptCount val="13"/>
                <c:pt idx="0">
                  <c:v>-0.62641651976832025</c:v>
                </c:pt>
                <c:pt idx="1">
                  <c:v>-0.93742420567547902</c:v>
                </c:pt>
                <c:pt idx="2">
                  <c:v>-0.76199261992619927</c:v>
                </c:pt>
                <c:pt idx="3">
                  <c:v>-0.93664565769010399</c:v>
                </c:pt>
                <c:pt idx="4">
                  <c:v>-0.8314669652855543</c:v>
                </c:pt>
                <c:pt idx="5">
                  <c:v>-0.30469245402663281</c:v>
                </c:pt>
                <c:pt idx="6">
                  <c:v>-0.37763157894736843</c:v>
                </c:pt>
                <c:pt idx="7">
                  <c:v>-0.89815789473684204</c:v>
                </c:pt>
                <c:pt idx="8">
                  <c:v>-0.67669172932330834</c:v>
                </c:pt>
                <c:pt idx="9">
                  <c:v>-0.90741626794258368</c:v>
                </c:pt>
                <c:pt idx="10">
                  <c:v>-0.80515859184384797</c:v>
                </c:pt>
                <c:pt idx="11">
                  <c:v>-0.465395772896809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D9-DF4C-A5EB-8C2DDB3A3C3A}"/>
            </c:ext>
          </c:extLst>
        </c:ser>
        <c:ser>
          <c:idx val="6"/>
          <c:order val="6"/>
          <c:tx>
            <c:strRef>
              <c:f>'R2P1EA'!$L$27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'R2P1EA'!$L$28:$L$40</c:f>
              <c:numCache>
                <c:formatCode>0.00</c:formatCode>
                <c:ptCount val="13"/>
                <c:pt idx="0">
                  <c:v>-0.68493573179067402</c:v>
                </c:pt>
                <c:pt idx="1">
                  <c:v>-0.92405144591274746</c:v>
                </c:pt>
                <c:pt idx="2">
                  <c:v>-0.73130874165884507</c:v>
                </c:pt>
                <c:pt idx="3">
                  <c:v>-0.90493169539560314</c:v>
                </c:pt>
                <c:pt idx="4">
                  <c:v>-0.77446437838238569</c:v>
                </c:pt>
                <c:pt idx="5">
                  <c:v>-0.10646068594937252</c:v>
                </c:pt>
                <c:pt idx="6">
                  <c:v>-0.16971544715447162</c:v>
                </c:pt>
                <c:pt idx="7">
                  <c:v>-0.8419337979094077</c:v>
                </c:pt>
                <c:pt idx="8">
                  <c:v>-0.61758752281400364</c:v>
                </c:pt>
                <c:pt idx="9">
                  <c:v>-0.89937836553690209</c:v>
                </c:pt>
                <c:pt idx="10">
                  <c:v>-0.76087407988554812</c:v>
                </c:pt>
                <c:pt idx="11">
                  <c:v>-0.42842053279925385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D9-DF4C-A5EB-8C2DDB3A3C3A}"/>
            </c:ext>
          </c:extLst>
        </c:ser>
        <c:ser>
          <c:idx val="7"/>
          <c:order val="7"/>
          <c:tx>
            <c:strRef>
              <c:f>'R2P1EA'!$O$27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'R2P1EA'!$O$28:$O$40</c:f>
              <c:numCache>
                <c:formatCode>0.00</c:formatCode>
                <c:ptCount val="13"/>
                <c:pt idx="0">
                  <c:v>0.21607997265892021</c:v>
                </c:pt>
                <c:pt idx="1">
                  <c:v>0.30099297783629586</c:v>
                </c:pt>
                <c:pt idx="2">
                  <c:v>0.10361755403268313</c:v>
                </c:pt>
                <c:pt idx="3">
                  <c:v>0.14282937125083328</c:v>
                </c:pt>
                <c:pt idx="4">
                  <c:v>-8.7829280648429431E-2</c:v>
                </c:pt>
                <c:pt idx="5">
                  <c:v>-0.31540447504302926</c:v>
                </c:pt>
                <c:pt idx="6">
                  <c:v>-0.37718253968253967</c:v>
                </c:pt>
                <c:pt idx="7">
                  <c:v>-9.5208333333333117E-2</c:v>
                </c:pt>
                <c:pt idx="8">
                  <c:v>0.44552154195011329</c:v>
                </c:pt>
                <c:pt idx="9">
                  <c:v>-0.14837662337662327</c:v>
                </c:pt>
                <c:pt idx="10">
                  <c:v>0.2017896562598549</c:v>
                </c:pt>
                <c:pt idx="11">
                  <c:v>0.6536136107986501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D9-DF4C-A5EB-8C2DDB3A3C3A}"/>
            </c:ext>
          </c:extLst>
        </c:ser>
        <c:ser>
          <c:idx val="8"/>
          <c:order val="8"/>
          <c:tx>
            <c:strRef>
              <c:f>'R2P1EA'!$M$27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'R2P1EA'!$M$28:$M$40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'R2P1EA'!$E$7:$E$19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D9-DF4C-A5EB-8C2DDB3A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4.3954101765628195E-2"/>
              <c:y val="0.472296531922125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9050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R2P2  REE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'R2P1EA'!$AO$24</c:f>
              <c:strCache>
                <c:ptCount val="1"/>
                <c:pt idx="0">
                  <c:v>7.5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'R2P1EA'!$AP$24:$BC$24</c:f>
              <c:numCache>
                <c:formatCode>0.0</c:formatCode>
                <c:ptCount val="14"/>
                <c:pt idx="0">
                  <c:v>102.99727520435967</c:v>
                </c:pt>
                <c:pt idx="1">
                  <c:v>145.24555903866249</c:v>
                </c:pt>
                <c:pt idx="2">
                  <c:v>60.51094890510948</c:v>
                </c:pt>
                <c:pt idx="3">
                  <c:v>39.099859353023916</c:v>
                </c:pt>
                <c:pt idx="4">
                  <c:v>17.748917748917748</c:v>
                </c:pt>
                <c:pt idx="5">
                  <c:v>10.114942528735632</c:v>
                </c:pt>
                <c:pt idx="6">
                  <c:v>9.8039215686274517</c:v>
                </c:pt>
                <c:pt idx="7">
                  <c:v>6.8965517241379315</c:v>
                </c:pt>
                <c:pt idx="8">
                  <c:v>6.5616797900262469</c:v>
                </c:pt>
                <c:pt idx="9">
                  <c:v>5.8823529411764701</c:v>
                </c:pt>
                <c:pt idx="10">
                  <c:v>6.024096385542169</c:v>
                </c:pt>
                <c:pt idx="11">
                  <c:v>6.666666666666667</c:v>
                </c:pt>
                <c:pt idx="12">
                  <c:v>6.4516129032258069</c:v>
                </c:pt>
                <c:pt idx="13">
                  <c:v>7.1052631578947372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3-934C-ADB4-8B1DDD774C35}"/>
            </c:ext>
          </c:extLst>
        </c:ser>
        <c:ser>
          <c:idx val="1"/>
          <c:order val="1"/>
          <c:tx>
            <c:strRef>
              <c:f>'R2P1EA'!$AO$25</c:f>
              <c:strCache>
                <c:ptCount val="1"/>
                <c:pt idx="0">
                  <c:v>35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'R2P1EA'!$AP$25:$BC$25</c:f>
              <c:numCache>
                <c:formatCode>0.0</c:formatCode>
                <c:ptCount val="14"/>
                <c:pt idx="0">
                  <c:v>156.40326975476839</c:v>
                </c:pt>
                <c:pt idx="1">
                  <c:v>153.6050156739812</c:v>
                </c:pt>
                <c:pt idx="2">
                  <c:v>88.321167883211672</c:v>
                </c:pt>
                <c:pt idx="3">
                  <c:v>55.977496483825597</c:v>
                </c:pt>
                <c:pt idx="4">
                  <c:v>23.376623376623378</c:v>
                </c:pt>
                <c:pt idx="5">
                  <c:v>12.758620689655174</c:v>
                </c:pt>
                <c:pt idx="6">
                  <c:v>11.437908496732026</c:v>
                </c:pt>
                <c:pt idx="7">
                  <c:v>8.6206896551724128</c:v>
                </c:pt>
                <c:pt idx="8">
                  <c:v>7.8740157480314963</c:v>
                </c:pt>
                <c:pt idx="9">
                  <c:v>7.0588235294117636</c:v>
                </c:pt>
                <c:pt idx="10">
                  <c:v>6.8273092369477908</c:v>
                </c:pt>
                <c:pt idx="11">
                  <c:v>7.2222222222222232</c:v>
                </c:pt>
                <c:pt idx="12">
                  <c:v>6.854838709677419</c:v>
                </c:pt>
                <c:pt idx="13">
                  <c:v>7.6315789473684204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3-934C-ADB4-8B1DDD774C35}"/>
            </c:ext>
          </c:extLst>
        </c:ser>
        <c:ser>
          <c:idx val="2"/>
          <c:order val="2"/>
          <c:tx>
            <c:strRef>
              <c:f>'R2P1EA'!$AO$26</c:f>
              <c:strCache>
                <c:ptCount val="1"/>
                <c:pt idx="0">
                  <c:v>66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'R2P1EA'!$AP$26:$BC$26</c:f>
              <c:numCache>
                <c:formatCode>0.0</c:formatCode>
                <c:ptCount val="14"/>
                <c:pt idx="0">
                  <c:v>111.4441416893733</c:v>
                </c:pt>
                <c:pt idx="1">
                  <c:v>196.44723092998956</c:v>
                </c:pt>
                <c:pt idx="2">
                  <c:v>63.430656934306562</c:v>
                </c:pt>
                <c:pt idx="3">
                  <c:v>39.240506329113927</c:v>
                </c:pt>
                <c:pt idx="4">
                  <c:v>16.450216450216448</c:v>
                </c:pt>
                <c:pt idx="5">
                  <c:v>8.1609195402298855</c:v>
                </c:pt>
                <c:pt idx="6">
                  <c:v>6.8627450980392162</c:v>
                </c:pt>
                <c:pt idx="7">
                  <c:v>5.1724137931034475</c:v>
                </c:pt>
                <c:pt idx="8">
                  <c:v>4.1994750656167978</c:v>
                </c:pt>
                <c:pt idx="9">
                  <c:v>3.5294117647058818</c:v>
                </c:pt>
                <c:pt idx="10">
                  <c:v>4.0160642570281126</c:v>
                </c:pt>
                <c:pt idx="11">
                  <c:v>4.4444444444444446</c:v>
                </c:pt>
                <c:pt idx="12">
                  <c:v>4.435483870967742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3-934C-ADB4-8B1DDD774C35}"/>
            </c:ext>
          </c:extLst>
        </c:ser>
        <c:ser>
          <c:idx val="3"/>
          <c:order val="3"/>
          <c:tx>
            <c:strRef>
              <c:f>'R2P1EA'!$AO$27</c:f>
              <c:strCache>
                <c:ptCount val="1"/>
                <c:pt idx="0">
                  <c:v>83.5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'R2P1EA'!$AP$27:$BC$27</c:f>
              <c:numCache>
                <c:formatCode>0.0</c:formatCode>
                <c:ptCount val="14"/>
                <c:pt idx="0">
                  <c:v>163.48773841961852</c:v>
                </c:pt>
                <c:pt idx="1">
                  <c:v>89.341692789968661</c:v>
                </c:pt>
                <c:pt idx="2">
                  <c:v>97.810218978102185</c:v>
                </c:pt>
                <c:pt idx="3">
                  <c:v>63.291139240506332</c:v>
                </c:pt>
                <c:pt idx="4">
                  <c:v>25.108225108225106</c:v>
                </c:pt>
                <c:pt idx="5">
                  <c:v>11.839080459770116</c:v>
                </c:pt>
                <c:pt idx="6">
                  <c:v>10.130718954248367</c:v>
                </c:pt>
                <c:pt idx="7">
                  <c:v>6.8965517241379315</c:v>
                </c:pt>
                <c:pt idx="8">
                  <c:v>5.7742782152230978</c:v>
                </c:pt>
                <c:pt idx="9">
                  <c:v>4.7058823529411766</c:v>
                </c:pt>
                <c:pt idx="10">
                  <c:v>5.2208835341365463</c:v>
                </c:pt>
                <c:pt idx="11">
                  <c:v>5.2777777777777786</c:v>
                </c:pt>
                <c:pt idx="12">
                  <c:v>5.241935483870968</c:v>
                </c:pt>
                <c:pt idx="13">
                  <c:v>5.5263157894736841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3-934C-ADB4-8B1DDD774C35}"/>
            </c:ext>
          </c:extLst>
        </c:ser>
        <c:ser>
          <c:idx val="4"/>
          <c:order val="4"/>
          <c:tx>
            <c:strRef>
              <c:f>'R2P1EA'!$AO$28</c:f>
              <c:strCache>
                <c:ptCount val="1"/>
                <c:pt idx="0">
                  <c:v>100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'R2P1EA'!$AP$28:$BC$28</c:f>
              <c:numCache>
                <c:formatCode>0.0</c:formatCode>
                <c:ptCount val="14"/>
                <c:pt idx="0">
                  <c:v>149.31880108991825</c:v>
                </c:pt>
                <c:pt idx="1">
                  <c:v>108.67293625914316</c:v>
                </c:pt>
                <c:pt idx="2">
                  <c:v>89.78102189781022</c:v>
                </c:pt>
                <c:pt idx="3">
                  <c:v>56.118143459915615</c:v>
                </c:pt>
                <c:pt idx="4">
                  <c:v>22.510822510822511</c:v>
                </c:pt>
                <c:pt idx="5">
                  <c:v>9.8850574712643677</c:v>
                </c:pt>
                <c:pt idx="6">
                  <c:v>8.1699346405228752</c:v>
                </c:pt>
                <c:pt idx="7">
                  <c:v>5.1724137931034475</c:v>
                </c:pt>
                <c:pt idx="8">
                  <c:v>4.9868766404199469</c:v>
                </c:pt>
                <c:pt idx="9">
                  <c:v>4.7058823529411766</c:v>
                </c:pt>
                <c:pt idx="10">
                  <c:v>4.4176706827309244</c:v>
                </c:pt>
                <c:pt idx="11">
                  <c:v>4.7222222222222232</c:v>
                </c:pt>
                <c:pt idx="12">
                  <c:v>4.435483870967742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3-934C-ADB4-8B1DDD774C35}"/>
            </c:ext>
          </c:extLst>
        </c:ser>
        <c:ser>
          <c:idx val="5"/>
          <c:order val="5"/>
          <c:tx>
            <c:strRef>
              <c:f>'R2P1EA'!$AO$29</c:f>
              <c:strCache>
                <c:ptCount val="1"/>
                <c:pt idx="0">
                  <c:v>118.5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'R2P1EA'!$AP$29:$BC$29</c:f>
              <c:numCache>
                <c:formatCode>0.0</c:formatCode>
                <c:ptCount val="14"/>
                <c:pt idx="0">
                  <c:v>326.97547683923705</c:v>
                </c:pt>
                <c:pt idx="1">
                  <c:v>272.72727272727275</c:v>
                </c:pt>
                <c:pt idx="2">
                  <c:v>182.48175182481751</c:v>
                </c:pt>
                <c:pt idx="3">
                  <c:v>109.28270042194094</c:v>
                </c:pt>
                <c:pt idx="4">
                  <c:v>40.692640692640694</c:v>
                </c:pt>
                <c:pt idx="5">
                  <c:v>15.632183908045979</c:v>
                </c:pt>
                <c:pt idx="6">
                  <c:v>13.725490196078432</c:v>
                </c:pt>
                <c:pt idx="7">
                  <c:v>8.6206896551724128</c:v>
                </c:pt>
                <c:pt idx="8">
                  <c:v>6.8241469816272966</c:v>
                </c:pt>
                <c:pt idx="9">
                  <c:v>5.8823529411764701</c:v>
                </c:pt>
                <c:pt idx="10">
                  <c:v>5.6224899598393572</c:v>
                </c:pt>
                <c:pt idx="11">
                  <c:v>5.8333333333333339</c:v>
                </c:pt>
                <c:pt idx="12">
                  <c:v>5.6451612903225801</c:v>
                </c:pt>
                <c:pt idx="13">
                  <c:v>5.7894736842105265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3-934C-ADB4-8B1DDD774C35}"/>
            </c:ext>
          </c:extLst>
        </c:ser>
        <c:ser>
          <c:idx val="6"/>
          <c:order val="6"/>
          <c:tx>
            <c:strRef>
              <c:f>'R2P1EA'!$AO$30</c:f>
              <c:strCache>
                <c:ptCount val="1"/>
                <c:pt idx="0">
                  <c:v>174.5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'R2P1EA'!$AP$30:$BC$30</c:f>
              <c:numCache>
                <c:formatCode>0.0</c:formatCode>
                <c:ptCount val="14"/>
                <c:pt idx="0">
                  <c:v>504.08719346049048</c:v>
                </c:pt>
                <c:pt idx="1">
                  <c:v>364.6812957157785</c:v>
                </c:pt>
                <c:pt idx="2">
                  <c:v>290.51094890510944</c:v>
                </c:pt>
                <c:pt idx="3">
                  <c:v>175.80872011251759</c:v>
                </c:pt>
                <c:pt idx="4">
                  <c:v>67.099567099567096</c:v>
                </c:pt>
                <c:pt idx="5">
                  <c:v>26.321839080459771</c:v>
                </c:pt>
                <c:pt idx="6">
                  <c:v>21.895424836601308</c:v>
                </c:pt>
                <c:pt idx="7">
                  <c:v>13.793103448275863</c:v>
                </c:pt>
                <c:pt idx="8">
                  <c:v>10.498687664041995</c:v>
                </c:pt>
                <c:pt idx="9">
                  <c:v>8.235294117647058</c:v>
                </c:pt>
                <c:pt idx="10">
                  <c:v>8.8353413654618489</c:v>
                </c:pt>
                <c:pt idx="11">
                  <c:v>8.6111111111111125</c:v>
                </c:pt>
                <c:pt idx="12">
                  <c:v>7.661290322580645</c:v>
                </c:pt>
                <c:pt idx="13">
                  <c:v>7.6315789473684204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3-934C-ADB4-8B1DDD774C35}"/>
            </c:ext>
          </c:extLst>
        </c:ser>
        <c:ser>
          <c:idx val="7"/>
          <c:order val="7"/>
          <c:tx>
            <c:strRef>
              <c:f>'R2P1EA'!$AO$31</c:f>
              <c:strCache>
                <c:ptCount val="1"/>
                <c:pt idx="0">
                  <c:v>234.5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'R2P1EA'!$AP$31:$BC$31</c:f>
              <c:numCache>
                <c:formatCode>0.0</c:formatCode>
                <c:ptCount val="14"/>
                <c:pt idx="0">
                  <c:v>130.51771117166211</c:v>
                </c:pt>
                <c:pt idx="1">
                  <c:v>48.380355276906997</c:v>
                </c:pt>
                <c:pt idx="2">
                  <c:v>82.481751824817522</c:v>
                </c:pt>
                <c:pt idx="3">
                  <c:v>55.133614627285517</c:v>
                </c:pt>
                <c:pt idx="4">
                  <c:v>25.541125541125542</c:v>
                </c:pt>
                <c:pt idx="5">
                  <c:v>12.758620689655174</c:v>
                </c:pt>
                <c:pt idx="6">
                  <c:v>11.764705882352942</c:v>
                </c:pt>
                <c:pt idx="7">
                  <c:v>8.6206896551724128</c:v>
                </c:pt>
                <c:pt idx="8">
                  <c:v>6.8241469816272966</c:v>
                </c:pt>
                <c:pt idx="9">
                  <c:v>5.8823529411764701</c:v>
                </c:pt>
                <c:pt idx="10">
                  <c:v>6.4257028112449799</c:v>
                </c:pt>
                <c:pt idx="11">
                  <c:v>6.3888888888888893</c:v>
                </c:pt>
                <c:pt idx="12">
                  <c:v>6.4516129032258069</c:v>
                </c:pt>
                <c:pt idx="13">
                  <c:v>7.1052631578947372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3-934C-ADB4-8B1DDD774C35}"/>
            </c:ext>
          </c:extLst>
        </c:ser>
        <c:ser>
          <c:idx val="8"/>
          <c:order val="8"/>
          <c:tx>
            <c:strRef>
              <c:f>'R2P1EA'!$AO$32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'R2P1EA'!$AP$32:$BC$32</c:f>
              <c:numCache>
                <c:formatCode>0.0</c:formatCode>
                <c:ptCount val="14"/>
                <c:pt idx="0">
                  <c:v>51.771117166212534</c:v>
                </c:pt>
                <c:pt idx="1">
                  <c:v>40.543364681295714</c:v>
                </c:pt>
                <c:pt idx="2">
                  <c:v>27.518248175182478</c:v>
                </c:pt>
                <c:pt idx="3">
                  <c:v>18.143459915611817</c:v>
                </c:pt>
                <c:pt idx="4">
                  <c:v>8.6580086580086579</c:v>
                </c:pt>
                <c:pt idx="5">
                  <c:v>5.5172413793103452</c:v>
                </c:pt>
                <c:pt idx="6">
                  <c:v>4.9019607843137258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3.5294117647058818</c:v>
                </c:pt>
                <c:pt idx="10">
                  <c:v>3.6144578313253013</c:v>
                </c:pt>
                <c:pt idx="11">
                  <c:v>3.6111111111111116</c:v>
                </c:pt>
                <c:pt idx="12">
                  <c:v>3.6290322580645165</c:v>
                </c:pt>
                <c:pt idx="13">
                  <c:v>4.2105263157894735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3-934C-ADB4-8B1DDD774C35}"/>
            </c:ext>
          </c:extLst>
        </c:ser>
        <c:ser>
          <c:idx val="9"/>
          <c:order val="9"/>
          <c:tx>
            <c:strRef>
              <c:f>'R2P1EA'!$AO$33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'R2P1EA'!$AP$33:$BC$33</c:f>
              <c:numCache>
                <c:formatCode>0.0</c:formatCode>
                <c:ptCount val="14"/>
                <c:pt idx="0">
                  <c:v>92.915531335149865</c:v>
                </c:pt>
                <c:pt idx="1">
                  <c:v>44.096133751306169</c:v>
                </c:pt>
                <c:pt idx="2">
                  <c:v>50.145985401459853</c:v>
                </c:pt>
                <c:pt idx="3">
                  <c:v>32.63009845288326</c:v>
                </c:pt>
                <c:pt idx="4">
                  <c:v>18.181818181818183</c:v>
                </c:pt>
                <c:pt idx="5">
                  <c:v>12.758620689655174</c:v>
                </c:pt>
                <c:pt idx="6">
                  <c:v>10.784313725490195</c:v>
                </c:pt>
                <c:pt idx="7">
                  <c:v>8.6206896551724128</c:v>
                </c:pt>
                <c:pt idx="8">
                  <c:v>8.3989501312335957</c:v>
                </c:pt>
                <c:pt idx="9">
                  <c:v>8.235294117647058</c:v>
                </c:pt>
                <c:pt idx="10">
                  <c:v>8.0321285140562253</c:v>
                </c:pt>
                <c:pt idx="11">
                  <c:v>9.1666666666666679</c:v>
                </c:pt>
                <c:pt idx="12">
                  <c:v>8.870967741935484</c:v>
                </c:pt>
                <c:pt idx="13">
                  <c:v>9.2105263157894726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3-934C-ADB4-8B1DDD774C35}"/>
            </c:ext>
          </c:extLst>
        </c:ser>
        <c:ser>
          <c:idx val="10"/>
          <c:order val="10"/>
          <c:tx>
            <c:strRef>
              <c:f>'R2P1EA'!$AO$34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'R2P1EA'!$AP$34:$BC$34</c:f>
              <c:numCache>
                <c:formatCode>0.0</c:formatCode>
                <c:ptCount val="14"/>
                <c:pt idx="0">
                  <c:v>51.22615803814714</c:v>
                </c:pt>
                <c:pt idx="1">
                  <c:v>46.290491118077327</c:v>
                </c:pt>
                <c:pt idx="2">
                  <c:v>27.518248175182478</c:v>
                </c:pt>
                <c:pt idx="3">
                  <c:v>18.143459915611817</c:v>
                </c:pt>
                <c:pt idx="4">
                  <c:v>9.0909090909090917</c:v>
                </c:pt>
                <c:pt idx="5">
                  <c:v>6.666666666666667</c:v>
                </c:pt>
                <c:pt idx="6">
                  <c:v>5.5555555555555554</c:v>
                </c:pt>
                <c:pt idx="7">
                  <c:v>5.1724137931034475</c:v>
                </c:pt>
                <c:pt idx="8">
                  <c:v>3.9370078740157481</c:v>
                </c:pt>
                <c:pt idx="9">
                  <c:v>3.5294117647058818</c:v>
                </c:pt>
                <c:pt idx="10">
                  <c:v>4.0160642570281126</c:v>
                </c:pt>
                <c:pt idx="11">
                  <c:v>4.4444444444444446</c:v>
                </c:pt>
                <c:pt idx="12">
                  <c:v>4.435483870967742</c:v>
                </c:pt>
                <c:pt idx="13">
                  <c:v>4.7368421052631575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F3-934C-ADB4-8B1DDD774C35}"/>
            </c:ext>
          </c:extLst>
        </c:ser>
        <c:ser>
          <c:idx val="11"/>
          <c:order val="11"/>
          <c:tx>
            <c:strRef>
              <c:f>'R2P1EA'!$AO$35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'R2P1EA'!$AP$35:$BC$35</c:f>
              <c:numCache>
                <c:formatCode>0.0</c:formatCode>
                <c:ptCount val="14"/>
                <c:pt idx="0">
                  <c:v>45.504087193460492</c:v>
                </c:pt>
                <c:pt idx="1">
                  <c:v>34.169278996865209</c:v>
                </c:pt>
                <c:pt idx="2">
                  <c:v>23.284671532846712</c:v>
                </c:pt>
                <c:pt idx="3">
                  <c:v>14.908579465541491</c:v>
                </c:pt>
                <c:pt idx="4">
                  <c:v>6.9264069264069263</c:v>
                </c:pt>
                <c:pt idx="5">
                  <c:v>4.8275862068965516</c:v>
                </c:pt>
                <c:pt idx="6">
                  <c:v>4.2483660130718954</c:v>
                </c:pt>
                <c:pt idx="7">
                  <c:v>3.4482758620689657</c:v>
                </c:pt>
                <c:pt idx="8">
                  <c:v>3.1496062992125982</c:v>
                </c:pt>
                <c:pt idx="9">
                  <c:v>2.3529411764705883</c:v>
                </c:pt>
                <c:pt idx="10">
                  <c:v>2.8112449799196786</c:v>
                </c:pt>
                <c:pt idx="11">
                  <c:v>3.0555555555555558</c:v>
                </c:pt>
                <c:pt idx="12">
                  <c:v>3.2258064516129035</c:v>
                </c:pt>
                <c:pt idx="13">
                  <c:v>3.9473684210526314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F3-934C-ADB4-8B1DDD774C35}"/>
            </c:ext>
          </c:extLst>
        </c:ser>
        <c:ser>
          <c:idx val="12"/>
          <c:order val="12"/>
          <c:tx>
            <c:strRef>
              <c:f>'R2P1EA'!$AO$36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'R2P1EA'!$AP$22:$BC$22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'R2P1EA'!$AP$36:$BC$36</c:f>
              <c:numCache>
                <c:formatCode>0.0</c:formatCode>
                <c:ptCount val="14"/>
                <c:pt idx="0">
                  <c:v>268.66485013623975</c:v>
                </c:pt>
                <c:pt idx="1">
                  <c:v>245.55903866248696</c:v>
                </c:pt>
                <c:pt idx="2">
                  <c:v>145.98540145985399</c:v>
                </c:pt>
                <c:pt idx="3">
                  <c:v>86.77918424753868</c:v>
                </c:pt>
                <c:pt idx="4">
                  <c:v>33.333333333333336</c:v>
                </c:pt>
                <c:pt idx="5">
                  <c:v>14.482758620689657</c:v>
                </c:pt>
                <c:pt idx="6">
                  <c:v>12.745098039215685</c:v>
                </c:pt>
                <c:pt idx="7">
                  <c:v>8.6206896551724128</c:v>
                </c:pt>
                <c:pt idx="8">
                  <c:v>6.5616797900262469</c:v>
                </c:pt>
                <c:pt idx="9">
                  <c:v>5.8823529411764701</c:v>
                </c:pt>
                <c:pt idx="10">
                  <c:v>5.6224899598393572</c:v>
                </c:pt>
                <c:pt idx="11">
                  <c:v>5.8333333333333339</c:v>
                </c:pt>
                <c:pt idx="12">
                  <c:v>6.0483870967741939</c:v>
                </c:pt>
                <c:pt idx="13">
                  <c:v>6.5789473684210531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F3-934C-ADB4-8B1DDD774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151880"/>
        <c:axId val="-2137872424"/>
      </c:lineChart>
      <c:catAx>
        <c:axId val="-2137151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7872424"/>
        <c:crosses val="autoZero"/>
        <c:auto val="1"/>
        <c:lblAlgn val="ctr"/>
        <c:lblOffset val="100"/>
        <c:noMultiLvlLbl val="0"/>
      </c:catAx>
      <c:valAx>
        <c:axId val="-2137872424"/>
        <c:scaling>
          <c:logBase val="10"/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7151880"/>
        <c:crosses val="autoZero"/>
        <c:crossBetween val="between"/>
      </c:val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9521206294344602"/>
          <c:y val="6.24677012460821E-2"/>
          <c:w val="8.7786391461500093E-2"/>
          <c:h val="0.86082511530718797"/>
        </c:manualLayout>
      </c:layout>
      <c:overlay val="0"/>
      <c:spPr>
        <a:ln w="15875">
          <a:noFill/>
        </a:ln>
      </c:spPr>
    </c:legend>
    <c:plotVisOnly val="1"/>
    <c:dispBlanksAs val="gap"/>
    <c:showDLblsOverMax val="0"/>
  </c:chart>
  <c:spPr>
    <a:ln w="15875">
      <a:noFill/>
    </a:ln>
  </c:sp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'R2P1EA'!$BD$24:$BD$36</c:f>
              <c:numCache>
                <c:formatCode>0.0</c:formatCode>
                <c:ptCount val="13"/>
                <c:pt idx="0">
                  <c:v>227.88000000000002</c:v>
                </c:pt>
                <c:pt idx="1">
                  <c:v>274.36</c:v>
                </c:pt>
                <c:pt idx="2">
                  <c:v>276.75000000000011</c:v>
                </c:pt>
                <c:pt idx="3">
                  <c:v>219.83000000000004</c:v>
                </c:pt>
                <c:pt idx="4">
                  <c:v>224.72000000000003</c:v>
                </c:pt>
                <c:pt idx="5">
                  <c:v>505.48999999999995</c:v>
                </c:pt>
                <c:pt idx="6">
                  <c:v>733.4899999999999</c:v>
                </c:pt>
                <c:pt idx="7">
                  <c:v>162.60999999999999</c:v>
                </c:pt>
                <c:pt idx="8">
                  <c:v>82.34</c:v>
                </c:pt>
                <c:pt idx="9">
                  <c:v>124.26000000000002</c:v>
                </c:pt>
                <c:pt idx="10">
                  <c:v>88.689999999999984</c:v>
                </c:pt>
                <c:pt idx="11">
                  <c:v>69.870000000000019</c:v>
                </c:pt>
                <c:pt idx="12">
                  <c:v>435.01999999999992</c:v>
                </c:pt>
              </c:numCache>
            </c:numRef>
          </c:xVal>
          <c:yVal>
            <c:numRef>
              <c:f>'R2P1EA'!$AO$24:$AO$36</c:f>
              <c:numCache>
                <c:formatCode>General</c:formatCode>
                <c:ptCount val="13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78-9C43-803D-43EE5548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106680"/>
        <c:axId val="-2135518616"/>
      </c:scatterChart>
      <c:valAx>
        <c:axId val="-2137106680"/>
        <c:scaling>
          <c:orientation val="minMax"/>
          <c:max val="12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R2P2 Sum REE (ppm)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5518616"/>
        <c:crosses val="autoZero"/>
        <c:crossBetween val="midCat"/>
      </c:valAx>
      <c:valAx>
        <c:axId val="-2135518616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7106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'R2P1EA'!$M$7:$M$21</c:f>
              <c:numCache>
                <c:formatCode>General</c:formatCode>
                <c:ptCount val="15"/>
                <c:pt idx="0">
                  <c:v>2.93</c:v>
                </c:pt>
                <c:pt idx="1">
                  <c:v>1.1000000000000001</c:v>
                </c:pt>
                <c:pt idx="2">
                  <c:v>3.24</c:v>
                </c:pt>
                <c:pt idx="3">
                  <c:v>1.36</c:v>
                </c:pt>
                <c:pt idx="4">
                  <c:v>2.83</c:v>
                </c:pt>
                <c:pt idx="5">
                  <c:v>6.6</c:v>
                </c:pt>
                <c:pt idx="6">
                  <c:v>6.65</c:v>
                </c:pt>
                <c:pt idx="7">
                  <c:v>2.11</c:v>
                </c:pt>
                <c:pt idx="8">
                  <c:v>2.68</c:v>
                </c:pt>
                <c:pt idx="9">
                  <c:v>1.97</c:v>
                </c:pt>
                <c:pt idx="10">
                  <c:v>2.41</c:v>
                </c:pt>
                <c:pt idx="11">
                  <c:v>3.23</c:v>
                </c:pt>
                <c:pt idx="12">
                  <c:v>5.74</c:v>
                </c:pt>
                <c:pt idx="13">
                  <c:v>0.92</c:v>
                </c:pt>
                <c:pt idx="14">
                  <c:v>3.17</c:v>
                </c:pt>
              </c:numCache>
            </c:numRef>
          </c:xVal>
          <c:yVal>
            <c:numRef>
              <c:f>'R2P1EA'!$E$7:$E$21</c:f>
              <c:numCache>
                <c:formatCode>General</c:formatCode>
                <c:ptCount val="15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  <c:pt idx="13">
                  <c:v>1000</c:v>
                </c:pt>
                <c:pt idx="1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FA-6A40-89AD-70C6A359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344760"/>
        <c:axId val="-2135339352"/>
      </c:scatterChart>
      <c:valAx>
        <c:axId val="-2135344760"/>
        <c:scaling>
          <c:orientation val="minMax"/>
          <c:max val="6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R2P2 K2O%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35339352"/>
        <c:crosses val="autoZero"/>
        <c:crossBetween val="midCat"/>
      </c:valAx>
      <c:valAx>
        <c:axId val="-2135339352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344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R2P1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'R2P1EA'!$BK$7:$BK$20</c:f>
              <c:numCache>
                <c:formatCode>General</c:formatCode>
                <c:ptCount val="14"/>
                <c:pt idx="0">
                  <c:v>95.955056179775283</c:v>
                </c:pt>
                <c:pt idx="1">
                  <c:v>96.971027216856896</c:v>
                </c:pt>
                <c:pt idx="2">
                  <c:v>96.15773508594539</c:v>
                </c:pt>
                <c:pt idx="3">
                  <c:v>94.695571955719558</c:v>
                </c:pt>
                <c:pt idx="4">
                  <c:v>95.08110936682364</c:v>
                </c:pt>
                <c:pt idx="5">
                  <c:v>95.759233926128601</c:v>
                </c:pt>
                <c:pt idx="6">
                  <c:v>95.134779750164384</c:v>
                </c:pt>
                <c:pt idx="7">
                  <c:v>90.704360325826542</c:v>
                </c:pt>
                <c:pt idx="8">
                  <c:v>92.881165919282509</c:v>
                </c:pt>
                <c:pt idx="9">
                  <c:v>93.755656108597279</c:v>
                </c:pt>
                <c:pt idx="10">
                  <c:v>94.807280513918641</c:v>
                </c:pt>
                <c:pt idx="11">
                  <c:v>94.767441860465127</c:v>
                </c:pt>
                <c:pt idx="12">
                  <c:v>94.458598726114644</c:v>
                </c:pt>
                <c:pt idx="13">
                  <c:v>65.087636191378493</c:v>
                </c:pt>
              </c:numCache>
            </c:numRef>
          </c:xVal>
          <c:yVal>
            <c:numRef>
              <c:f>'R2P1EA'!$E$7:$E$20</c:f>
              <c:numCache>
                <c:formatCode>General</c:formatCode>
                <c:ptCount val="14"/>
                <c:pt idx="0">
                  <c:v>7.5</c:v>
                </c:pt>
                <c:pt idx="1">
                  <c:v>35</c:v>
                </c:pt>
                <c:pt idx="2">
                  <c:v>66</c:v>
                </c:pt>
                <c:pt idx="3">
                  <c:v>83.5</c:v>
                </c:pt>
                <c:pt idx="4">
                  <c:v>100</c:v>
                </c:pt>
                <c:pt idx="5">
                  <c:v>118.5</c:v>
                </c:pt>
                <c:pt idx="6">
                  <c:v>174.5</c:v>
                </c:pt>
                <c:pt idx="7">
                  <c:v>234.5</c:v>
                </c:pt>
                <c:pt idx="8">
                  <c:v>350</c:v>
                </c:pt>
                <c:pt idx="9">
                  <c:v>450</c:v>
                </c:pt>
                <c:pt idx="10">
                  <c:v>550</c:v>
                </c:pt>
                <c:pt idx="11">
                  <c:v>650</c:v>
                </c:pt>
                <c:pt idx="12">
                  <c:v>750</c:v>
                </c:pt>
                <c:pt idx="13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C3-4947-82C1-DC4CCC95F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R2H1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464925838124543"/>
          <c:y val="0.15321505871938954"/>
          <c:w val="0.73854508231472693"/>
          <c:h val="0.727299720035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'R2H1EA'!$E$27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'R2H1EA'!$E$28:$E$41</c:f>
              <c:numCache>
                <c:formatCode>0.00</c:formatCode>
                <c:ptCount val="14"/>
                <c:pt idx="0">
                  <c:v>-5.9026250183309426E-3</c:v>
                </c:pt>
                <c:pt idx="1">
                  <c:v>8.416150182823956E-2</c:v>
                </c:pt>
                <c:pt idx="2">
                  <c:v>-3.8968619958734019E-2</c:v>
                </c:pt>
                <c:pt idx="3">
                  <c:v>-0.10129111447265582</c:v>
                </c:pt>
                <c:pt idx="4">
                  <c:v>-0.20242535581346077</c:v>
                </c:pt>
                <c:pt idx="5">
                  <c:v>-0.11090224728588127</c:v>
                </c:pt>
                <c:pt idx="6">
                  <c:v>1.1375271422615629E-2</c:v>
                </c:pt>
                <c:pt idx="7">
                  <c:v>0.27553966020908915</c:v>
                </c:pt>
                <c:pt idx="8">
                  <c:v>2.9328447460010842E-2</c:v>
                </c:pt>
                <c:pt idx="9">
                  <c:v>-0.21224048352292957</c:v>
                </c:pt>
                <c:pt idx="10">
                  <c:v>-0.34456331620749137</c:v>
                </c:pt>
                <c:pt idx="11">
                  <c:v>-0.21347167350724228</c:v>
                </c:pt>
                <c:pt idx="12">
                  <c:v>0.11402337934137186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C-424E-B56A-CAB567DCC9E7}"/>
            </c:ext>
          </c:extLst>
        </c:ser>
        <c:ser>
          <c:idx val="1"/>
          <c:order val="1"/>
          <c:tx>
            <c:strRef>
              <c:f>'R2H1EA'!$F$27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'R2H1EA'!$F$28:$F$41</c:f>
              <c:numCache>
                <c:formatCode>0.00</c:formatCode>
                <c:ptCount val="14"/>
                <c:pt idx="0">
                  <c:v>-0.36525157232704397</c:v>
                </c:pt>
                <c:pt idx="1">
                  <c:v>-0.30901214159493817</c:v>
                </c:pt>
                <c:pt idx="2">
                  <c:v>-0.27851824600129638</c:v>
                </c:pt>
                <c:pt idx="3">
                  <c:v>-0.17879555440682349</c:v>
                </c:pt>
                <c:pt idx="4">
                  <c:v>-0.11350007313149046</c:v>
                </c:pt>
                <c:pt idx="5">
                  <c:v>-8.7497617686296825E-2</c:v>
                </c:pt>
                <c:pt idx="6">
                  <c:v>-0.13626517699367269</c:v>
                </c:pt>
                <c:pt idx="7">
                  <c:v>0.12214888681636671</c:v>
                </c:pt>
                <c:pt idx="8">
                  <c:v>-3.610883237626461E-2</c:v>
                </c:pt>
                <c:pt idx="9">
                  <c:v>-0.14169715055833676</c:v>
                </c:pt>
                <c:pt idx="10">
                  <c:v>-0.26593921235187734</c:v>
                </c:pt>
                <c:pt idx="11">
                  <c:v>-0.20248749196191917</c:v>
                </c:pt>
                <c:pt idx="12">
                  <c:v>7.5915147638844438E-2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8C-424E-B56A-CAB567DCC9E7}"/>
            </c:ext>
          </c:extLst>
        </c:ser>
        <c:ser>
          <c:idx val="2"/>
          <c:order val="2"/>
          <c:tx>
            <c:strRef>
              <c:f>'R2H1EA'!$G$27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'R2H1EA'!$G$28:$G$41</c:f>
              <c:numCache>
                <c:formatCode>0.00</c:formatCode>
                <c:ptCount val="14"/>
                <c:pt idx="0">
                  <c:v>-0.40187499999999998</c:v>
                </c:pt>
                <c:pt idx="1">
                  <c:v>-0.4097054380664652</c:v>
                </c:pt>
                <c:pt idx="2">
                  <c:v>-0.36910863509749303</c:v>
                </c:pt>
                <c:pt idx="3">
                  <c:v>-0.30737671232876707</c:v>
                </c:pt>
                <c:pt idx="4">
                  <c:v>-0.18395348837209302</c:v>
                </c:pt>
                <c:pt idx="5">
                  <c:v>-0.26401515151515154</c:v>
                </c:pt>
                <c:pt idx="6">
                  <c:v>-0.31092145015105743</c:v>
                </c:pt>
                <c:pt idx="7">
                  <c:v>-0.22675855513307985</c:v>
                </c:pt>
                <c:pt idx="8">
                  <c:v>-0.14305900621118006</c:v>
                </c:pt>
                <c:pt idx="9">
                  <c:v>-2.3469387755102211E-2</c:v>
                </c:pt>
                <c:pt idx="10">
                  <c:v>-4.5053648068669627E-2</c:v>
                </c:pt>
                <c:pt idx="11">
                  <c:v>-9.7094763092269387E-2</c:v>
                </c:pt>
                <c:pt idx="12">
                  <c:v>-0.11058474576271182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8C-424E-B56A-CAB567DCC9E7}"/>
            </c:ext>
          </c:extLst>
        </c:ser>
        <c:ser>
          <c:idx val="3"/>
          <c:order val="3"/>
          <c:tx>
            <c:strRef>
              <c:f>'R2H1EA'!$I$27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'R2H1EA'!$I$28:$I$41</c:f>
              <c:numCache>
                <c:formatCode>0.00</c:formatCode>
                <c:ptCount val="14"/>
                <c:pt idx="0">
                  <c:v>-0.79629629629629628</c:v>
                </c:pt>
                <c:pt idx="1">
                  <c:v>-0.7858341725411212</c:v>
                </c:pt>
                <c:pt idx="2">
                  <c:v>-0.78843347924127871</c:v>
                </c:pt>
                <c:pt idx="3">
                  <c:v>-0.63931289410741465</c:v>
                </c:pt>
                <c:pt idx="4">
                  <c:v>-0.6598170706697839</c:v>
                </c:pt>
                <c:pt idx="5">
                  <c:v>-0.6373256373256373</c:v>
                </c:pt>
                <c:pt idx="6">
                  <c:v>-0.63285858149906493</c:v>
                </c:pt>
                <c:pt idx="7">
                  <c:v>-0.55718510471362181</c:v>
                </c:pt>
                <c:pt idx="8">
                  <c:v>-7.2217292714187198E-2</c:v>
                </c:pt>
                <c:pt idx="9">
                  <c:v>0.44671201814058947</c:v>
                </c:pt>
                <c:pt idx="10">
                  <c:v>0.14091559370529327</c:v>
                </c:pt>
                <c:pt idx="11">
                  <c:v>0.11119027827257244</c:v>
                </c:pt>
                <c:pt idx="12">
                  <c:v>1.2698412698412653E-2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8C-424E-B56A-CAB567DCC9E7}"/>
            </c:ext>
          </c:extLst>
        </c:ser>
        <c:ser>
          <c:idx val="4"/>
          <c:order val="4"/>
          <c:tx>
            <c:strRef>
              <c:f>'R2H1EA'!$J$27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'R2H1EA'!$J$28:$J$41</c:f>
              <c:numCache>
                <c:formatCode>0.00</c:formatCode>
                <c:ptCount val="14"/>
                <c:pt idx="0">
                  <c:v>-0.61559139784946226</c:v>
                </c:pt>
                <c:pt idx="1">
                  <c:v>-0.65802553357372573</c:v>
                </c:pt>
                <c:pt idx="2">
                  <c:v>-0.74202533920388181</c:v>
                </c:pt>
                <c:pt idx="3">
                  <c:v>-0.60530269553689786</c:v>
                </c:pt>
                <c:pt idx="4">
                  <c:v>-0.84046011502875717</c:v>
                </c:pt>
                <c:pt idx="5">
                  <c:v>-0.80156402737047894</c:v>
                </c:pt>
                <c:pt idx="6">
                  <c:v>-0.84455706071532988</c:v>
                </c:pt>
                <c:pt idx="7">
                  <c:v>-0.76523978903471113</c:v>
                </c:pt>
                <c:pt idx="8">
                  <c:v>-0.55259467040673205</c:v>
                </c:pt>
                <c:pt idx="9">
                  <c:v>-0.26497695852534564</c:v>
                </c:pt>
                <c:pt idx="10">
                  <c:v>-0.7350131524297383</c:v>
                </c:pt>
                <c:pt idx="11">
                  <c:v>-0.5637519105462151</c:v>
                </c:pt>
                <c:pt idx="12">
                  <c:v>-0.33723346090759976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8C-424E-B56A-CAB567DCC9E7}"/>
            </c:ext>
          </c:extLst>
        </c:ser>
        <c:ser>
          <c:idx val="5"/>
          <c:order val="5"/>
          <c:tx>
            <c:strRef>
              <c:f>'R2H1EA'!$K$27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'R2H1EA'!$K$28:$K$41</c:f>
              <c:numCache>
                <c:formatCode>0.00</c:formatCode>
                <c:ptCount val="14"/>
                <c:pt idx="0">
                  <c:v>-0.3125</c:v>
                </c:pt>
                <c:pt idx="1">
                  <c:v>-0.27719033232628409</c:v>
                </c:pt>
                <c:pt idx="2">
                  <c:v>-0.35577994428969373</c:v>
                </c:pt>
                <c:pt idx="3">
                  <c:v>-0.23527397260273974</c:v>
                </c:pt>
                <c:pt idx="4">
                  <c:v>-0.4642118863049095</c:v>
                </c:pt>
                <c:pt idx="5">
                  <c:v>-0.29696969696969699</c:v>
                </c:pt>
                <c:pt idx="6">
                  <c:v>-0.25309667673716019</c:v>
                </c:pt>
                <c:pt idx="7">
                  <c:v>9.1634980988593018E-2</c:v>
                </c:pt>
                <c:pt idx="8">
                  <c:v>-0.52942546583850936</c:v>
                </c:pt>
                <c:pt idx="9">
                  <c:v>-0.6948341836734695</c:v>
                </c:pt>
                <c:pt idx="10">
                  <c:v>-0.82886266094420602</c:v>
                </c:pt>
                <c:pt idx="11">
                  <c:v>-0.50280548628428923</c:v>
                </c:pt>
                <c:pt idx="12">
                  <c:v>0.18949152542372882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8C-424E-B56A-CAB567DCC9E7}"/>
            </c:ext>
          </c:extLst>
        </c:ser>
        <c:ser>
          <c:idx val="6"/>
          <c:order val="6"/>
          <c:tx>
            <c:strRef>
              <c:f>'R2H1EA'!$L$27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'R2H1EA'!$L$28:$L$41</c:f>
              <c:numCache>
                <c:formatCode>0.00</c:formatCode>
                <c:ptCount val="14"/>
                <c:pt idx="0">
                  <c:v>0.1394514767932491</c:v>
                </c:pt>
                <c:pt idx="1">
                  <c:v>0.23457111170599254</c:v>
                </c:pt>
                <c:pt idx="2">
                  <c:v>0.22826416557949303</c:v>
                </c:pt>
                <c:pt idx="3">
                  <c:v>0.18816022195248827</c:v>
                </c:pt>
                <c:pt idx="4">
                  <c:v>7.8880057567134232E-2</c:v>
                </c:pt>
                <c:pt idx="5">
                  <c:v>0.3415420023014959</c:v>
                </c:pt>
                <c:pt idx="6">
                  <c:v>0.57615205170369777</c:v>
                </c:pt>
                <c:pt idx="7">
                  <c:v>0.95603792655340047</c:v>
                </c:pt>
                <c:pt idx="8">
                  <c:v>-2.4365123044264414E-2</c:v>
                </c:pt>
                <c:pt idx="9">
                  <c:v>-0.35928054766210293</c:v>
                </c:pt>
                <c:pt idx="10">
                  <c:v>-0.55460965936871853</c:v>
                </c:pt>
                <c:pt idx="11">
                  <c:v>-0.15816787146058919</c:v>
                </c:pt>
                <c:pt idx="12">
                  <c:v>0.53579918472430821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8C-424E-B56A-CAB567DCC9E7}"/>
            </c:ext>
          </c:extLst>
        </c:ser>
        <c:ser>
          <c:idx val="7"/>
          <c:order val="7"/>
          <c:tx>
            <c:strRef>
              <c:f>'R2H1EA'!$O$27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'R2H1EA'!$O$28:$O$41</c:f>
              <c:numCache>
                <c:formatCode>0.00</c:formatCode>
                <c:ptCount val="14"/>
                <c:pt idx="0">
                  <c:v>6.9141914191419129E-2</c:v>
                </c:pt>
                <c:pt idx="1">
                  <c:v>-0.26526278005444048</c:v>
                </c:pt>
                <c:pt idx="2">
                  <c:v>-0.37711464739788736</c:v>
                </c:pt>
                <c:pt idx="3">
                  <c:v>-0.19525294995252929</c:v>
                </c:pt>
                <c:pt idx="4">
                  <c:v>-8.7568756875687548E-2</c:v>
                </c:pt>
                <c:pt idx="5">
                  <c:v>-0.21518151815181519</c:v>
                </c:pt>
                <c:pt idx="6">
                  <c:v>-0.36068319822918848</c:v>
                </c:pt>
                <c:pt idx="7">
                  <c:v>-0.24101946316304634</c:v>
                </c:pt>
                <c:pt idx="8">
                  <c:v>-2.108726400590355E-2</c:v>
                </c:pt>
                <c:pt idx="9">
                  <c:v>-2.6692261062841061E-2</c:v>
                </c:pt>
                <c:pt idx="10">
                  <c:v>-7.6875026558450021E-2</c:v>
                </c:pt>
                <c:pt idx="11">
                  <c:v>-0.16510703439421248</c:v>
                </c:pt>
                <c:pt idx="12">
                  <c:v>-0.1713173351233428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8C-424E-B56A-CAB567DCC9E7}"/>
            </c:ext>
          </c:extLst>
        </c:ser>
        <c:ser>
          <c:idx val="8"/>
          <c:order val="8"/>
          <c:tx>
            <c:strRef>
              <c:f>'R2H1EA'!$M$27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'R2H1EA'!$M$28:$M$41</c:f>
              <c:numCache>
                <c:formatCode>0.00</c:formatCode>
                <c:ptCount val="14"/>
                <c:pt idx="0">
                  <c:v>0</c:v>
                </c:pt>
                <c:pt idx="1">
                  <c:v>-1.1102230246251565E-16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-1.1102230246251565E-16</c:v>
                </c:pt>
                <c:pt idx="7">
                  <c:v>0</c:v>
                </c:pt>
                <c:pt idx="8">
                  <c:v>0</c:v>
                </c:pt>
                <c:pt idx="9">
                  <c:v>-1.1102230246251565E-16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'R2H1EA'!$E$7:$E$20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8C-424E-B56A-CAB567DC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6.3000879197400411E-2"/>
              <c:y val="0.429836120643608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R2H1 REE </a:t>
            </a:r>
          </a:p>
        </c:rich>
      </c:tx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'R2H1EA'!$E$7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'R2H1EA'!$AP$27:$BC$27</c:f>
              <c:numCache>
                <c:formatCode>General</c:formatCode>
                <c:ptCount val="14"/>
                <c:pt idx="0">
                  <c:v>238.14713896457766</c:v>
                </c:pt>
                <c:pt idx="1">
                  <c:v>183.90804597701151</c:v>
                </c:pt>
                <c:pt idx="2">
                  <c:v>127.73722627737226</c:v>
                </c:pt>
                <c:pt idx="3">
                  <c:v>79.184247538677923</c:v>
                </c:pt>
                <c:pt idx="4">
                  <c:v>37.229437229437224</c:v>
                </c:pt>
                <c:pt idx="5">
                  <c:v>17.471264367816094</c:v>
                </c:pt>
                <c:pt idx="6">
                  <c:v>18.627450980392158</c:v>
                </c:pt>
                <c:pt idx="7">
                  <c:v>13.793103448275863</c:v>
                </c:pt>
                <c:pt idx="8">
                  <c:v>12.598425196850393</c:v>
                </c:pt>
                <c:pt idx="9">
                  <c:v>10.588235294117647</c:v>
                </c:pt>
                <c:pt idx="10">
                  <c:v>10.843373493975905</c:v>
                </c:pt>
                <c:pt idx="11">
                  <c:v>10.555555555555557</c:v>
                </c:pt>
                <c:pt idx="12">
                  <c:v>10.080645161290322</c:v>
                </c:pt>
                <c:pt idx="13">
                  <c:v>11.052631578947368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0-DA42-A269-C33DC34BF5D4}"/>
            </c:ext>
          </c:extLst>
        </c:ser>
        <c:ser>
          <c:idx val="1"/>
          <c:order val="1"/>
          <c:tx>
            <c:strRef>
              <c:f>'R2H1EA'!$AO$28</c:f>
              <c:strCache>
                <c:ptCount val="1"/>
                <c:pt idx="0">
                  <c:v>14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'R2H1EA'!$AP$28:$BC$28</c:f>
              <c:numCache>
                <c:formatCode>General</c:formatCode>
                <c:ptCount val="14"/>
                <c:pt idx="0">
                  <c:v>381.47138964577658</c:v>
                </c:pt>
                <c:pt idx="1">
                  <c:v>198.53709508881923</c:v>
                </c:pt>
                <c:pt idx="2">
                  <c:v>208.02919708029196</c:v>
                </c:pt>
                <c:pt idx="3">
                  <c:v>127.14486638537272</c:v>
                </c:pt>
                <c:pt idx="4">
                  <c:v>53.679653679653676</c:v>
                </c:pt>
                <c:pt idx="5">
                  <c:v>26.321839080459771</c:v>
                </c:pt>
                <c:pt idx="6">
                  <c:v>27.777777777777779</c:v>
                </c:pt>
                <c:pt idx="7">
                  <c:v>18.96551724137931</c:v>
                </c:pt>
                <c:pt idx="8">
                  <c:v>17.060367454068242</c:v>
                </c:pt>
                <c:pt idx="9">
                  <c:v>15.294117647058822</c:v>
                </c:pt>
                <c:pt idx="10">
                  <c:v>14.859437751004016</c:v>
                </c:pt>
                <c:pt idx="11">
                  <c:v>14.722222222222223</c:v>
                </c:pt>
                <c:pt idx="12">
                  <c:v>13.709677419354838</c:v>
                </c:pt>
                <c:pt idx="13">
                  <c:v>14.473684210526317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0-DA42-A269-C33DC34BF5D4}"/>
            </c:ext>
          </c:extLst>
        </c:ser>
        <c:ser>
          <c:idx val="2"/>
          <c:order val="2"/>
          <c:tx>
            <c:strRef>
              <c:f>'R2H1EA'!$AO$29</c:f>
              <c:strCache>
                <c:ptCount val="1"/>
                <c:pt idx="0">
                  <c:v>25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'R2H1EA'!$AP$29:$BC$29</c:f>
              <c:numCache>
                <c:formatCode>General</c:formatCode>
                <c:ptCount val="14"/>
                <c:pt idx="0">
                  <c:v>452.31607629427793</c:v>
                </c:pt>
                <c:pt idx="1">
                  <c:v>289.44618599791016</c:v>
                </c:pt>
                <c:pt idx="2">
                  <c:v>235.76642335766419</c:v>
                </c:pt>
                <c:pt idx="3">
                  <c:v>147.67932489451476</c:v>
                </c:pt>
                <c:pt idx="4">
                  <c:v>61.038961038961034</c:v>
                </c:pt>
                <c:pt idx="5">
                  <c:v>29.080459770114942</c:v>
                </c:pt>
                <c:pt idx="6">
                  <c:v>31.372549019607842</c:v>
                </c:pt>
                <c:pt idx="7">
                  <c:v>22.413793103448274</c:v>
                </c:pt>
                <c:pt idx="8">
                  <c:v>18.110236220472441</c:v>
                </c:pt>
                <c:pt idx="9">
                  <c:v>15.294117647058822</c:v>
                </c:pt>
                <c:pt idx="10">
                  <c:v>15.261044176706827</c:v>
                </c:pt>
                <c:pt idx="11">
                  <c:v>15.555555555555559</c:v>
                </c:pt>
                <c:pt idx="12">
                  <c:v>14.516129032258066</c:v>
                </c:pt>
                <c:pt idx="13">
                  <c:v>15.263157894736841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0-DA42-A269-C33DC34BF5D4}"/>
            </c:ext>
          </c:extLst>
        </c:ser>
        <c:ser>
          <c:idx val="3"/>
          <c:order val="3"/>
          <c:tx>
            <c:strRef>
              <c:f>'R2H1EA'!$AO$30</c:f>
              <c:strCache>
                <c:ptCount val="1"/>
                <c:pt idx="0">
                  <c:v>35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'R2H1EA'!$AP$30:$BC$30</c:f>
              <c:numCache>
                <c:formatCode>General</c:formatCode>
                <c:ptCount val="14"/>
                <c:pt idx="0">
                  <c:v>392.37057220708448</c:v>
                </c:pt>
                <c:pt idx="1">
                  <c:v>331.24346917450367</c:v>
                </c:pt>
                <c:pt idx="2">
                  <c:v>203.64963503649633</c:v>
                </c:pt>
                <c:pt idx="3">
                  <c:v>124.61322081575246</c:v>
                </c:pt>
                <c:pt idx="4">
                  <c:v>50.216450216450212</c:v>
                </c:pt>
                <c:pt idx="5">
                  <c:v>24.137931034482762</c:v>
                </c:pt>
                <c:pt idx="6">
                  <c:v>24.836601307189543</c:v>
                </c:pt>
                <c:pt idx="7">
                  <c:v>17.241379310344826</c:v>
                </c:pt>
                <c:pt idx="8">
                  <c:v>14.698162729658792</c:v>
                </c:pt>
                <c:pt idx="9">
                  <c:v>12.941176470588236</c:v>
                </c:pt>
                <c:pt idx="10">
                  <c:v>12.449799196787149</c:v>
                </c:pt>
                <c:pt idx="11">
                  <c:v>11.944444444444445</c:v>
                </c:pt>
                <c:pt idx="12">
                  <c:v>11.29032258064516</c:v>
                </c:pt>
                <c:pt idx="13">
                  <c:v>11.578947368421053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0-DA42-A269-C33DC34BF5D4}"/>
            </c:ext>
          </c:extLst>
        </c:ser>
        <c:ser>
          <c:idx val="4"/>
          <c:order val="4"/>
          <c:tx>
            <c:strRef>
              <c:f>'R2H1EA'!$AO$31</c:f>
              <c:strCache>
                <c:ptCount val="1"/>
                <c:pt idx="0">
                  <c:v>62.5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'R2H1EA'!$AP$31:$BC$31</c:f>
              <c:numCache>
                <c:formatCode>General</c:formatCode>
                <c:ptCount val="14"/>
                <c:pt idx="0">
                  <c:v>422.34332425068123</c:v>
                </c:pt>
                <c:pt idx="1">
                  <c:v>405.43364681295719</c:v>
                </c:pt>
                <c:pt idx="2">
                  <c:v>229.19708029197076</c:v>
                </c:pt>
                <c:pt idx="3">
                  <c:v>142.05344585091422</c:v>
                </c:pt>
                <c:pt idx="4">
                  <c:v>52.38095238095238</c:v>
                </c:pt>
                <c:pt idx="5">
                  <c:v>20.344827586206897</c:v>
                </c:pt>
                <c:pt idx="6">
                  <c:v>19.607843137254903</c:v>
                </c:pt>
                <c:pt idx="7">
                  <c:v>13.793103448275863</c:v>
                </c:pt>
                <c:pt idx="8">
                  <c:v>10.498687664041995</c:v>
                </c:pt>
                <c:pt idx="9">
                  <c:v>8.235294117647058</c:v>
                </c:pt>
                <c:pt idx="10">
                  <c:v>8.4337349397590362</c:v>
                </c:pt>
                <c:pt idx="11">
                  <c:v>8.3333333333333339</c:v>
                </c:pt>
                <c:pt idx="12">
                  <c:v>8.064516129032258</c:v>
                </c:pt>
                <c:pt idx="13">
                  <c:v>8.6842105263157894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00-DA42-A269-C33DC34BF5D4}"/>
            </c:ext>
          </c:extLst>
        </c:ser>
        <c:ser>
          <c:idx val="5"/>
          <c:order val="5"/>
          <c:tx>
            <c:strRef>
              <c:f>'R2H1EA'!$AO$32</c:f>
              <c:strCache>
                <c:ptCount val="1"/>
                <c:pt idx="0">
                  <c:v>105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'R2H1EA'!$AP$32:$BC$32</c:f>
              <c:numCache>
                <c:formatCode>General</c:formatCode>
                <c:ptCount val="14"/>
                <c:pt idx="0">
                  <c:v>599.45504087193467</c:v>
                </c:pt>
                <c:pt idx="1">
                  <c:v>398.11912225705333</c:v>
                </c:pt>
                <c:pt idx="2">
                  <c:v>316.05839416058387</c:v>
                </c:pt>
                <c:pt idx="3">
                  <c:v>187.06047819971872</c:v>
                </c:pt>
                <c:pt idx="4">
                  <c:v>65.367965367965368</c:v>
                </c:pt>
                <c:pt idx="5">
                  <c:v>23.793103448275861</c:v>
                </c:pt>
                <c:pt idx="6">
                  <c:v>21.56862745098039</c:v>
                </c:pt>
                <c:pt idx="7">
                  <c:v>12.068965517241377</c:v>
                </c:pt>
                <c:pt idx="8">
                  <c:v>9.1863517060367457</c:v>
                </c:pt>
                <c:pt idx="9">
                  <c:v>7.0588235294117636</c:v>
                </c:pt>
                <c:pt idx="10">
                  <c:v>7.6305220883534135</c:v>
                </c:pt>
                <c:pt idx="11">
                  <c:v>6.9444444444444446</c:v>
                </c:pt>
                <c:pt idx="12">
                  <c:v>7.2580645161290329</c:v>
                </c:pt>
                <c:pt idx="13">
                  <c:v>7.3684210526315796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00-DA42-A269-C33DC34BF5D4}"/>
            </c:ext>
          </c:extLst>
        </c:ser>
        <c:ser>
          <c:idx val="6"/>
          <c:order val="6"/>
          <c:tx>
            <c:strRef>
              <c:f>'R2H1EA'!$AO$33</c:f>
              <c:strCache>
                <c:ptCount val="1"/>
                <c:pt idx="0">
                  <c:v>140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'R2H1EA'!$AP$33:$BC$33</c:f>
              <c:numCache>
                <c:formatCode>General</c:formatCode>
                <c:ptCount val="14"/>
                <c:pt idx="0">
                  <c:v>618.52861035422347</c:v>
                </c:pt>
                <c:pt idx="1">
                  <c:v>401.2539184952978</c:v>
                </c:pt>
                <c:pt idx="2">
                  <c:v>339.41605839416053</c:v>
                </c:pt>
                <c:pt idx="3">
                  <c:v>201.12517580872012</c:v>
                </c:pt>
                <c:pt idx="4">
                  <c:v>70.562770562770567</c:v>
                </c:pt>
                <c:pt idx="5">
                  <c:v>25.402298850574713</c:v>
                </c:pt>
                <c:pt idx="6">
                  <c:v>22.549019607843139</c:v>
                </c:pt>
                <c:pt idx="7">
                  <c:v>12.068965517241377</c:v>
                </c:pt>
                <c:pt idx="8">
                  <c:v>9.1863517060367457</c:v>
                </c:pt>
                <c:pt idx="9">
                  <c:v>7.0588235294117636</c:v>
                </c:pt>
                <c:pt idx="10">
                  <c:v>7.2289156626506026</c:v>
                </c:pt>
                <c:pt idx="11">
                  <c:v>7.2222222222222232</c:v>
                </c:pt>
                <c:pt idx="12">
                  <c:v>6.4516129032258069</c:v>
                </c:pt>
                <c:pt idx="13">
                  <c:v>7.3684210526315796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00-DA42-A269-C33DC34BF5D4}"/>
            </c:ext>
          </c:extLst>
        </c:ser>
        <c:ser>
          <c:idx val="7"/>
          <c:order val="7"/>
          <c:tx>
            <c:strRef>
              <c:f>'R2H1EA'!$AO$34</c:f>
              <c:strCache>
                <c:ptCount val="1"/>
                <c:pt idx="0">
                  <c:v>187.5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'R2H1EA'!$AP$34:$BC$34</c:f>
              <c:numCache>
                <c:formatCode>General</c:formatCode>
                <c:ptCount val="14"/>
                <c:pt idx="0">
                  <c:v>485.01362397820162</c:v>
                </c:pt>
                <c:pt idx="1">
                  <c:v>382.44514106583074</c:v>
                </c:pt>
                <c:pt idx="2">
                  <c:v>270.80291970802921</c:v>
                </c:pt>
                <c:pt idx="3">
                  <c:v>161.74402250351619</c:v>
                </c:pt>
                <c:pt idx="4">
                  <c:v>57.575757575757578</c:v>
                </c:pt>
                <c:pt idx="5">
                  <c:v>21.03448275862069</c:v>
                </c:pt>
                <c:pt idx="6">
                  <c:v>18.300653594771241</c:v>
                </c:pt>
                <c:pt idx="7">
                  <c:v>10.344827586206895</c:v>
                </c:pt>
                <c:pt idx="8">
                  <c:v>7.349081364829396</c:v>
                </c:pt>
                <c:pt idx="9">
                  <c:v>5.8823529411764701</c:v>
                </c:pt>
                <c:pt idx="10">
                  <c:v>5.6224899598393572</c:v>
                </c:pt>
                <c:pt idx="11">
                  <c:v>5.8333333333333339</c:v>
                </c:pt>
                <c:pt idx="12">
                  <c:v>5.241935483870968</c:v>
                </c:pt>
                <c:pt idx="13">
                  <c:v>5.7894736842105265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00-DA42-A269-C33DC34BF5D4}"/>
            </c:ext>
          </c:extLst>
        </c:ser>
        <c:ser>
          <c:idx val="8"/>
          <c:order val="8"/>
          <c:tx>
            <c:strRef>
              <c:f>'R2H1EA'!$AO$35</c:f>
              <c:strCache>
                <c:ptCount val="1"/>
                <c:pt idx="0">
                  <c:v>275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'R2H1EA'!$AP$35:$BC$35</c:f>
              <c:numCache>
                <c:formatCode>General</c:formatCode>
                <c:ptCount val="14"/>
                <c:pt idx="0">
                  <c:v>130.24523160762942</c:v>
                </c:pt>
                <c:pt idx="1">
                  <c:v>178.68338557993732</c:v>
                </c:pt>
                <c:pt idx="2">
                  <c:v>71.605839416058387</c:v>
                </c:pt>
                <c:pt idx="3">
                  <c:v>43.319268635724335</c:v>
                </c:pt>
                <c:pt idx="4">
                  <c:v>16.450216450216448</c:v>
                </c:pt>
                <c:pt idx="5">
                  <c:v>6.0919540229885065</c:v>
                </c:pt>
                <c:pt idx="6">
                  <c:v>5.5555555555555554</c:v>
                </c:pt>
                <c:pt idx="7">
                  <c:v>3.4482758620689657</c:v>
                </c:pt>
                <c:pt idx="8">
                  <c:v>2.8871391076115489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2.7777777777777781</c:v>
                </c:pt>
                <c:pt idx="12">
                  <c:v>3.2258064516129035</c:v>
                </c:pt>
                <c:pt idx="13">
                  <c:v>3.6842105263157898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00-DA42-A269-C33DC34BF5D4}"/>
            </c:ext>
          </c:extLst>
        </c:ser>
        <c:ser>
          <c:idx val="9"/>
          <c:order val="9"/>
          <c:tx>
            <c:strRef>
              <c:f>'R2H1EA'!$AO$36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'R2H1EA'!$AP$36:$BC$36</c:f>
              <c:numCache>
                <c:formatCode>General</c:formatCode>
                <c:ptCount val="14"/>
                <c:pt idx="0">
                  <c:v>61.30790190735695</c:v>
                </c:pt>
                <c:pt idx="1">
                  <c:v>98.328108672936253</c:v>
                </c:pt>
                <c:pt idx="2">
                  <c:v>35.036496350364956</c:v>
                </c:pt>
                <c:pt idx="3">
                  <c:v>22.362869198312239</c:v>
                </c:pt>
                <c:pt idx="4">
                  <c:v>9.5238095238095237</c:v>
                </c:pt>
                <c:pt idx="5">
                  <c:v>4.597701149425288</c:v>
                </c:pt>
                <c:pt idx="6">
                  <c:v>4.5751633986928102</c:v>
                </c:pt>
                <c:pt idx="7">
                  <c:v>3.4482758620689657</c:v>
                </c:pt>
                <c:pt idx="8">
                  <c:v>2.8871391076115489</c:v>
                </c:pt>
                <c:pt idx="9">
                  <c:v>2.3529411764705883</c:v>
                </c:pt>
                <c:pt idx="10">
                  <c:v>2.8112449799196786</c:v>
                </c:pt>
                <c:pt idx="11">
                  <c:v>3.0555555555555558</c:v>
                </c:pt>
                <c:pt idx="12">
                  <c:v>3.2258064516129035</c:v>
                </c:pt>
                <c:pt idx="13">
                  <c:v>3.6842105263157898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00-DA42-A269-C33DC34BF5D4}"/>
            </c:ext>
          </c:extLst>
        </c:ser>
        <c:ser>
          <c:idx val="10"/>
          <c:order val="10"/>
          <c:tx>
            <c:strRef>
              <c:f>'R2H1EA'!$AO$37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'R2H1EA'!$AP$37:$BC$37</c:f>
              <c:numCache>
                <c:formatCode>General</c:formatCode>
                <c:ptCount val="14"/>
                <c:pt idx="0">
                  <c:v>64.305177111716631</c:v>
                </c:pt>
                <c:pt idx="1">
                  <c:v>64.472309299895514</c:v>
                </c:pt>
                <c:pt idx="2">
                  <c:v>36.788321167883211</c:v>
                </c:pt>
                <c:pt idx="3">
                  <c:v>24.894514767932488</c:v>
                </c:pt>
                <c:pt idx="4">
                  <c:v>11.688311688311689</c:v>
                </c:pt>
                <c:pt idx="5">
                  <c:v>5.7471264367816097</c:v>
                </c:pt>
                <c:pt idx="6">
                  <c:v>5.882352941176471</c:v>
                </c:pt>
                <c:pt idx="7">
                  <c:v>3.4482758620689657</c:v>
                </c:pt>
                <c:pt idx="8">
                  <c:v>3.674540682414698</c:v>
                </c:pt>
                <c:pt idx="9">
                  <c:v>3.5294117647058818</c:v>
                </c:pt>
                <c:pt idx="10">
                  <c:v>3.6144578313253013</c:v>
                </c:pt>
                <c:pt idx="11">
                  <c:v>4.166666666666667</c:v>
                </c:pt>
                <c:pt idx="12">
                  <c:v>4.435483870967742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00-DA42-A269-C33DC34BF5D4}"/>
            </c:ext>
          </c:extLst>
        </c:ser>
        <c:ser>
          <c:idx val="11"/>
          <c:order val="11"/>
          <c:tx>
            <c:strRef>
              <c:f>'R2H1EA'!$AO$38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'R2H1EA'!$AP$38:$BC$38</c:f>
              <c:numCache>
                <c:formatCode>General</c:formatCode>
                <c:ptCount val="14"/>
                <c:pt idx="0">
                  <c:v>152.58855585831063</c:v>
                </c:pt>
                <c:pt idx="1">
                  <c:v>172.41379310344828</c:v>
                </c:pt>
                <c:pt idx="2">
                  <c:v>86.861313868613138</c:v>
                </c:pt>
                <c:pt idx="3">
                  <c:v>53.867791842475384</c:v>
                </c:pt>
                <c:pt idx="4">
                  <c:v>22.943722943722943</c:v>
                </c:pt>
                <c:pt idx="5">
                  <c:v>10.574712643678161</c:v>
                </c:pt>
                <c:pt idx="6">
                  <c:v>9.8039215686274517</c:v>
                </c:pt>
                <c:pt idx="7">
                  <c:v>6.8965517241379315</c:v>
                </c:pt>
                <c:pt idx="8">
                  <c:v>5.2493438320209975</c:v>
                </c:pt>
                <c:pt idx="9">
                  <c:v>4.7058823529411766</c:v>
                </c:pt>
                <c:pt idx="10">
                  <c:v>4.8192771084337345</c:v>
                </c:pt>
                <c:pt idx="11">
                  <c:v>4.7222222222222232</c:v>
                </c:pt>
                <c:pt idx="12">
                  <c:v>4.838709677419355</c:v>
                </c:pt>
                <c:pt idx="13">
                  <c:v>5.5263157894736841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00-DA42-A269-C33DC34BF5D4}"/>
            </c:ext>
          </c:extLst>
        </c:ser>
        <c:ser>
          <c:idx val="12"/>
          <c:order val="12"/>
          <c:tx>
            <c:strRef>
              <c:f>'R2H1EA'!$AO$39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'R2H1EA'!$AP$39:$BC$39</c:f>
              <c:numCache>
                <c:formatCode>General</c:formatCode>
                <c:ptCount val="14"/>
                <c:pt idx="0">
                  <c:v>147.68392370572209</c:v>
                </c:pt>
                <c:pt idx="1">
                  <c:v>154.64994775339605</c:v>
                </c:pt>
                <c:pt idx="2">
                  <c:v>81.751824817518241</c:v>
                </c:pt>
                <c:pt idx="3">
                  <c:v>49.226441631504926</c:v>
                </c:pt>
                <c:pt idx="4">
                  <c:v>19.913419913419911</c:v>
                </c:pt>
                <c:pt idx="5">
                  <c:v>9.7701149425287355</c:v>
                </c:pt>
                <c:pt idx="6">
                  <c:v>7.8431372549019605</c:v>
                </c:pt>
                <c:pt idx="7">
                  <c:v>5.1724137931034475</c:v>
                </c:pt>
                <c:pt idx="8">
                  <c:v>4.4619422572178475</c:v>
                </c:pt>
                <c:pt idx="9">
                  <c:v>3.5294117647058818</c:v>
                </c:pt>
                <c:pt idx="10">
                  <c:v>4.0160642570281126</c:v>
                </c:pt>
                <c:pt idx="11">
                  <c:v>4.4444444444444446</c:v>
                </c:pt>
                <c:pt idx="12">
                  <c:v>4.032258064516129</c:v>
                </c:pt>
                <c:pt idx="13">
                  <c:v>4.7368421052631575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00-DA42-A269-C33DC34BF5D4}"/>
            </c:ext>
          </c:extLst>
        </c:ser>
        <c:ser>
          <c:idx val="13"/>
          <c:order val="13"/>
          <c:tx>
            <c:strRef>
              <c:f>'R2H1EA'!$AO$40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'R2H1EA'!$AP$25:$BC$25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'R2H1EA'!$AP$40:$BC$40</c:f>
              <c:numCache>
                <c:formatCode>General</c:formatCode>
                <c:ptCount val="14"/>
                <c:pt idx="0">
                  <c:v>149.31880108991825</c:v>
                </c:pt>
                <c:pt idx="1">
                  <c:v>119.12225705329153</c:v>
                </c:pt>
                <c:pt idx="2">
                  <c:v>83.211678832116789</c:v>
                </c:pt>
                <c:pt idx="3">
                  <c:v>51.336146272855139</c:v>
                </c:pt>
                <c:pt idx="4">
                  <c:v>22.077922077922075</c:v>
                </c:pt>
                <c:pt idx="5">
                  <c:v>11.03448275862069</c:v>
                </c:pt>
                <c:pt idx="6">
                  <c:v>9.8039215686274517</c:v>
                </c:pt>
                <c:pt idx="7">
                  <c:v>6.8965517241379315</c:v>
                </c:pt>
                <c:pt idx="8">
                  <c:v>6.2992125984251963</c:v>
                </c:pt>
                <c:pt idx="9">
                  <c:v>4.7058823529411766</c:v>
                </c:pt>
                <c:pt idx="10">
                  <c:v>5.2208835341365463</c:v>
                </c:pt>
                <c:pt idx="11">
                  <c:v>5.5555555555555562</c:v>
                </c:pt>
                <c:pt idx="12">
                  <c:v>5.6451612903225801</c:v>
                </c:pt>
                <c:pt idx="13">
                  <c:v>6.3157894736842106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00-DA42-A269-C33DC34B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947944"/>
        <c:axId val="2116785416"/>
      </c:lineChart>
      <c:catAx>
        <c:axId val="2116947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2116785416"/>
        <c:crosses val="autoZero"/>
        <c:auto val="1"/>
        <c:lblAlgn val="ctr"/>
        <c:lblOffset val="100"/>
        <c:noMultiLvlLbl val="0"/>
      </c:catAx>
      <c:valAx>
        <c:axId val="211678541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2116947944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0420751460121496"/>
          <c:y val="4.7750063500126998E-2"/>
          <c:w val="8.2278971885271099E-2"/>
          <c:h val="0.87740309880619805"/>
        </c:manualLayout>
      </c:layout>
      <c:overlay val="0"/>
    </c:legend>
    <c:plotVisOnly val="1"/>
    <c:dispBlanksAs val="gap"/>
    <c:showDLblsOverMax val="0"/>
  </c:chart>
  <c:spPr>
    <a:ln>
      <a:noFill/>
    </a:ln>
  </c:spPr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'R2H1EA'!$BF$26:$BF$40</c:f>
              <c:numCache>
                <c:formatCode>0.0</c:formatCode>
                <c:ptCount val="15"/>
                <c:pt idx="1">
                  <c:v>17.700000000000003</c:v>
                </c:pt>
                <c:pt idx="2">
                  <c:v>19.29</c:v>
                </c:pt>
                <c:pt idx="3">
                  <c:v>22.759999999999998</c:v>
                </c:pt>
                <c:pt idx="4">
                  <c:v>26.650000000000002</c:v>
                </c:pt>
                <c:pt idx="5">
                  <c:v>24.370000000000005</c:v>
                </c:pt>
                <c:pt idx="6">
                  <c:v>20.46</c:v>
                </c:pt>
                <c:pt idx="7">
                  <c:v>20.420000000000002</c:v>
                </c:pt>
                <c:pt idx="8">
                  <c:v>23.92</c:v>
                </c:pt>
                <c:pt idx="9">
                  <c:v>27.61</c:v>
                </c:pt>
                <c:pt idx="10">
                  <c:v>29.44</c:v>
                </c:pt>
                <c:pt idx="11">
                  <c:v>25.78</c:v>
                </c:pt>
                <c:pt idx="12">
                  <c:v>22.98</c:v>
                </c:pt>
                <c:pt idx="13">
                  <c:v>24.95</c:v>
                </c:pt>
                <c:pt idx="14">
                  <c:v>15.64</c:v>
                </c:pt>
              </c:numCache>
            </c:numRef>
          </c:xVal>
          <c:yVal>
            <c:numRef>
              <c:f>'R2H1EA'!$AO$27:$AO$40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C-5B43-A353-8EC9AABE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R2H1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'R2H1EA'!$AM$27:$AM$40</c:f>
              <c:numCache>
                <c:formatCode>General</c:formatCode>
                <c:ptCount val="14"/>
                <c:pt idx="0">
                  <c:v>1.0692307692307692</c:v>
                </c:pt>
                <c:pt idx="1">
                  <c:v>1.0418145956607494</c:v>
                </c:pt>
                <c:pt idx="2">
                  <c:v>1.1240631163708086</c:v>
                </c:pt>
                <c:pt idx="3">
                  <c:v>1.1016317016317014</c:v>
                </c:pt>
                <c:pt idx="4">
                  <c:v>0.9673992673992674</c:v>
                </c:pt>
                <c:pt idx="5">
                  <c:v>0.89102564102564097</c:v>
                </c:pt>
                <c:pt idx="6">
                  <c:v>0.95042735042735027</c:v>
                </c:pt>
                <c:pt idx="7">
                  <c:v>0.92666666666666664</c:v>
                </c:pt>
                <c:pt idx="8">
                  <c:v>0.89102564102564086</c:v>
                </c:pt>
                <c:pt idx="9">
                  <c:v>1.069230769230769</c:v>
                </c:pt>
                <c:pt idx="10">
                  <c:v>0.95042735042735027</c:v>
                </c:pt>
                <c:pt idx="11">
                  <c:v>0.98012820512820498</c:v>
                </c:pt>
                <c:pt idx="12">
                  <c:v>0.95042735042735027</c:v>
                </c:pt>
                <c:pt idx="13">
                  <c:v>1.069230769230769</c:v>
                </c:pt>
              </c:numCache>
            </c:numRef>
          </c:xVal>
          <c:yVal>
            <c:numRef>
              <c:f>'R2H1EA'!$AO$27:$AO$40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90-A841-BE5F-EC9B68B1F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R2H1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'R2H1EA'!$BH$27:$BH$40</c:f>
              <c:numCache>
                <c:formatCode>0.00</c:formatCode>
                <c:ptCount val="14"/>
                <c:pt idx="0">
                  <c:v>0.99324116529322759</c:v>
                </c:pt>
                <c:pt idx="1">
                  <c:v>0.66916026546294305</c:v>
                </c:pt>
                <c:pt idx="2">
                  <c:v>0.82517256209219692</c:v>
                </c:pt>
                <c:pt idx="3">
                  <c:v>1.092786756758193</c:v>
                </c:pt>
                <c:pt idx="4">
                  <c:v>1.232645706200157</c:v>
                </c:pt>
                <c:pt idx="5">
                  <c:v>0.86174800626340353</c:v>
                </c:pt>
                <c:pt idx="6">
                  <c:v>0.83700214826786379</c:v>
                </c:pt>
                <c:pt idx="7">
                  <c:v>1.0137520302412766</c:v>
                </c:pt>
                <c:pt idx="8">
                  <c:v>1.7644272073639213</c:v>
                </c:pt>
                <c:pt idx="9">
                  <c:v>2.0346739274700409</c:v>
                </c:pt>
                <c:pt idx="10">
                  <c:v>1.2600051657681668</c:v>
                </c:pt>
                <c:pt idx="11">
                  <c:v>1.4406035963276389</c:v>
                </c:pt>
                <c:pt idx="12">
                  <c:v>1.3463654448503146</c:v>
                </c:pt>
                <c:pt idx="13">
                  <c:v>1.0211245064518955</c:v>
                </c:pt>
              </c:numCache>
            </c:numRef>
          </c:xVal>
          <c:yVal>
            <c:numRef>
              <c:f>'R2H1EA'!$AO$27:$AO$40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0-E54D-B085-8129FC7EF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R2H1 Ce/Ce*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442314625306279"/>
          <c:h val="0.849262355828435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'R2H1EA'!$BD$27:$BD$40</c:f>
              <c:numCache>
                <c:formatCode>General</c:formatCode>
                <c:ptCount val="14"/>
                <c:pt idx="0">
                  <c:v>365.52</c:v>
                </c:pt>
                <c:pt idx="1">
                  <c:v>489.16999999999996</c:v>
                </c:pt>
                <c:pt idx="2">
                  <c:v>624.56999999999982</c:v>
                </c:pt>
                <c:pt idx="3">
                  <c:v>613.2700000000001</c:v>
                </c:pt>
                <c:pt idx="4">
                  <c:v>705.5</c:v>
                </c:pt>
                <c:pt idx="5">
                  <c:v>810.1</c:v>
                </c:pt>
                <c:pt idx="6">
                  <c:v>834.65</c:v>
                </c:pt>
                <c:pt idx="7">
                  <c:v>723.86</c:v>
                </c:pt>
                <c:pt idx="8">
                  <c:v>268.58000000000004</c:v>
                </c:pt>
                <c:pt idx="9">
                  <c:v>144.54999999999995</c:v>
                </c:pt>
                <c:pt idx="10">
                  <c:v>117.28000000000003</c:v>
                </c:pt>
                <c:pt idx="11">
                  <c:v>285.99999999999994</c:v>
                </c:pt>
                <c:pt idx="12">
                  <c:v>260.89</c:v>
                </c:pt>
                <c:pt idx="13">
                  <c:v>232.10000000000005</c:v>
                </c:pt>
              </c:numCache>
            </c:numRef>
          </c:xVal>
          <c:yVal>
            <c:numRef>
              <c:f>'R2H1EA'!$AO$27:$AO$40</c:f>
              <c:numCache>
                <c:formatCode>General</c:formatCode>
                <c:ptCount val="14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AA-C945-B884-4943169D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logBase val="10"/>
          <c:orientation val="minMax"/>
          <c:max val="100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R2H1 Sum REE (ppm)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R2H1  K2O%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'R2H1EA'!$M$7:$M$22</c:f>
              <c:numCache>
                <c:formatCode>General</c:formatCode>
                <c:ptCount val="16"/>
                <c:pt idx="0">
                  <c:v>4.91</c:v>
                </c:pt>
                <c:pt idx="1">
                  <c:v>5.0599999999999996</c:v>
                </c:pt>
                <c:pt idx="2">
                  <c:v>5.46</c:v>
                </c:pt>
                <c:pt idx="3">
                  <c:v>5.37</c:v>
                </c:pt>
                <c:pt idx="4">
                  <c:v>5.17</c:v>
                </c:pt>
                <c:pt idx="5">
                  <c:v>6.03</c:v>
                </c:pt>
                <c:pt idx="6">
                  <c:v>6.46</c:v>
                </c:pt>
                <c:pt idx="7">
                  <c:v>6.37</c:v>
                </c:pt>
                <c:pt idx="8">
                  <c:v>3.89</c:v>
                </c:pt>
                <c:pt idx="9">
                  <c:v>3.11</c:v>
                </c:pt>
                <c:pt idx="10">
                  <c:v>2.57</c:v>
                </c:pt>
                <c:pt idx="11">
                  <c:v>4.18</c:v>
                </c:pt>
                <c:pt idx="12">
                  <c:v>5.61</c:v>
                </c:pt>
                <c:pt idx="13">
                  <c:v>3.95</c:v>
                </c:pt>
                <c:pt idx="14">
                  <c:v>0.92</c:v>
                </c:pt>
                <c:pt idx="15">
                  <c:v>3.17</c:v>
                </c:pt>
              </c:numCache>
            </c:numRef>
          </c:xVal>
          <c:yVal>
            <c:numRef>
              <c:f>'R2H1EA'!$E$7:$E$22</c:f>
              <c:numCache>
                <c:formatCode>General</c:formatCode>
                <c:ptCount val="16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  <c:pt idx="14">
                  <c:v>1000</c:v>
                </c:pt>
                <c:pt idx="15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36-CF4C-A171-1CE47711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833032"/>
        <c:axId val="2120835992"/>
      </c:scatterChart>
      <c:valAx>
        <c:axId val="2120833032"/>
        <c:scaling>
          <c:orientation val="minMax"/>
          <c:max val="6"/>
        </c:scaling>
        <c:delete val="0"/>
        <c:axPos val="t"/>
        <c:numFmt formatCode="General" sourceLinked="1"/>
        <c:majorTickMark val="out"/>
        <c:minorTickMark val="none"/>
        <c:tickLblPos val="nextTo"/>
        <c:crossAx val="2120835992"/>
        <c:crosses val="autoZero"/>
        <c:crossBetween val="midCat"/>
      </c:valAx>
      <c:valAx>
        <c:axId val="2120835992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(cm)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0833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R2H1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'R2H1EA'!$BK$7:$BK$21</c:f>
              <c:numCache>
                <c:formatCode>General</c:formatCode>
                <c:ptCount val="15"/>
                <c:pt idx="0">
                  <c:v>95.077720207253861</c:v>
                </c:pt>
                <c:pt idx="1">
                  <c:v>95.397489539748946</c:v>
                </c:pt>
                <c:pt idx="2">
                  <c:v>96.05654761904762</c:v>
                </c:pt>
                <c:pt idx="3">
                  <c:v>95.219885277246647</c:v>
                </c:pt>
                <c:pt idx="4">
                  <c:v>96.719457013574655</c:v>
                </c:pt>
                <c:pt idx="5">
                  <c:v>96.212121212121204</c:v>
                </c:pt>
                <c:pt idx="6">
                  <c:v>95.959595959595958</c:v>
                </c:pt>
                <c:pt idx="7">
                  <c:v>95.768229166666657</c:v>
                </c:pt>
                <c:pt idx="8">
                  <c:v>94.3868212324588</c:v>
                </c:pt>
                <c:pt idx="9">
                  <c:v>91.539301310043669</c:v>
                </c:pt>
                <c:pt idx="10">
                  <c:v>93.067685589519627</c:v>
                </c:pt>
                <c:pt idx="11">
                  <c:v>92.45939675174013</c:v>
                </c:pt>
                <c:pt idx="12">
                  <c:v>92.840375586854449</c:v>
                </c:pt>
                <c:pt idx="13">
                  <c:v>92.227378190255223</c:v>
                </c:pt>
                <c:pt idx="14">
                  <c:v>65.087636191378493</c:v>
                </c:pt>
              </c:numCache>
            </c:numRef>
          </c:xVal>
          <c:yVal>
            <c:numRef>
              <c:f>'R2H1EA'!$E$7:$E$21</c:f>
              <c:numCache>
                <c:formatCode>General</c:formatCode>
                <c:ptCount val="15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  <c:pt idx="1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F-C941-ACCD-90E0B64D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R1C2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5673792730222"/>
          <c:y val="0.1562511457865273"/>
          <c:w val="0.73840226032526268"/>
          <c:h val="0.7283692702524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'R1C2EA'!$E$27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'R1C2EA'!$E$28:$E$36</c:f>
              <c:numCache>
                <c:formatCode>0.00</c:formatCode>
                <c:ptCount val="9"/>
                <c:pt idx="0">
                  <c:v>-1.8992132935648387E-2</c:v>
                </c:pt>
                <c:pt idx="1">
                  <c:v>-0.53982460560817902</c:v>
                </c:pt>
                <c:pt idx="2">
                  <c:v>-0.66523340176960111</c:v>
                </c:pt>
                <c:pt idx="3">
                  <c:v>-0.6588937002092794</c:v>
                </c:pt>
                <c:pt idx="4">
                  <c:v>-0.51289758395514173</c:v>
                </c:pt>
                <c:pt idx="5">
                  <c:v>-0.4145361683263441</c:v>
                </c:pt>
                <c:pt idx="6">
                  <c:v>-0.44828178694158072</c:v>
                </c:pt>
                <c:pt idx="7">
                  <c:v>-0.47047121821403959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2E-E24E-99E5-AEA7062007D4}"/>
            </c:ext>
          </c:extLst>
        </c:ser>
        <c:ser>
          <c:idx val="1"/>
          <c:order val="1"/>
          <c:tx>
            <c:strRef>
              <c:f>'R1C2EA'!$F$27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'R1C2EA'!$F$28:$F$36</c:f>
              <c:numCache>
                <c:formatCode>0.00</c:formatCode>
                <c:ptCount val="9"/>
                <c:pt idx="0">
                  <c:v>-0.538044847568657</c:v>
                </c:pt>
                <c:pt idx="1">
                  <c:v>-0.1978438532429142</c:v>
                </c:pt>
                <c:pt idx="2">
                  <c:v>-0.33581848762571653</c:v>
                </c:pt>
                <c:pt idx="3">
                  <c:v>-0.38396659136030675</c:v>
                </c:pt>
                <c:pt idx="4">
                  <c:v>-0.38118006523803627</c:v>
                </c:pt>
                <c:pt idx="5">
                  <c:v>-0.31640211640211635</c:v>
                </c:pt>
                <c:pt idx="6">
                  <c:v>-0.33973479652492011</c:v>
                </c:pt>
                <c:pt idx="7">
                  <c:v>-0.32362459546925559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2E-E24E-99E5-AEA7062007D4}"/>
            </c:ext>
          </c:extLst>
        </c:ser>
        <c:ser>
          <c:idx val="2"/>
          <c:order val="2"/>
          <c:tx>
            <c:strRef>
              <c:f>'R1C2EA'!$G$27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'R1C2EA'!$G$28:$G$36</c:f>
              <c:numCache>
                <c:formatCode>0.00</c:formatCode>
                <c:ptCount val="9"/>
                <c:pt idx="0">
                  <c:v>-0.22881679669708044</c:v>
                </c:pt>
                <c:pt idx="1">
                  <c:v>0.20846388626938017</c:v>
                </c:pt>
                <c:pt idx="2">
                  <c:v>0.17869317442556421</c:v>
                </c:pt>
                <c:pt idx="3">
                  <c:v>0.19218869144812212</c:v>
                </c:pt>
                <c:pt idx="4">
                  <c:v>-7.4592293486086314E-2</c:v>
                </c:pt>
                <c:pt idx="5">
                  <c:v>-8.6840620317942041E-2</c:v>
                </c:pt>
                <c:pt idx="6">
                  <c:v>1.6899981334826508E-2</c:v>
                </c:pt>
                <c:pt idx="7">
                  <c:v>0.12522279771016387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2E-E24E-99E5-AEA7062007D4}"/>
            </c:ext>
          </c:extLst>
        </c:ser>
        <c:ser>
          <c:idx val="3"/>
          <c:order val="3"/>
          <c:tx>
            <c:strRef>
              <c:f>'R1C2EA'!$I$27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'R1C2EA'!$I$28:$I$36</c:f>
              <c:numCache>
                <c:formatCode>0.00</c:formatCode>
                <c:ptCount val="9"/>
                <c:pt idx="0">
                  <c:v>-0.94124922696351265</c:v>
                </c:pt>
                <c:pt idx="1">
                  <c:v>-0.9351259069568929</c:v>
                </c:pt>
                <c:pt idx="2">
                  <c:v>-0.93916926447046933</c:v>
                </c:pt>
                <c:pt idx="3">
                  <c:v>-0.94891614854646278</c:v>
                </c:pt>
                <c:pt idx="4">
                  <c:v>-0.30678017634539367</c:v>
                </c:pt>
                <c:pt idx="5">
                  <c:v>-0.15525915525915512</c:v>
                </c:pt>
                <c:pt idx="6">
                  <c:v>-0.22805836139169466</c:v>
                </c:pt>
                <c:pt idx="7">
                  <c:v>-0.27052074139452764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2E-E24E-99E5-AEA7062007D4}"/>
            </c:ext>
          </c:extLst>
        </c:ser>
        <c:ser>
          <c:idx val="4"/>
          <c:order val="4"/>
          <c:tx>
            <c:strRef>
              <c:f>'R1C2EA'!$J$27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'R1C2EA'!$J$28:$J$36</c:f>
              <c:numCache>
                <c:formatCode>0.00</c:formatCode>
                <c:ptCount val="9"/>
                <c:pt idx="0">
                  <c:v>-0.32789115646258493</c:v>
                </c:pt>
                <c:pt idx="1">
                  <c:v>-0.80672926447574334</c:v>
                </c:pt>
                <c:pt idx="2">
                  <c:v>-0.90843373493975899</c:v>
                </c:pt>
                <c:pt idx="3">
                  <c:v>-0.93912507701786818</c:v>
                </c:pt>
                <c:pt idx="4">
                  <c:v>-0.88985507246376816</c:v>
                </c:pt>
                <c:pt idx="5">
                  <c:v>-0.78807378807378803</c:v>
                </c:pt>
                <c:pt idx="6">
                  <c:v>-0.83736625514403296</c:v>
                </c:pt>
                <c:pt idx="7">
                  <c:v>-0.60032362459546917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2E-E24E-99E5-AEA7062007D4}"/>
            </c:ext>
          </c:extLst>
        </c:ser>
        <c:ser>
          <c:idx val="5"/>
          <c:order val="5"/>
          <c:tx>
            <c:strRef>
              <c:f>'R1C2EA'!$K$27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'R1C2EA'!$K$28:$K$36</c:f>
              <c:numCache>
                <c:formatCode>0.00</c:formatCode>
                <c:ptCount val="9"/>
                <c:pt idx="0">
                  <c:v>-0.57993197278911568</c:v>
                </c:pt>
                <c:pt idx="1">
                  <c:v>-0.8550469483568075</c:v>
                </c:pt>
                <c:pt idx="2">
                  <c:v>-0.84738955823293172</c:v>
                </c:pt>
                <c:pt idx="3">
                  <c:v>-0.8478126925446704</c:v>
                </c:pt>
                <c:pt idx="4">
                  <c:v>-0.77053140096618356</c:v>
                </c:pt>
                <c:pt idx="5">
                  <c:v>-0.78807378807378803</c:v>
                </c:pt>
                <c:pt idx="6">
                  <c:v>-0.74588477366255146</c:v>
                </c:pt>
                <c:pt idx="7">
                  <c:v>-0.70024271844660191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2E-E24E-99E5-AEA7062007D4}"/>
            </c:ext>
          </c:extLst>
        </c:ser>
        <c:ser>
          <c:idx val="6"/>
          <c:order val="6"/>
          <c:tx>
            <c:strRef>
              <c:f>'R1C2EA'!$L$27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'R1C2EA'!$L$28:$L$36</c:f>
              <c:numCache>
                <c:formatCode>0.00</c:formatCode>
                <c:ptCount val="9"/>
                <c:pt idx="0">
                  <c:v>-0.81330309901738473</c:v>
                </c:pt>
                <c:pt idx="1">
                  <c:v>-0.93557642149191445</c:v>
                </c:pt>
                <c:pt idx="2">
                  <c:v>-0.95276343469114555</c:v>
                </c:pt>
                <c:pt idx="3">
                  <c:v>-0.96014141947598508</c:v>
                </c:pt>
                <c:pt idx="4">
                  <c:v>-0.36622958362088798</c:v>
                </c:pt>
                <c:pt idx="5">
                  <c:v>-0.20779963637106491</c:v>
                </c:pt>
                <c:pt idx="6">
                  <c:v>-0.36108171663727218</c:v>
                </c:pt>
                <c:pt idx="7">
                  <c:v>-0.3576629680998612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2E-E24E-99E5-AEA7062007D4}"/>
            </c:ext>
          </c:extLst>
        </c:ser>
        <c:ser>
          <c:idx val="7"/>
          <c:order val="7"/>
          <c:tx>
            <c:strRef>
              <c:f>'R1C2EA'!$O$27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'R1C2EA'!$O$28:$O$36</c:f>
              <c:numCache>
                <c:formatCode>0.00</c:formatCode>
                <c:ptCount val="9"/>
                <c:pt idx="0">
                  <c:v>-0.20787172011661803</c:v>
                </c:pt>
                <c:pt idx="1">
                  <c:v>-9.9408572648009175E-2</c:v>
                </c:pt>
                <c:pt idx="2">
                  <c:v>-0.26033484587701461</c:v>
                </c:pt>
                <c:pt idx="3">
                  <c:v>-0.24163285882324714</c:v>
                </c:pt>
                <c:pt idx="4">
                  <c:v>-0.36630905326557506</c:v>
                </c:pt>
                <c:pt idx="5">
                  <c:v>-0.26183623326480476</c:v>
                </c:pt>
                <c:pt idx="6">
                  <c:v>-0.28636523969857308</c:v>
                </c:pt>
                <c:pt idx="7">
                  <c:v>-0.27980393393014746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2E-E24E-99E5-AEA7062007D4}"/>
            </c:ext>
          </c:extLst>
        </c:ser>
        <c:ser>
          <c:idx val="8"/>
          <c:order val="8"/>
          <c:tx>
            <c:strRef>
              <c:f>'R1C2EA'!$M$27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'R1C2EA'!$M$28:$M$36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'R1C2EA'!$E$7:$E$15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2E-E24E-99E5-AEA706200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609859814034878"/>
              <c:y val="9.93835139262835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3.8593316461572519E-2"/>
              <c:y val="0.43947273944479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R1C2  REE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'R1C2EA'!$AO$22</c:f>
              <c:strCache>
                <c:ptCount val="1"/>
                <c:pt idx="0">
                  <c:v>6.5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'R1C2EA'!$AP$22:$BC$22</c:f>
              <c:numCache>
                <c:formatCode>0.0</c:formatCode>
                <c:ptCount val="14"/>
                <c:pt idx="0">
                  <c:v>21.525885558583109</c:v>
                </c:pt>
                <c:pt idx="1">
                  <c:v>15.987460815047024</c:v>
                </c:pt>
                <c:pt idx="2">
                  <c:v>12.043795620437955</c:v>
                </c:pt>
                <c:pt idx="3">
                  <c:v>7.59493670886076</c:v>
                </c:pt>
                <c:pt idx="4">
                  <c:v>5.1948051948051948</c:v>
                </c:pt>
                <c:pt idx="5">
                  <c:v>3.1034482758620694</c:v>
                </c:pt>
                <c:pt idx="6">
                  <c:v>3.5947712418300659</c:v>
                </c:pt>
                <c:pt idx="7">
                  <c:v>3.4482758620689657</c:v>
                </c:pt>
                <c:pt idx="8">
                  <c:v>3.1496062992125982</c:v>
                </c:pt>
                <c:pt idx="9">
                  <c:v>3.5294117647058818</c:v>
                </c:pt>
                <c:pt idx="10">
                  <c:v>3.2128514056224899</c:v>
                </c:pt>
                <c:pt idx="11">
                  <c:v>3.3333333333333335</c:v>
                </c:pt>
                <c:pt idx="12">
                  <c:v>3.6290322580645165</c:v>
                </c:pt>
                <c:pt idx="13">
                  <c:v>4.4736842105263159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6-A649-84C6-9EC3C7C29347}"/>
            </c:ext>
          </c:extLst>
        </c:ser>
        <c:ser>
          <c:idx val="1"/>
          <c:order val="1"/>
          <c:tx>
            <c:strRef>
              <c:f>'R1C2EA'!$AO$23</c:f>
              <c:strCache>
                <c:ptCount val="1"/>
                <c:pt idx="0">
                  <c:v>46.5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'R1C2EA'!$AP$23:$BC$23</c:f>
              <c:numCache>
                <c:formatCode>0.0</c:formatCode>
                <c:ptCount val="14"/>
                <c:pt idx="0">
                  <c:v>31.062670299727522</c:v>
                </c:pt>
                <c:pt idx="1">
                  <c:v>26.018808777429467</c:v>
                </c:pt>
                <c:pt idx="2">
                  <c:v>18.175182481751825</c:v>
                </c:pt>
                <c:pt idx="3">
                  <c:v>12.517580872011253</c:v>
                </c:pt>
                <c:pt idx="4">
                  <c:v>7.3593073593073584</c:v>
                </c:pt>
                <c:pt idx="5">
                  <c:v>5.0574712643678161</c:v>
                </c:pt>
                <c:pt idx="6">
                  <c:v>4.5751633986928102</c:v>
                </c:pt>
                <c:pt idx="7">
                  <c:v>3.4482758620689657</c:v>
                </c:pt>
                <c:pt idx="8">
                  <c:v>3.674540682414698</c:v>
                </c:pt>
                <c:pt idx="9">
                  <c:v>3.5294117647058818</c:v>
                </c:pt>
                <c:pt idx="10">
                  <c:v>3.6144578313253013</c:v>
                </c:pt>
                <c:pt idx="11">
                  <c:v>3.8888888888888897</c:v>
                </c:pt>
                <c:pt idx="12">
                  <c:v>3.6290322580645165</c:v>
                </c:pt>
                <c:pt idx="13">
                  <c:v>4.2105263157894735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6-A649-84C6-9EC3C7C29347}"/>
            </c:ext>
          </c:extLst>
        </c:ser>
        <c:ser>
          <c:idx val="2"/>
          <c:order val="2"/>
          <c:tx>
            <c:strRef>
              <c:f>'R1C2EA'!$AO$24</c:f>
              <c:strCache>
                <c:ptCount val="1"/>
                <c:pt idx="0">
                  <c:v>96.5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'R1C2EA'!$AP$24:$BC$24</c:f>
              <c:numCache>
                <c:formatCode>0.0</c:formatCode>
                <c:ptCount val="14"/>
                <c:pt idx="0">
                  <c:v>33.242506811989102</c:v>
                </c:pt>
                <c:pt idx="1">
                  <c:v>33.124346917450367</c:v>
                </c:pt>
                <c:pt idx="2">
                  <c:v>24.160583941605839</c:v>
                </c:pt>
                <c:pt idx="3">
                  <c:v>18.002812939521803</c:v>
                </c:pt>
                <c:pt idx="4">
                  <c:v>10.822510822510822</c:v>
                </c:pt>
                <c:pt idx="5">
                  <c:v>7.4712643678160928</c:v>
                </c:pt>
                <c:pt idx="6">
                  <c:v>6.8627450980392162</c:v>
                </c:pt>
                <c:pt idx="7">
                  <c:v>5.1724137931034475</c:v>
                </c:pt>
                <c:pt idx="8">
                  <c:v>4.9868766404199469</c:v>
                </c:pt>
                <c:pt idx="9">
                  <c:v>4.7058823529411766</c:v>
                </c:pt>
                <c:pt idx="10">
                  <c:v>4.4176706827309244</c:v>
                </c:pt>
                <c:pt idx="11">
                  <c:v>5</c:v>
                </c:pt>
                <c:pt idx="12">
                  <c:v>5.241935483870968</c:v>
                </c:pt>
                <c:pt idx="13">
                  <c:v>5.2631578947368425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6-A649-84C6-9EC3C7C29347}"/>
            </c:ext>
          </c:extLst>
        </c:ser>
        <c:ser>
          <c:idx val="3"/>
          <c:order val="3"/>
          <c:tx>
            <c:strRef>
              <c:f>'R1C2EA'!$AO$25</c:f>
              <c:strCache>
                <c:ptCount val="1"/>
                <c:pt idx="0">
                  <c:v>146.5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'R1C2EA'!$AP$25:$BC$25</c:f>
              <c:numCache>
                <c:formatCode>0.0</c:formatCode>
                <c:ptCount val="14"/>
                <c:pt idx="0">
                  <c:v>32.970027247956402</c:v>
                </c:pt>
                <c:pt idx="1">
                  <c:v>41.797283176593524</c:v>
                </c:pt>
                <c:pt idx="2">
                  <c:v>26.642335766423354</c:v>
                </c:pt>
                <c:pt idx="3">
                  <c:v>20.393811533052041</c:v>
                </c:pt>
                <c:pt idx="4">
                  <c:v>13.419913419913419</c:v>
                </c:pt>
                <c:pt idx="5">
                  <c:v>9.1954022988505759</c:v>
                </c:pt>
                <c:pt idx="6">
                  <c:v>8.1699346405228752</c:v>
                </c:pt>
                <c:pt idx="7">
                  <c:v>6.8965517241379315</c:v>
                </c:pt>
                <c:pt idx="8">
                  <c:v>6.2992125984251963</c:v>
                </c:pt>
                <c:pt idx="9">
                  <c:v>5.8823529411764701</c:v>
                </c:pt>
                <c:pt idx="10">
                  <c:v>5.6224899598393572</c:v>
                </c:pt>
                <c:pt idx="11">
                  <c:v>6.1111111111111116</c:v>
                </c:pt>
                <c:pt idx="12">
                  <c:v>6.0483870967741939</c:v>
                </c:pt>
                <c:pt idx="13">
                  <c:v>6.3157894736842106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06-A649-84C6-9EC3C7C29347}"/>
            </c:ext>
          </c:extLst>
        </c:ser>
        <c:ser>
          <c:idx val="4"/>
          <c:order val="4"/>
          <c:tx>
            <c:strRef>
              <c:f>'R1C2EA'!$AO$26</c:f>
              <c:strCache>
                <c:ptCount val="1"/>
                <c:pt idx="0">
                  <c:v>300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'R1C2EA'!$AP$26:$BC$26</c:f>
              <c:numCache>
                <c:formatCode>0.0</c:formatCode>
                <c:ptCount val="14"/>
                <c:pt idx="0">
                  <c:v>107.62942779291554</c:v>
                </c:pt>
                <c:pt idx="1">
                  <c:v>91.536050156739805</c:v>
                </c:pt>
                <c:pt idx="2">
                  <c:v>78.832116788321173</c:v>
                </c:pt>
                <c:pt idx="3">
                  <c:v>61.462728551336156</c:v>
                </c:pt>
                <c:pt idx="4">
                  <c:v>38.528138528138527</c:v>
                </c:pt>
                <c:pt idx="5">
                  <c:v>24.827586206896555</c:v>
                </c:pt>
                <c:pt idx="6">
                  <c:v>23.529411764705884</c:v>
                </c:pt>
                <c:pt idx="7">
                  <c:v>17.241379310344826</c:v>
                </c:pt>
                <c:pt idx="8">
                  <c:v>15.485564304461944</c:v>
                </c:pt>
                <c:pt idx="9">
                  <c:v>12.941176470588236</c:v>
                </c:pt>
                <c:pt idx="10">
                  <c:v>13.253012048192771</c:v>
                </c:pt>
                <c:pt idx="11">
                  <c:v>13.611111111111112</c:v>
                </c:pt>
                <c:pt idx="12">
                  <c:v>13.709677419354838</c:v>
                </c:pt>
                <c:pt idx="13">
                  <c:v>14.210526315789474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06-A649-84C6-9EC3C7C29347}"/>
            </c:ext>
          </c:extLst>
        </c:ser>
        <c:ser>
          <c:idx val="5"/>
          <c:order val="5"/>
          <c:tx>
            <c:strRef>
              <c:f>'R1C2EA'!$AO$27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'R1C2EA'!$AP$27:$BC$27</c:f>
              <c:numCache>
                <c:formatCode>0.0</c:formatCode>
                <c:ptCount val="14"/>
                <c:pt idx="0">
                  <c:v>148.22888283378745</c:v>
                </c:pt>
                <c:pt idx="1">
                  <c:v>64.367816091954026</c:v>
                </c:pt>
                <c:pt idx="2">
                  <c:v>94.890510948905103</c:v>
                </c:pt>
                <c:pt idx="3">
                  <c:v>69.338959212376935</c:v>
                </c:pt>
                <c:pt idx="4">
                  <c:v>42.857142857142854</c:v>
                </c:pt>
                <c:pt idx="5">
                  <c:v>28.27586206896552</c:v>
                </c:pt>
                <c:pt idx="6">
                  <c:v>29.738562091503269</c:v>
                </c:pt>
                <c:pt idx="7">
                  <c:v>22.413793103448274</c:v>
                </c:pt>
                <c:pt idx="8">
                  <c:v>21.259842519685037</c:v>
                </c:pt>
                <c:pt idx="9">
                  <c:v>18.823529411764707</c:v>
                </c:pt>
                <c:pt idx="10">
                  <c:v>18.473895582329316</c:v>
                </c:pt>
                <c:pt idx="11">
                  <c:v>19.444444444444446</c:v>
                </c:pt>
                <c:pt idx="12">
                  <c:v>18.951612903225808</c:v>
                </c:pt>
                <c:pt idx="13">
                  <c:v>18.94736842105263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06-A649-84C6-9EC3C7C29347}"/>
            </c:ext>
          </c:extLst>
        </c:ser>
        <c:ser>
          <c:idx val="6"/>
          <c:order val="6"/>
          <c:tx>
            <c:strRef>
              <c:f>'R1C2EA'!$AO$28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'R1C2EA'!$AP$28:$BC$28</c:f>
              <c:numCache>
                <c:formatCode>0.0</c:formatCode>
                <c:ptCount val="14"/>
                <c:pt idx="0">
                  <c:v>115.53133514986376</c:v>
                </c:pt>
                <c:pt idx="1">
                  <c:v>56.635318704284224</c:v>
                </c:pt>
                <c:pt idx="2">
                  <c:v>72.992700729926995</c:v>
                </c:pt>
                <c:pt idx="3">
                  <c:v>53.867791842475384</c:v>
                </c:pt>
                <c:pt idx="4">
                  <c:v>34.1991341991342</c:v>
                </c:pt>
                <c:pt idx="5">
                  <c:v>24.942528735632184</c:v>
                </c:pt>
                <c:pt idx="6">
                  <c:v>26.470588235294116</c:v>
                </c:pt>
                <c:pt idx="7">
                  <c:v>22.413793103448274</c:v>
                </c:pt>
                <c:pt idx="8">
                  <c:v>21.522309711286088</c:v>
                </c:pt>
                <c:pt idx="9">
                  <c:v>18.823529411764707</c:v>
                </c:pt>
                <c:pt idx="10">
                  <c:v>18.875502008032129</c:v>
                </c:pt>
                <c:pt idx="11">
                  <c:v>19.166666666666668</c:v>
                </c:pt>
                <c:pt idx="12">
                  <c:v>18.548387096774192</c:v>
                </c:pt>
                <c:pt idx="13">
                  <c:v>19.473684210526315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06-A649-84C6-9EC3C7C29347}"/>
            </c:ext>
          </c:extLst>
        </c:ser>
        <c:ser>
          <c:idx val="7"/>
          <c:order val="7"/>
          <c:tx>
            <c:strRef>
              <c:f>'R1C2EA'!$AO$29</c:f>
              <c:strCache>
                <c:ptCount val="1"/>
                <c:pt idx="0">
                  <c:v>650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'R1C2EA'!$AP$29:$BC$29</c:f>
              <c:numCache>
                <c:formatCode>0.0</c:formatCode>
                <c:ptCount val="14"/>
                <c:pt idx="0">
                  <c:v>73.841961852861047</c:v>
                </c:pt>
                <c:pt idx="1">
                  <c:v>71.473354231974923</c:v>
                </c:pt>
                <c:pt idx="2">
                  <c:v>48.759124087591232</c:v>
                </c:pt>
                <c:pt idx="3">
                  <c:v>36.286919831223635</c:v>
                </c:pt>
                <c:pt idx="4">
                  <c:v>22.943722943722943</c:v>
                </c:pt>
                <c:pt idx="5">
                  <c:v>16.321839080459771</c:v>
                </c:pt>
                <c:pt idx="6">
                  <c:v>17.973856209150327</c:v>
                </c:pt>
                <c:pt idx="7">
                  <c:v>15.517241379310345</c:v>
                </c:pt>
                <c:pt idx="8">
                  <c:v>13.910761154855642</c:v>
                </c:pt>
                <c:pt idx="9">
                  <c:v>12.941176470588236</c:v>
                </c:pt>
                <c:pt idx="10">
                  <c:v>12.449799196787149</c:v>
                </c:pt>
                <c:pt idx="11">
                  <c:v>12.777777777777779</c:v>
                </c:pt>
                <c:pt idx="12">
                  <c:v>12.5</c:v>
                </c:pt>
                <c:pt idx="13">
                  <c:v>12.894736842105264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06-A649-84C6-9EC3C7C29347}"/>
            </c:ext>
          </c:extLst>
        </c:ser>
        <c:ser>
          <c:idx val="8"/>
          <c:order val="8"/>
          <c:tx>
            <c:strRef>
              <c:f>'R1C2EA'!$AO$30</c:f>
              <c:strCache>
                <c:ptCount val="1"/>
                <c:pt idx="0">
                  <c:v>750</c:v>
                </c:pt>
              </c:strCache>
            </c:strRef>
          </c:tx>
          <c:cat>
            <c:strRef>
              <c:f>'R1C2EA'!$AP$20:$BC$20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'R1C2EA'!$AP$30:$BC$30</c:f>
              <c:numCache>
                <c:formatCode>0.0</c:formatCode>
                <c:ptCount val="14"/>
                <c:pt idx="0">
                  <c:v>81.198910081743875</c:v>
                </c:pt>
                <c:pt idx="1">
                  <c:v>73.040752351097183</c:v>
                </c:pt>
                <c:pt idx="2">
                  <c:v>49.416058394160579</c:v>
                </c:pt>
                <c:pt idx="3">
                  <c:v>35.30239099859353</c:v>
                </c:pt>
                <c:pt idx="4">
                  <c:v>20.779220779220779</c:v>
                </c:pt>
                <c:pt idx="5">
                  <c:v>13.793103448275863</c:v>
                </c:pt>
                <c:pt idx="6">
                  <c:v>15.032679738562091</c:v>
                </c:pt>
                <c:pt idx="7">
                  <c:v>12.068965517241377</c:v>
                </c:pt>
                <c:pt idx="8">
                  <c:v>11.023622047244094</c:v>
                </c:pt>
                <c:pt idx="9">
                  <c:v>9.4117647058823533</c:v>
                </c:pt>
                <c:pt idx="10">
                  <c:v>9.6385542168674689</c:v>
                </c:pt>
                <c:pt idx="11">
                  <c:v>9.4444444444444464</c:v>
                </c:pt>
                <c:pt idx="12">
                  <c:v>9.67741935483871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06-A649-84C6-9EC3C7C29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259800"/>
        <c:axId val="-2135256856"/>
      </c:lineChart>
      <c:catAx>
        <c:axId val="-2135259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5256856"/>
        <c:crosses val="autoZero"/>
        <c:auto val="1"/>
        <c:lblAlgn val="ctr"/>
        <c:lblOffset val="100"/>
        <c:noMultiLvlLbl val="0"/>
      </c:catAx>
      <c:valAx>
        <c:axId val="-2135256856"/>
        <c:scaling>
          <c:logBase val="10"/>
          <c:orientation val="minMax"/>
          <c:max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-2135259800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'R1C2EA'!$AM$22:$AM$30</c:f>
              <c:numCache>
                <c:formatCode>General</c:formatCode>
                <c:ptCount val="9"/>
                <c:pt idx="0">
                  <c:v>0.83162393162393156</c:v>
                </c:pt>
                <c:pt idx="1">
                  <c:v>0.83162393162393156</c:v>
                </c:pt>
                <c:pt idx="2">
                  <c:v>0.89102564102564086</c:v>
                </c:pt>
                <c:pt idx="3">
                  <c:v>0.6415384615384615</c:v>
                </c:pt>
                <c:pt idx="4">
                  <c:v>1.0044289044289043</c:v>
                </c:pt>
                <c:pt idx="5">
                  <c:v>1.069230769230769</c:v>
                </c:pt>
                <c:pt idx="6">
                  <c:v>1.069230769230769</c:v>
                </c:pt>
                <c:pt idx="7">
                  <c:v>0.97202797202797186</c:v>
                </c:pt>
                <c:pt idx="8">
                  <c:v>1.0246794871794871</c:v>
                </c:pt>
              </c:numCache>
            </c:numRef>
          </c:xVal>
          <c:yVal>
            <c:numRef>
              <c:f>'R1C2EA'!$AO$22:$AO$30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6-B04C-8893-7247072C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R1C2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'R1C2EA'!$BH$22:$BH$30</c:f>
              <c:numCache>
                <c:formatCode>0.00</c:formatCode>
                <c:ptCount val="9"/>
                <c:pt idx="0">
                  <c:v>0.94699901541267706</c:v>
                </c:pt>
                <c:pt idx="1">
                  <c:v>1.0457311261875915</c:v>
                </c:pt>
                <c:pt idx="2">
                  <c:v>1.1761817624419957</c:v>
                </c:pt>
                <c:pt idx="3">
                  <c:v>1.4524062838528724</c:v>
                </c:pt>
                <c:pt idx="4">
                  <c:v>0.99236259913176772</c:v>
                </c:pt>
                <c:pt idx="5">
                  <c:v>0.52789824277195296</c:v>
                </c:pt>
                <c:pt idx="6">
                  <c:v>0.59630674388214799</c:v>
                </c:pt>
                <c:pt idx="7">
                  <c:v>1.1655111134654559</c:v>
                </c:pt>
                <c:pt idx="8">
                  <c:v>1.1083562114845076</c:v>
                </c:pt>
              </c:numCache>
            </c:numRef>
          </c:xVal>
          <c:yVal>
            <c:numRef>
              <c:f>'R1C2EA'!$AO$22:$AO$30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9-8C43-AFFF-BB240987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R1C2 Ce/Ce*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'R1C2EA'!$M$7:$M$17</c:f>
              <c:numCache>
                <c:formatCode>General</c:formatCode>
                <c:ptCount val="11"/>
                <c:pt idx="0">
                  <c:v>0.28000000000000003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0.11</c:v>
                </c:pt>
                <c:pt idx="4">
                  <c:v>1.45</c:v>
                </c:pt>
                <c:pt idx="5">
                  <c:v>1.57</c:v>
                </c:pt>
                <c:pt idx="6">
                  <c:v>1.32</c:v>
                </c:pt>
                <c:pt idx="7">
                  <c:v>1.35</c:v>
                </c:pt>
                <c:pt idx="8">
                  <c:v>1.26</c:v>
                </c:pt>
                <c:pt idx="9">
                  <c:v>0.92</c:v>
                </c:pt>
                <c:pt idx="10">
                  <c:v>3.17</c:v>
                </c:pt>
              </c:numCache>
            </c:numRef>
          </c:xVal>
          <c:yVal>
            <c:numRef>
              <c:f>'R1C2EA'!$E$7:$E$17</c:f>
              <c:numCache>
                <c:formatCode>General</c:formatCode>
                <c:ptCount val="11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  <c:pt idx="9">
                  <c:v>1000</c:v>
                </c:pt>
                <c:pt idx="1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0-0046-B830-44A0BA5B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04824"/>
        <c:axId val="-2135199352"/>
      </c:scatterChart>
      <c:valAx>
        <c:axId val="-2135204824"/>
        <c:scaling>
          <c:orientation val="minMax"/>
          <c:max val="6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R1C2 K2O%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199352"/>
        <c:crosses val="autoZero"/>
        <c:crossBetween val="midCat"/>
      </c:valAx>
      <c:valAx>
        <c:axId val="-2135199352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204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R1: LOI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R1C2</c:v>
          </c:tx>
          <c:marker>
            <c:symbol val="circle"/>
            <c:size val="14"/>
          </c:marker>
          <c:xVal>
            <c:numRef>
              <c:f>'R1C2EA'!$P$7:$P$17</c:f>
              <c:numCache>
                <c:formatCode>General</c:formatCode>
                <c:ptCount val="11"/>
                <c:pt idx="0">
                  <c:v>7.26</c:v>
                </c:pt>
                <c:pt idx="1">
                  <c:v>11.96</c:v>
                </c:pt>
                <c:pt idx="2">
                  <c:v>12.44</c:v>
                </c:pt>
                <c:pt idx="3">
                  <c:v>12.79</c:v>
                </c:pt>
                <c:pt idx="4">
                  <c:v>8.86</c:v>
                </c:pt>
                <c:pt idx="5">
                  <c:v>8.94</c:v>
                </c:pt>
                <c:pt idx="6">
                  <c:v>9.01</c:v>
                </c:pt>
                <c:pt idx="7">
                  <c:v>9.25</c:v>
                </c:pt>
                <c:pt idx="8">
                  <c:v>7.7</c:v>
                </c:pt>
                <c:pt idx="9">
                  <c:v>0.89</c:v>
                </c:pt>
                <c:pt idx="10">
                  <c:v>0.37</c:v>
                </c:pt>
              </c:numCache>
            </c:numRef>
          </c:xVal>
          <c:yVal>
            <c:numRef>
              <c:f>'R1C2EA'!$E$7:$E$17</c:f>
              <c:numCache>
                <c:formatCode>General</c:formatCode>
                <c:ptCount val="11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  <c:pt idx="9">
                  <c:v>1000</c:v>
                </c:pt>
                <c:pt idx="1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12-4348-9CA8-9D67BD2478E4}"/>
            </c:ext>
          </c:extLst>
        </c:ser>
        <c:ser>
          <c:idx val="1"/>
          <c:order val="1"/>
          <c:tx>
            <c:v>R1C3</c:v>
          </c:tx>
          <c:spPr>
            <a:ln>
              <a:solidFill>
                <a:srgbClr val="FF6600"/>
              </a:solidFill>
            </a:ln>
          </c:spPr>
          <c:marker>
            <c:symbol val="circle"/>
            <c:size val="14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xVal>
            <c:numRef>
              <c:f>'R1C3EA'!$P$7:$P$19</c:f>
              <c:numCache>
                <c:formatCode>General</c:formatCode>
                <c:ptCount val="13"/>
                <c:pt idx="0">
                  <c:v>6.34</c:v>
                </c:pt>
                <c:pt idx="1">
                  <c:v>5.75</c:v>
                </c:pt>
                <c:pt idx="2">
                  <c:v>8.7100000000000009</c:v>
                </c:pt>
                <c:pt idx="3">
                  <c:v>12.17</c:v>
                </c:pt>
                <c:pt idx="4">
                  <c:v>12</c:v>
                </c:pt>
                <c:pt idx="5">
                  <c:v>12.31</c:v>
                </c:pt>
                <c:pt idx="6">
                  <c:v>11.94</c:v>
                </c:pt>
                <c:pt idx="7">
                  <c:v>10.81</c:v>
                </c:pt>
                <c:pt idx="8">
                  <c:v>10.45</c:v>
                </c:pt>
                <c:pt idx="9">
                  <c:v>7.78</c:v>
                </c:pt>
                <c:pt idx="10">
                  <c:v>3.81</c:v>
                </c:pt>
                <c:pt idx="11">
                  <c:v>0.89</c:v>
                </c:pt>
                <c:pt idx="12">
                  <c:v>0.37</c:v>
                </c:pt>
              </c:numCache>
            </c:numRef>
          </c:xVal>
          <c:yVal>
            <c:numRef>
              <c:f>'R1C3EA'!$E$7:$E$19</c:f>
              <c:numCache>
                <c:formatCode>General</c:formatCode>
                <c:ptCount val="13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  <c:pt idx="11">
                  <c:v>1000</c:v>
                </c:pt>
                <c:pt idx="1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12-4348-9CA8-9D67BD24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in val="2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R1C2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'R1C2EA'!$BK$7:$BK$17</c:f>
              <c:numCache>
                <c:formatCode>0</c:formatCode>
                <c:ptCount val="11"/>
                <c:pt idx="0">
                  <c:v>95.450049455984185</c:v>
                </c:pt>
                <c:pt idx="1">
                  <c:v>99.102040816326522</c:v>
                </c:pt>
                <c:pt idx="2">
                  <c:v>99.220576773187844</c:v>
                </c:pt>
                <c:pt idx="3">
                  <c:v>99.28721174004194</c:v>
                </c:pt>
                <c:pt idx="4">
                  <c:v>92.8</c:v>
                </c:pt>
                <c:pt idx="5">
                  <c:v>91.914271797369707</c:v>
                </c:pt>
                <c:pt idx="6">
                  <c:v>93.091621754042137</c:v>
                </c:pt>
                <c:pt idx="7">
                  <c:v>92.914124824026274</c:v>
                </c:pt>
                <c:pt idx="8">
                  <c:v>91.981132075471692</c:v>
                </c:pt>
                <c:pt idx="9">
                  <c:v>62.625341841385598</c:v>
                </c:pt>
                <c:pt idx="10">
                  <c:v>60.781309842972043</c:v>
                </c:pt>
              </c:numCache>
            </c:numRef>
          </c:xVal>
          <c:yVal>
            <c:numRef>
              <c:f>'R1C2EA'!$E$7:$E$17</c:f>
              <c:numCache>
                <c:formatCode>General</c:formatCode>
                <c:ptCount val="11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  <c:pt idx="9">
                  <c:v>1000</c:v>
                </c:pt>
                <c:pt idx="1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CA-8444-8750-38E9BD9A9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'R1C2EA'!$BF$22:$BF$30</c:f>
              <c:numCache>
                <c:formatCode>General</c:formatCode>
                <c:ptCount val="9"/>
                <c:pt idx="0">
                  <c:v>21.16</c:v>
                </c:pt>
                <c:pt idx="1">
                  <c:v>45.89</c:v>
                </c:pt>
                <c:pt idx="2">
                  <c:v>49.82</c:v>
                </c:pt>
                <c:pt idx="3">
                  <c:v>48.559999999999995</c:v>
                </c:pt>
                <c:pt idx="4">
                  <c:v>36.36</c:v>
                </c:pt>
                <c:pt idx="5">
                  <c:v>34.46</c:v>
                </c:pt>
                <c:pt idx="6">
                  <c:v>35.729999999999997</c:v>
                </c:pt>
                <c:pt idx="7">
                  <c:v>37.74</c:v>
                </c:pt>
                <c:pt idx="8">
                  <c:v>29.88</c:v>
                </c:pt>
              </c:numCache>
            </c:numRef>
          </c:xVal>
          <c:yVal>
            <c:numRef>
              <c:f>'R1C2EA'!$AO$22:$AO$30</c:f>
              <c:numCache>
                <c:formatCode>General</c:formatCode>
                <c:ptCount val="9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8-7E46-8AA5-E742CB9C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R1C2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R1C3</a:t>
            </a:r>
          </a:p>
        </c:rich>
      </c:tx>
      <c:layout>
        <c:manualLayout>
          <c:xMode val="edge"/>
          <c:yMode val="edge"/>
          <c:x val="0.43329457450641334"/>
          <c:y val="4.03687544229595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78241981289395"/>
          <c:y val="0.19698844717006214"/>
          <c:w val="0.7392954169023479"/>
          <c:h val="0.73009236373304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'R1C3EA'!$E$27</c:f>
              <c:strCache>
                <c:ptCount val="1"/>
                <c:pt idx="0">
                  <c:v>SiO2</c:v>
                </c:pt>
              </c:strCache>
            </c:strRef>
          </c:tx>
          <c:spPr>
            <a:ln w="47625">
              <a:solidFill>
                <a:srgbClr val="FEA817"/>
              </a:solidFill>
            </a:ln>
          </c:spPr>
          <c:marker>
            <c:symbol val="none"/>
          </c:marker>
          <c:xVal>
            <c:numRef>
              <c:f>'R1C3EA'!$E$28:$E$38</c:f>
              <c:numCache>
                <c:formatCode>0.00</c:formatCode>
                <c:ptCount val="11"/>
                <c:pt idx="0">
                  <c:v>1.2398672521704022</c:v>
                </c:pt>
                <c:pt idx="1">
                  <c:v>1.3475434668071653</c:v>
                </c:pt>
                <c:pt idx="2">
                  <c:v>0.10324818596877439</c:v>
                </c:pt>
                <c:pt idx="3">
                  <c:v>-0.40978548133153392</c:v>
                </c:pt>
                <c:pt idx="4">
                  <c:v>-0.43455221785513753</c:v>
                </c:pt>
                <c:pt idx="5">
                  <c:v>-0.51809728437152258</c:v>
                </c:pt>
                <c:pt idx="6">
                  <c:v>-0.48844354582936877</c:v>
                </c:pt>
                <c:pt idx="7">
                  <c:v>-0.41835155985079686</c:v>
                </c:pt>
                <c:pt idx="8">
                  <c:v>-0.35933753631773435</c:v>
                </c:pt>
                <c:pt idx="9">
                  <c:v>-0.33256896427542482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A4-3C4A-BD7D-1CC236E2E8D5}"/>
            </c:ext>
          </c:extLst>
        </c:ser>
        <c:ser>
          <c:idx val="1"/>
          <c:order val="1"/>
          <c:tx>
            <c:strRef>
              <c:f>'R1C3EA'!$F$27</c:f>
              <c:strCache>
                <c:ptCount val="1"/>
                <c:pt idx="0">
                  <c:v>Al2O3</c:v>
                </c:pt>
              </c:strCache>
            </c:strRef>
          </c:tx>
          <c:marker>
            <c:symbol val="none"/>
          </c:marker>
          <c:xVal>
            <c:numRef>
              <c:f>'R1C3EA'!$F$28:$F$38</c:f>
              <c:numCache>
                <c:formatCode>0.00</c:formatCode>
                <c:ptCount val="11"/>
                <c:pt idx="0">
                  <c:v>-0.23808845544956969</c:v>
                </c:pt>
                <c:pt idx="1">
                  <c:v>-0.20164631360493113</c:v>
                </c:pt>
                <c:pt idx="2">
                  <c:v>1.3067301997573555E-3</c:v>
                </c:pt>
                <c:pt idx="3">
                  <c:v>1.498269415766651E-2</c:v>
                </c:pt>
                <c:pt idx="4">
                  <c:v>-6.8351301024302868E-2</c:v>
                </c:pt>
                <c:pt idx="5">
                  <c:v>-0.11621717409766119</c:v>
                </c:pt>
                <c:pt idx="6">
                  <c:v>-0.1453239236475099</c:v>
                </c:pt>
                <c:pt idx="7">
                  <c:v>-0.14006453404887043</c:v>
                </c:pt>
                <c:pt idx="8">
                  <c:v>-0.10264542565053569</c:v>
                </c:pt>
                <c:pt idx="9">
                  <c:v>-0.15504538207963625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A4-3C4A-BD7D-1CC236E2E8D5}"/>
            </c:ext>
          </c:extLst>
        </c:ser>
        <c:ser>
          <c:idx val="2"/>
          <c:order val="2"/>
          <c:tx>
            <c:strRef>
              <c:f>'R1C3EA'!$G$27</c:f>
              <c:strCache>
                <c:ptCount val="1"/>
                <c:pt idx="0">
                  <c:v>Fe2O3(T)</c:v>
                </c:pt>
              </c:strCache>
            </c:strRef>
          </c:tx>
          <c:marker>
            <c:symbol val="none"/>
          </c:marker>
          <c:xVal>
            <c:numRef>
              <c:f>'R1C3EA'!$G$28:$G$38</c:f>
              <c:numCache>
                <c:formatCode>0.00</c:formatCode>
                <c:ptCount val="11"/>
                <c:pt idx="0">
                  <c:v>-0.25718777787801073</c:v>
                </c:pt>
                <c:pt idx="1">
                  <c:v>-0.2246261462233482</c:v>
                </c:pt>
                <c:pt idx="2">
                  <c:v>-4.728884078070561E-2</c:v>
                </c:pt>
                <c:pt idx="3">
                  <c:v>0.13313664685445192</c:v>
                </c:pt>
                <c:pt idx="4">
                  <c:v>0.14579084527834341</c:v>
                </c:pt>
                <c:pt idx="5">
                  <c:v>0.10269860196187786</c:v>
                </c:pt>
                <c:pt idx="6">
                  <c:v>8.6293001287839122E-2</c:v>
                </c:pt>
                <c:pt idx="7">
                  <c:v>0.12435961259579797</c:v>
                </c:pt>
                <c:pt idx="8">
                  <c:v>5.5502440587757551E-2</c:v>
                </c:pt>
                <c:pt idx="9">
                  <c:v>6.4786038728185336E-2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A4-3C4A-BD7D-1CC236E2E8D5}"/>
            </c:ext>
          </c:extLst>
        </c:ser>
        <c:ser>
          <c:idx val="3"/>
          <c:order val="3"/>
          <c:tx>
            <c:strRef>
              <c:f>'R1C3EA'!$I$27</c:f>
              <c:strCache>
                <c:ptCount val="1"/>
                <c:pt idx="0">
                  <c:v>MgO</c:v>
                </c:pt>
              </c:strCache>
            </c:strRef>
          </c:tx>
          <c:marker>
            <c:symbol val="none"/>
          </c:marker>
          <c:xVal>
            <c:numRef>
              <c:f>'R1C3EA'!$I$28:$I$38</c:f>
              <c:numCache>
                <c:formatCode>0.00</c:formatCode>
                <c:ptCount val="11"/>
                <c:pt idx="0">
                  <c:v>-0.8974812781429844</c:v>
                </c:pt>
                <c:pt idx="1">
                  <c:v>-0.89298730677390981</c:v>
                </c:pt>
                <c:pt idx="2">
                  <c:v>-0.92834847799769549</c:v>
                </c:pt>
                <c:pt idx="3">
                  <c:v>-0.95717145501368095</c:v>
                </c:pt>
                <c:pt idx="4">
                  <c:v>-0.97180262314528709</c:v>
                </c:pt>
                <c:pt idx="5">
                  <c:v>-0.97503113166789501</c:v>
                </c:pt>
                <c:pt idx="6">
                  <c:v>-0.92567148805419042</c:v>
                </c:pt>
                <c:pt idx="7">
                  <c:v>-0.82272018815272485</c:v>
                </c:pt>
                <c:pt idx="8">
                  <c:v>-0.67276773548914526</c:v>
                </c:pt>
                <c:pt idx="9">
                  <c:v>-0.34506751881249365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A4-3C4A-BD7D-1CC236E2E8D5}"/>
            </c:ext>
          </c:extLst>
        </c:ser>
        <c:ser>
          <c:idx val="4"/>
          <c:order val="4"/>
          <c:tx>
            <c:strRef>
              <c:f>'R1C3EA'!$J$27</c:f>
              <c:strCache>
                <c:ptCount val="1"/>
                <c:pt idx="0">
                  <c:v>CaO</c:v>
                </c:pt>
              </c:strCache>
            </c:strRef>
          </c:tx>
          <c:marker>
            <c:symbol val="none"/>
          </c:marker>
          <c:xVal>
            <c:numRef>
              <c:f>'R1C3EA'!$J$28:$J$38</c:f>
              <c:numCache>
                <c:formatCode>0.00</c:formatCode>
                <c:ptCount val="11"/>
                <c:pt idx="0">
                  <c:v>-0.92954261864807886</c:v>
                </c:pt>
                <c:pt idx="1">
                  <c:v>-0.94116326072310807</c:v>
                </c:pt>
                <c:pt idx="2">
                  <c:v>-0.9829289269983581</c:v>
                </c:pt>
                <c:pt idx="3">
                  <c:v>-0.98626390087239957</c:v>
                </c:pt>
                <c:pt idx="4">
                  <c:v>-0.99813387123426611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-0.99803122388741605</c:v>
                </c:pt>
                <c:pt idx="9">
                  <c:v>-0.67827101369190146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A4-3C4A-BD7D-1CC236E2E8D5}"/>
            </c:ext>
          </c:extLst>
        </c:ser>
        <c:ser>
          <c:idx val="5"/>
          <c:order val="5"/>
          <c:tx>
            <c:strRef>
              <c:f>'R1C3EA'!$K$27</c:f>
              <c:strCache>
                <c:ptCount val="1"/>
                <c:pt idx="0">
                  <c:v>Na2O</c:v>
                </c:pt>
              </c:strCache>
            </c:strRef>
          </c:tx>
          <c:marker>
            <c:symbol val="none"/>
          </c:marker>
          <c:xVal>
            <c:numRef>
              <c:f>'R1C3EA'!$K$28:$K$38</c:f>
              <c:numCache>
                <c:formatCode>0.00</c:formatCode>
                <c:ptCount val="11"/>
                <c:pt idx="0">
                  <c:v>-0.9560798513324521</c:v>
                </c:pt>
                <c:pt idx="1">
                  <c:v>-0.92140785921407864</c:v>
                </c:pt>
                <c:pt idx="2">
                  <c:v>-0.97719703387371915</c:v>
                </c:pt>
                <c:pt idx="3">
                  <c:v>-0.98951530285567935</c:v>
                </c:pt>
                <c:pt idx="4">
                  <c:v>-0.99252186355921235</c:v>
                </c:pt>
                <c:pt idx="5">
                  <c:v>-0.9889634766901888</c:v>
                </c:pt>
                <c:pt idx="6">
                  <c:v>-0.99090195642662182</c:v>
                </c:pt>
                <c:pt idx="7">
                  <c:v>-0.98540888535764937</c:v>
                </c:pt>
                <c:pt idx="8">
                  <c:v>-0.98685087486850875</c:v>
                </c:pt>
                <c:pt idx="9">
                  <c:v>-0.70454359058476168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A4-3C4A-BD7D-1CC236E2E8D5}"/>
            </c:ext>
          </c:extLst>
        </c:ser>
        <c:ser>
          <c:idx val="6"/>
          <c:order val="6"/>
          <c:tx>
            <c:strRef>
              <c:f>'R1C3EA'!$L$27</c:f>
              <c:strCache>
                <c:ptCount val="1"/>
                <c:pt idx="0">
                  <c:v>K2O</c:v>
                </c:pt>
              </c:strCache>
            </c:strRef>
          </c:tx>
          <c:marker>
            <c:symbol val="none"/>
          </c:marker>
          <c:xVal>
            <c:numRef>
              <c:f>'R1C3EA'!$L$28:$L$38</c:f>
              <c:numCache>
                <c:formatCode>0.00</c:formatCode>
                <c:ptCount val="11"/>
                <c:pt idx="0">
                  <c:v>-0.10368575722906415</c:v>
                </c:pt>
                <c:pt idx="1">
                  <c:v>-4.905748741365179E-2</c:v>
                </c:pt>
                <c:pt idx="2">
                  <c:v>-0.54608454608454604</c:v>
                </c:pt>
                <c:pt idx="3">
                  <c:v>-0.88336894586894588</c:v>
                </c:pt>
                <c:pt idx="4">
                  <c:v>-0.94162366425140143</c:v>
                </c:pt>
                <c:pt idx="5">
                  <c:v>-0.95347680943248814</c:v>
                </c:pt>
                <c:pt idx="6">
                  <c:v>-0.90944725007522342</c:v>
                </c:pt>
                <c:pt idx="7">
                  <c:v>-0.74372016589717505</c:v>
                </c:pt>
                <c:pt idx="8">
                  <c:v>-0.53193609959286525</c:v>
                </c:pt>
                <c:pt idx="9">
                  <c:v>-0.28920580044175548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A4-3C4A-BD7D-1CC236E2E8D5}"/>
            </c:ext>
          </c:extLst>
        </c:ser>
        <c:ser>
          <c:idx val="7"/>
          <c:order val="7"/>
          <c:tx>
            <c:strRef>
              <c:f>'R1C3EA'!$O$27</c:f>
              <c:strCache>
                <c:ptCount val="1"/>
                <c:pt idx="0">
                  <c:v> H2O</c:v>
                </c:pt>
              </c:strCache>
            </c:strRef>
          </c:tx>
          <c:marker>
            <c:symbol val="none"/>
          </c:marker>
          <c:xVal>
            <c:numRef>
              <c:f>'R1C3EA'!$O$28:$O$38</c:f>
              <c:numCache>
                <c:formatCode>0.00</c:formatCode>
                <c:ptCount val="11"/>
                <c:pt idx="0">
                  <c:v>1.8607546103981099</c:v>
                </c:pt>
                <c:pt idx="1">
                  <c:v>1.7082659188149427</c:v>
                </c:pt>
                <c:pt idx="2">
                  <c:v>1.3805857733602065</c:v>
                </c:pt>
                <c:pt idx="3">
                  <c:v>1.2940985172906014</c:v>
                </c:pt>
                <c:pt idx="4">
                  <c:v>1.1511909551452053</c:v>
                </c:pt>
                <c:pt idx="5">
                  <c:v>0.95409611194722532</c:v>
                </c:pt>
                <c:pt idx="6">
                  <c:v>0.95307056646463439</c:v>
                </c:pt>
                <c:pt idx="7">
                  <c:v>0.89055144810866094</c:v>
                </c:pt>
                <c:pt idx="8">
                  <c:v>0.97637217790020459</c:v>
                </c:pt>
                <c:pt idx="9">
                  <c:v>0.5028163614379666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A4-3C4A-BD7D-1CC236E2E8D5}"/>
            </c:ext>
          </c:extLst>
        </c:ser>
        <c:ser>
          <c:idx val="8"/>
          <c:order val="8"/>
          <c:tx>
            <c:strRef>
              <c:f>'R1C3EA'!$M$27</c:f>
              <c:strCache>
                <c:ptCount val="1"/>
                <c:pt idx="0">
                  <c:v>TiO2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'R1C3EA'!$M$28:$M$38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'R1C3EA'!$E$7:$E$17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A4-3C4A-BD7D-1CC236E2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4056"/>
        <c:axId val="-2136643352"/>
      </c:scatterChart>
      <c:valAx>
        <c:axId val="-2136024056"/>
        <c:scaling>
          <c:orientation val="minMax"/>
          <c:max val="3"/>
          <c:min val="-1"/>
        </c:scaling>
        <c:delete val="0"/>
        <c:axPos val="t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Tau</a:t>
                </a:r>
              </a:p>
            </c:rich>
          </c:tx>
          <c:layout>
            <c:manualLayout>
              <c:xMode val="edge"/>
              <c:yMode val="edge"/>
              <c:x val="0.54023801895979218"/>
              <c:y val="4.0267180585705317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643352"/>
        <c:crosses val="autoZero"/>
        <c:crossBetween val="midCat"/>
      </c:valAx>
      <c:valAx>
        <c:axId val="-2136643352"/>
        <c:scaling>
          <c:orientation val="maxMin"/>
          <c:max val="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layout>
            <c:manualLayout>
              <c:xMode val="edge"/>
              <c:yMode val="edge"/>
              <c:x val="4.3203767178007071E-2"/>
              <c:y val="0.464896288813584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 b="1"/>
            </a:pPr>
            <a:endParaRPr lang="en-US"/>
          </a:p>
        </c:txPr>
        <c:crossAx val="-2136024056"/>
        <c:crossesAt val="-1"/>
        <c:crossBetween val="midCat"/>
      </c:valAx>
      <c:spPr>
        <a:ln w="158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'R1C3EA'!$AM$24:$AM$34</c:f>
              <c:numCache>
                <c:formatCode>General</c:formatCode>
                <c:ptCount val="11"/>
                <c:pt idx="0">
                  <c:v>0.89102564102564086</c:v>
                </c:pt>
                <c:pt idx="1">
                  <c:v>0.89102564102564086</c:v>
                </c:pt>
                <c:pt idx="2">
                  <c:v>0.83162393162393156</c:v>
                </c:pt>
                <c:pt idx="3">
                  <c:v>0.53461538461538449</c:v>
                </c:pt>
                <c:pt idx="5">
                  <c:v>0.53461538461538449</c:v>
                </c:pt>
                <c:pt idx="6">
                  <c:v>0.44551282051282043</c:v>
                </c:pt>
                <c:pt idx="7">
                  <c:v>0.65341880341880343</c:v>
                </c:pt>
                <c:pt idx="8">
                  <c:v>0.77571644042232268</c:v>
                </c:pt>
                <c:pt idx="9">
                  <c:v>0.99794871794871787</c:v>
                </c:pt>
                <c:pt idx="10">
                  <c:v>1.2192982456140351</c:v>
                </c:pt>
              </c:numCache>
            </c:numRef>
          </c:xVal>
          <c:yVal>
            <c:numRef>
              <c:f>'R1C3EA'!$AO$24:$AO$34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5-FE48-B23B-43E75401F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1.25"/>
          <c:min val="0.2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R1C3 Y/Ho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2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'R1C3EA'!$BH$24:$BH$34</c:f>
              <c:numCache>
                <c:formatCode>0.00</c:formatCode>
                <c:ptCount val="11"/>
                <c:pt idx="0">
                  <c:v>1.2675338097110447</c:v>
                </c:pt>
                <c:pt idx="1">
                  <c:v>1.2737135591418876</c:v>
                </c:pt>
                <c:pt idx="2">
                  <c:v>1.1821564538220959</c:v>
                </c:pt>
                <c:pt idx="3">
                  <c:v>1.0377219486442231</c:v>
                </c:pt>
                <c:pt idx="4">
                  <c:v>1.2123287949174699</c:v>
                </c:pt>
                <c:pt idx="5">
                  <c:v>1.2162919929863758</c:v>
                </c:pt>
                <c:pt idx="6">
                  <c:v>1.5233268049066324</c:v>
                </c:pt>
                <c:pt idx="7">
                  <c:v>1.4400504711728681</c:v>
                </c:pt>
                <c:pt idx="8">
                  <c:v>0.60749354406979517</c:v>
                </c:pt>
                <c:pt idx="9">
                  <c:v>0.43198865362548533</c:v>
                </c:pt>
                <c:pt idx="10">
                  <c:v>0.67419861573190143</c:v>
                </c:pt>
              </c:numCache>
            </c:numRef>
          </c:xVal>
          <c:yVal>
            <c:numRef>
              <c:f>'R1C3EA'!$AO$24:$AO$34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8-C44D-A2B6-6EAD70C86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2.5"/>
          <c:min val="0.4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R1C3 Ce/Ce*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  <c:majorUnit val="0.60000000000000009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64002167479428E-2"/>
          <c:y val="0.1233507585002416"/>
          <c:w val="0.26442314625306279"/>
          <c:h val="0.849262355828435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'R1C3EA'!$BD$24:$BD$34</c:f>
              <c:numCache>
                <c:formatCode>General</c:formatCode>
                <c:ptCount val="11"/>
                <c:pt idx="0">
                  <c:v>70.690000000000012</c:v>
                </c:pt>
                <c:pt idx="1">
                  <c:v>77.300000000000011</c:v>
                </c:pt>
                <c:pt idx="2">
                  <c:v>56.330000000000005</c:v>
                </c:pt>
                <c:pt idx="3">
                  <c:v>30.48</c:v>
                </c:pt>
                <c:pt idx="4">
                  <c:v>34.69</c:v>
                </c:pt>
                <c:pt idx="5">
                  <c:v>38.800000000000011</c:v>
                </c:pt>
                <c:pt idx="6">
                  <c:v>61.449999999999996</c:v>
                </c:pt>
                <c:pt idx="7">
                  <c:v>108.55999999999999</c:v>
                </c:pt>
                <c:pt idx="8">
                  <c:v>202.07999999999998</c:v>
                </c:pt>
                <c:pt idx="9">
                  <c:v>193.35000000000002</c:v>
                </c:pt>
                <c:pt idx="10">
                  <c:v>157.26</c:v>
                </c:pt>
              </c:numCache>
            </c:numRef>
          </c:xVal>
          <c:yVal>
            <c:numRef>
              <c:f>'R1C3EA'!$AO$24:$AO$34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B-1F46-AB9F-8D7FB782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logBase val="10"/>
          <c:orientation val="minMax"/>
          <c:max val="100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R1C3 Sum REE (ppm)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00720754976863E-2"/>
          <c:y val="0.12537268284683764"/>
          <c:w val="0.26395061081780818"/>
          <c:h val="0.8492623558284357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'R1C3EA'!$BF$24:$BF$34</c:f>
              <c:numCache>
                <c:formatCode>0.00</c:formatCode>
                <c:ptCount val="11"/>
                <c:pt idx="0">
                  <c:v>16.82</c:v>
                </c:pt>
                <c:pt idx="1">
                  <c:v>16.259999999999998</c:v>
                </c:pt>
                <c:pt idx="2">
                  <c:v>31.310000000000002</c:v>
                </c:pt>
                <c:pt idx="3">
                  <c:v>46.81</c:v>
                </c:pt>
                <c:pt idx="4">
                  <c:v>46.379999999999995</c:v>
                </c:pt>
                <c:pt idx="5">
                  <c:v>49.300000000000004</c:v>
                </c:pt>
                <c:pt idx="6">
                  <c:v>46.85</c:v>
                </c:pt>
                <c:pt idx="7">
                  <c:v>43.95</c:v>
                </c:pt>
                <c:pt idx="8">
                  <c:v>41.43</c:v>
                </c:pt>
                <c:pt idx="9">
                  <c:v>36.93</c:v>
                </c:pt>
                <c:pt idx="10">
                  <c:v>27.61</c:v>
                </c:pt>
              </c:numCache>
            </c:numRef>
          </c:xVal>
          <c:yVal>
            <c:numRef>
              <c:f>'R1C3EA'!$AO$24:$AO$34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7-2347-BF6B-178A3449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236120"/>
        <c:axId val="-2135230648"/>
      </c:scatterChart>
      <c:valAx>
        <c:axId val="-2135236120"/>
        <c:scaling>
          <c:orientation val="minMax"/>
          <c:max val="70"/>
          <c:min val="10"/>
        </c:scaling>
        <c:delete val="0"/>
        <c:axPos val="t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R1C3 Al</a:t>
                </a:r>
                <a:r>
                  <a:rPr lang="en-US" sz="1600" baseline="0"/>
                  <a:t> + Fe + LOI (wt%)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1905526830287442E-2"/>
              <c:y val="1.2131546079576255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0648"/>
        <c:crosses val="autoZero"/>
        <c:crossBetween val="midCat"/>
      </c:valAx>
      <c:valAx>
        <c:axId val="-2135230648"/>
        <c:scaling>
          <c:orientation val="maxMin"/>
          <c:max val="8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-2135236120"/>
        <c:crosses val="max"/>
        <c:crossBetween val="midCat"/>
      </c:valAx>
    </c:plotArea>
    <c:plotVisOnly val="1"/>
    <c:dispBlanksAs val="gap"/>
    <c:showDLblsOverMax val="0"/>
  </c:chart>
  <c:spPr>
    <a:noFill/>
    <a:ln>
      <a:noFill/>
    </a:ln>
  </c:spPr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R1C3</a:t>
            </a:r>
            <a:r>
              <a:rPr lang="en-US" sz="2400" baseline="0"/>
              <a:t> REE</a:t>
            </a:r>
            <a:endParaRPr lang="en-US" sz="2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'R1C3EA'!$AO$24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'R1C3EA'!$AP$24:$BC$24</c:f>
              <c:numCache>
                <c:formatCode>General</c:formatCode>
                <c:ptCount val="14"/>
                <c:pt idx="0">
                  <c:v>33.514986376021803</c:v>
                </c:pt>
                <c:pt idx="1">
                  <c:v>35.214211076280044</c:v>
                </c:pt>
                <c:pt idx="2">
                  <c:v>22.408759124087588</c:v>
                </c:pt>
                <c:pt idx="3" formatCode="0.000">
                  <c:v>16.31504922644163</c:v>
                </c:pt>
                <c:pt idx="4">
                  <c:v>9.5238095238095237</c:v>
                </c:pt>
                <c:pt idx="5">
                  <c:v>6.3218390804597711</c:v>
                </c:pt>
                <c:pt idx="6">
                  <c:v>6.5359477124183005</c:v>
                </c:pt>
                <c:pt idx="7">
                  <c:v>5.1724137931034475</c:v>
                </c:pt>
                <c:pt idx="8">
                  <c:v>4.9868766404199469</c:v>
                </c:pt>
                <c:pt idx="9">
                  <c:v>4.7058823529411766</c:v>
                </c:pt>
                <c:pt idx="10">
                  <c:v>4.4176706827309244</c:v>
                </c:pt>
                <c:pt idx="11">
                  <c:v>4.7222222222222232</c:v>
                </c:pt>
                <c:pt idx="12">
                  <c:v>4.838709677419355</c:v>
                </c:pt>
                <c:pt idx="13">
                  <c:v>5.2631578947368425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0-7744-901E-45858C5ADA11}"/>
            </c:ext>
          </c:extLst>
        </c:ser>
        <c:ser>
          <c:idx val="1"/>
          <c:order val="1"/>
          <c:tx>
            <c:strRef>
              <c:f>'R1C3EA'!$AO$25</c:f>
              <c:strCache>
                <c:ptCount val="1"/>
                <c:pt idx="0">
                  <c:v>14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'R1C3EA'!$AP$25:$BC$25</c:f>
              <c:numCache>
                <c:formatCode>General</c:formatCode>
                <c:ptCount val="14"/>
                <c:pt idx="0">
                  <c:v>37.057220708446863</c:v>
                </c:pt>
                <c:pt idx="1">
                  <c:v>38.871473354231981</c:v>
                </c:pt>
                <c:pt idx="2">
                  <c:v>24.379562043795616</c:v>
                </c:pt>
                <c:pt idx="3">
                  <c:v>17.440225035161745</c:v>
                </c:pt>
                <c:pt idx="4">
                  <c:v>10.822510822510822</c:v>
                </c:pt>
                <c:pt idx="5">
                  <c:v>6.4367816091954033</c:v>
                </c:pt>
                <c:pt idx="6">
                  <c:v>7.1895424836601318</c:v>
                </c:pt>
                <c:pt idx="7">
                  <c:v>5.1724137931034475</c:v>
                </c:pt>
                <c:pt idx="8">
                  <c:v>4.9868766404199469</c:v>
                </c:pt>
                <c:pt idx="9">
                  <c:v>4.7058823529411766</c:v>
                </c:pt>
                <c:pt idx="10">
                  <c:v>4.8192771084337345</c:v>
                </c:pt>
                <c:pt idx="11">
                  <c:v>5.2777777777777786</c:v>
                </c:pt>
                <c:pt idx="12">
                  <c:v>5.241935483870968</c:v>
                </c:pt>
                <c:pt idx="13">
                  <c:v>5.5263157894736841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0-7744-901E-45858C5ADA11}"/>
            </c:ext>
          </c:extLst>
        </c:ser>
        <c:ser>
          <c:idx val="2"/>
          <c:order val="2"/>
          <c:tx>
            <c:strRef>
              <c:f>'R1C3EA'!$AO$26</c:f>
              <c:strCache>
                <c:ptCount val="1"/>
                <c:pt idx="0">
                  <c:v>38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'R1C3EA'!$AP$26:$BC$26</c:f>
              <c:numCache>
                <c:formatCode>General</c:formatCode>
                <c:ptCount val="14"/>
                <c:pt idx="0">
                  <c:v>28.065395095367851</c:v>
                </c:pt>
                <c:pt idx="1">
                  <c:v>27.272727272727277</c:v>
                </c:pt>
                <c:pt idx="2">
                  <c:v>17.664233576642335</c:v>
                </c:pt>
                <c:pt idx="3">
                  <c:v>13.080168776371309</c:v>
                </c:pt>
                <c:pt idx="4">
                  <c:v>7.7922077922077921</c:v>
                </c:pt>
                <c:pt idx="5">
                  <c:v>4.4827586206896557</c:v>
                </c:pt>
                <c:pt idx="6">
                  <c:v>5.2287581699346406</c:v>
                </c:pt>
                <c:pt idx="7">
                  <c:v>3.4482758620689657</c:v>
                </c:pt>
                <c:pt idx="8">
                  <c:v>3.9370078740157481</c:v>
                </c:pt>
                <c:pt idx="9">
                  <c:v>3.5294117647058818</c:v>
                </c:pt>
                <c:pt idx="10">
                  <c:v>4.0160642570281126</c:v>
                </c:pt>
                <c:pt idx="11">
                  <c:v>4.166666666666667</c:v>
                </c:pt>
                <c:pt idx="12">
                  <c:v>4.435483870967742</c:v>
                </c:pt>
                <c:pt idx="13">
                  <c:v>4.4736842105263159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0-7744-901E-45858C5ADA11}"/>
            </c:ext>
          </c:extLst>
        </c:ser>
        <c:ser>
          <c:idx val="3"/>
          <c:order val="3"/>
          <c:tx>
            <c:strRef>
              <c:f>'R1C3EA'!$AO$27</c:f>
              <c:strCache>
                <c:ptCount val="1"/>
                <c:pt idx="0">
                  <c:v>72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'R1C3EA'!$AP$27:$BC$27</c:f>
              <c:numCache>
                <c:formatCode>General</c:formatCode>
                <c:ptCount val="14"/>
                <c:pt idx="0">
                  <c:v>17.166212534059945</c:v>
                </c:pt>
                <c:pt idx="1">
                  <c:v>14.211076280041798</c:v>
                </c:pt>
                <c:pt idx="2">
                  <c:v>9.8540145985401466</c:v>
                </c:pt>
                <c:pt idx="3">
                  <c:v>6.7510548523206753</c:v>
                </c:pt>
                <c:pt idx="4">
                  <c:v>4.329004329004329</c:v>
                </c:pt>
                <c:pt idx="5">
                  <c:v>2.6436781609195403</c:v>
                </c:pt>
                <c:pt idx="6">
                  <c:v>2.2875816993464051</c:v>
                </c:pt>
                <c:pt idx="7">
                  <c:v>1.7241379310344829</c:v>
                </c:pt>
                <c:pt idx="8">
                  <c:v>2.0997375328083989</c:v>
                </c:pt>
                <c:pt idx="9">
                  <c:v>2.3529411764705883</c:v>
                </c:pt>
                <c:pt idx="10">
                  <c:v>2.0080321285140563</c:v>
                </c:pt>
                <c:pt idx="11">
                  <c:v>2.5</c:v>
                </c:pt>
                <c:pt idx="12">
                  <c:v>2.82258064516129</c:v>
                </c:pt>
                <c:pt idx="13">
                  <c:v>2.8947368421052633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00-7744-901E-45858C5ADA11}"/>
            </c:ext>
          </c:extLst>
        </c:ser>
        <c:ser>
          <c:idx val="4"/>
          <c:order val="4"/>
          <c:tx>
            <c:strRef>
              <c:f>'R1C3EA'!$AO$28</c:f>
              <c:strCache>
                <c:ptCount val="1"/>
                <c:pt idx="0">
                  <c:v>110.5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'R1C3EA'!$AP$28:$BC$28</c:f>
              <c:numCache>
                <c:formatCode>General</c:formatCode>
                <c:ptCount val="14"/>
                <c:pt idx="0">
                  <c:v>16.348773841961854</c:v>
                </c:pt>
                <c:pt idx="1">
                  <c:v>16.509926854754443</c:v>
                </c:pt>
                <c:pt idx="2">
                  <c:v>11.094890510948904</c:v>
                </c:pt>
                <c:pt idx="3">
                  <c:v>8.157524613220815</c:v>
                </c:pt>
                <c:pt idx="4">
                  <c:v>5.1948051948051948</c:v>
                </c:pt>
                <c:pt idx="5">
                  <c:v>3.6781609195402303</c:v>
                </c:pt>
                <c:pt idx="6">
                  <c:v>2.9411764705882355</c:v>
                </c:pt>
                <c:pt idx="7">
                  <c:v>3.4482758620689657</c:v>
                </c:pt>
                <c:pt idx="8">
                  <c:v>2.6246719160104988</c:v>
                </c:pt>
                <c:pt idx="9">
                  <c:v>2.3529411764705883</c:v>
                </c:pt>
                <c:pt idx="10">
                  <c:v>2.4096385542168672</c:v>
                </c:pt>
                <c:pt idx="11">
                  <c:v>3.0555555555555558</c:v>
                </c:pt>
                <c:pt idx="12">
                  <c:v>3.6290322580645165</c:v>
                </c:pt>
                <c:pt idx="13">
                  <c:v>3.6842105263157898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00-7744-901E-45858C5ADA11}"/>
            </c:ext>
          </c:extLst>
        </c:ser>
        <c:ser>
          <c:idx val="5"/>
          <c:order val="5"/>
          <c:tx>
            <c:strRef>
              <c:f>'R1C3EA'!$AO$29</c:f>
              <c:strCache>
                <c:ptCount val="1"/>
                <c:pt idx="0">
                  <c:v>167.5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'R1C3EA'!$AP$29:$BC$29</c:f>
              <c:numCache>
                <c:formatCode>General</c:formatCode>
                <c:ptCount val="14"/>
                <c:pt idx="0">
                  <c:v>17.711171662125341</c:v>
                </c:pt>
                <c:pt idx="1">
                  <c:v>18.18181818181818</c:v>
                </c:pt>
                <c:pt idx="2">
                  <c:v>12.91970802919708</c:v>
                </c:pt>
                <c:pt idx="3">
                  <c:v>9.423347398030943</c:v>
                </c:pt>
                <c:pt idx="4">
                  <c:v>6.0606060606060597</c:v>
                </c:pt>
                <c:pt idx="5">
                  <c:v>4.1379310344827589</c:v>
                </c:pt>
                <c:pt idx="6">
                  <c:v>3.5947712418300659</c:v>
                </c:pt>
                <c:pt idx="7">
                  <c:v>3.4482758620689657</c:v>
                </c:pt>
                <c:pt idx="8">
                  <c:v>3.1496062992125982</c:v>
                </c:pt>
                <c:pt idx="9">
                  <c:v>2.3529411764705883</c:v>
                </c:pt>
                <c:pt idx="10">
                  <c:v>2.8112449799196786</c:v>
                </c:pt>
                <c:pt idx="11">
                  <c:v>3.6111111111111116</c:v>
                </c:pt>
                <c:pt idx="12">
                  <c:v>4.032258064516129</c:v>
                </c:pt>
                <c:pt idx="13">
                  <c:v>3.6842105263157898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00-7744-901E-45858C5ADA11}"/>
            </c:ext>
          </c:extLst>
        </c:ser>
        <c:ser>
          <c:idx val="6"/>
          <c:order val="6"/>
          <c:tx>
            <c:strRef>
              <c:f>'R1C3EA'!$AO$30</c:f>
              <c:strCache>
                <c:ptCount val="1"/>
                <c:pt idx="0">
                  <c:v>250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'R1C3EA'!$AP$30:$BC$30</c:f>
              <c:numCache>
                <c:formatCode>General</c:formatCode>
                <c:ptCount val="14"/>
                <c:pt idx="0">
                  <c:v>22.070844686648499</c:v>
                </c:pt>
                <c:pt idx="1">
                  <c:v>30.19853709508882</c:v>
                </c:pt>
                <c:pt idx="2">
                  <c:v>19.562043795620436</c:v>
                </c:pt>
                <c:pt idx="3">
                  <c:v>15.330520393811534</c:v>
                </c:pt>
                <c:pt idx="4">
                  <c:v>10.822510822510822</c:v>
                </c:pt>
                <c:pt idx="5">
                  <c:v>7.126436781609196</c:v>
                </c:pt>
                <c:pt idx="6">
                  <c:v>6.2091503267973858</c:v>
                </c:pt>
                <c:pt idx="7">
                  <c:v>5.1724137931034475</c:v>
                </c:pt>
                <c:pt idx="8">
                  <c:v>5.2493438320209975</c:v>
                </c:pt>
                <c:pt idx="9">
                  <c:v>4.7058823529411766</c:v>
                </c:pt>
                <c:pt idx="10">
                  <c:v>4.8192771084337345</c:v>
                </c:pt>
                <c:pt idx="11">
                  <c:v>5.8333333333333339</c:v>
                </c:pt>
                <c:pt idx="12">
                  <c:v>6.0483870967741939</c:v>
                </c:pt>
                <c:pt idx="13">
                  <c:v>6.3157894736842106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00-7744-901E-45858C5ADA11}"/>
            </c:ext>
          </c:extLst>
        </c:ser>
        <c:ser>
          <c:idx val="7"/>
          <c:order val="7"/>
          <c:tx>
            <c:strRef>
              <c:f>'R1C3EA'!$AO$31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'R1C3EA'!$AP$31:$BC$31</c:f>
              <c:numCache>
                <c:formatCode>General</c:formatCode>
                <c:ptCount val="14"/>
                <c:pt idx="0">
                  <c:v>44.414168937329705</c:v>
                </c:pt>
                <c:pt idx="1">
                  <c:v>54.858934169278996</c:v>
                </c:pt>
                <c:pt idx="2">
                  <c:v>32.919708029197075</c:v>
                </c:pt>
                <c:pt idx="3">
                  <c:v>25.45710267229255</c:v>
                </c:pt>
                <c:pt idx="4">
                  <c:v>18.181818181818183</c:v>
                </c:pt>
                <c:pt idx="5">
                  <c:v>11.724137931034484</c:v>
                </c:pt>
                <c:pt idx="6">
                  <c:v>10.130718954248367</c:v>
                </c:pt>
                <c:pt idx="7">
                  <c:v>8.6206896551724128</c:v>
                </c:pt>
                <c:pt idx="8">
                  <c:v>8.1364829396325469</c:v>
                </c:pt>
                <c:pt idx="9">
                  <c:v>7.0588235294117636</c:v>
                </c:pt>
                <c:pt idx="10">
                  <c:v>7.2289156626506026</c:v>
                </c:pt>
                <c:pt idx="11">
                  <c:v>8.0555555555555554</c:v>
                </c:pt>
                <c:pt idx="12">
                  <c:v>8.870967741935484</c:v>
                </c:pt>
                <c:pt idx="13">
                  <c:v>8.9473684210526319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00-7744-901E-45858C5ADA11}"/>
            </c:ext>
          </c:extLst>
        </c:ser>
        <c:ser>
          <c:idx val="8"/>
          <c:order val="8"/>
          <c:tx>
            <c:strRef>
              <c:f>'R1C3EA'!$AO$32</c:f>
              <c:strCache>
                <c:ptCount val="1"/>
                <c:pt idx="0">
                  <c:v>450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'R1C3EA'!$AP$32:$BC$32</c:f>
              <c:numCache>
                <c:formatCode>General</c:formatCode>
                <c:ptCount val="14"/>
                <c:pt idx="0">
                  <c:v>119.61852861035422</c:v>
                </c:pt>
                <c:pt idx="1">
                  <c:v>60.919540229885058</c:v>
                </c:pt>
                <c:pt idx="2">
                  <c:v>79.56204379562044</c:v>
                </c:pt>
                <c:pt idx="3">
                  <c:v>61.603375527426159</c:v>
                </c:pt>
                <c:pt idx="4">
                  <c:v>42.857142857142854</c:v>
                </c:pt>
                <c:pt idx="5">
                  <c:v>30</c:v>
                </c:pt>
                <c:pt idx="6">
                  <c:v>30.065359477124183</c:v>
                </c:pt>
                <c:pt idx="7">
                  <c:v>24.137931034482754</c:v>
                </c:pt>
                <c:pt idx="8">
                  <c:v>22.047244094488189</c:v>
                </c:pt>
                <c:pt idx="9">
                  <c:v>19.999999999999996</c:v>
                </c:pt>
                <c:pt idx="10">
                  <c:v>20.080321285140563</c:v>
                </c:pt>
                <c:pt idx="11">
                  <c:v>21.111111111111114</c:v>
                </c:pt>
                <c:pt idx="12">
                  <c:v>21.7741935483871</c:v>
                </c:pt>
                <c:pt idx="13">
                  <c:v>21.315789473684212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00-7744-901E-45858C5ADA11}"/>
            </c:ext>
          </c:extLst>
        </c:ser>
        <c:ser>
          <c:idx val="9"/>
          <c:order val="9"/>
          <c:tx>
            <c:strRef>
              <c:f>'R1C3EA'!$AO$33</c:f>
              <c:strCache>
                <c:ptCount val="1"/>
                <c:pt idx="0">
                  <c:v>550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'R1C3EA'!$AP$33:$BC$33</c:f>
              <c:numCache>
                <c:formatCode>General</c:formatCode>
                <c:ptCount val="14"/>
                <c:pt idx="0">
                  <c:v>112.2615803814714</c:v>
                </c:pt>
                <c:pt idx="1">
                  <c:v>40.85684430512017</c:v>
                </c:pt>
                <c:pt idx="2">
                  <c:v>73.722627737226276</c:v>
                </c:pt>
                <c:pt idx="3">
                  <c:v>59.212376933895925</c:v>
                </c:pt>
                <c:pt idx="4">
                  <c:v>47.186147186147188</c:v>
                </c:pt>
                <c:pt idx="5">
                  <c:v>35.747126436781613</c:v>
                </c:pt>
                <c:pt idx="6">
                  <c:v>44.771241830065357</c:v>
                </c:pt>
                <c:pt idx="7">
                  <c:v>36.206896551724135</c:v>
                </c:pt>
                <c:pt idx="8">
                  <c:v>32.283464566929133</c:v>
                </c:pt>
                <c:pt idx="9">
                  <c:v>29.411764705882351</c:v>
                </c:pt>
                <c:pt idx="10">
                  <c:v>28.514056224899598</c:v>
                </c:pt>
                <c:pt idx="11">
                  <c:v>29.166666666666671</c:v>
                </c:pt>
                <c:pt idx="12">
                  <c:v>28.225806451612904</c:v>
                </c:pt>
                <c:pt idx="13">
                  <c:v>28.684210526315791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00-7744-901E-45858C5ADA11}"/>
            </c:ext>
          </c:extLst>
        </c:ser>
        <c:ser>
          <c:idx val="10"/>
          <c:order val="10"/>
          <c:tx>
            <c:strRef>
              <c:f>'R1C3EA'!$AO$34</c:f>
              <c:strCache>
                <c:ptCount val="1"/>
                <c:pt idx="0">
                  <c:v>625</c:v>
                </c:pt>
              </c:strCache>
            </c:strRef>
          </c:tx>
          <c:cat>
            <c:strRef>
              <c:f>'R1C3EA'!$AP$22:$BC$22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'R1C3EA'!$AP$34:$BC$34</c:f>
              <c:numCache>
                <c:formatCode>General</c:formatCode>
                <c:ptCount val="14"/>
                <c:pt idx="0">
                  <c:v>88.283378746593996</c:v>
                </c:pt>
                <c:pt idx="1">
                  <c:v>49.320794148380358</c:v>
                </c:pt>
                <c:pt idx="2">
                  <c:v>57.007299270072984</c:v>
                </c:pt>
                <c:pt idx="3">
                  <c:v>42.897327707454295</c:v>
                </c:pt>
                <c:pt idx="4">
                  <c:v>26.406926406926406</c:v>
                </c:pt>
                <c:pt idx="5">
                  <c:v>19.655172413793103</c:v>
                </c:pt>
                <c:pt idx="6">
                  <c:v>23.856209150326798</c:v>
                </c:pt>
                <c:pt idx="7">
                  <c:v>25.862068965517238</c:v>
                </c:pt>
                <c:pt idx="8">
                  <c:v>25.459317585301836</c:v>
                </c:pt>
                <c:pt idx="9">
                  <c:v>22.352941176470587</c:v>
                </c:pt>
                <c:pt idx="10">
                  <c:v>21.285140562248994</c:v>
                </c:pt>
                <c:pt idx="11">
                  <c:v>19.444444444444446</c:v>
                </c:pt>
                <c:pt idx="12">
                  <c:v>17.741935483870968</c:v>
                </c:pt>
                <c:pt idx="13">
                  <c:v>19.473684210526315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00-7744-901E-45858C5AD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294856"/>
        <c:axId val="2079905400"/>
      </c:lineChart>
      <c:catAx>
        <c:axId val="2147294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2079905400"/>
        <c:crosses val="autoZero"/>
        <c:auto val="1"/>
        <c:lblAlgn val="ctr"/>
        <c:lblOffset val="100"/>
        <c:noMultiLvlLbl val="0"/>
      </c:catAx>
      <c:valAx>
        <c:axId val="2079905400"/>
        <c:scaling>
          <c:logBase val="10"/>
          <c:orientation val="minMax"/>
          <c:max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 b="1" i="0"/>
            </a:pPr>
            <a:endParaRPr lang="en-US"/>
          </a:p>
        </c:txPr>
        <c:crossAx val="2147294856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'R1C3EA'!$M$7:$M$19</c:f>
              <c:numCache>
                <c:formatCode>General</c:formatCode>
                <c:ptCount val="13"/>
                <c:pt idx="0">
                  <c:v>0.61</c:v>
                </c:pt>
                <c:pt idx="1">
                  <c:v>0.62</c:v>
                </c:pt>
                <c:pt idx="2">
                  <c:v>0.51</c:v>
                </c:pt>
                <c:pt idx="3">
                  <c:v>0.19</c:v>
                </c:pt>
                <c:pt idx="4">
                  <c:v>0.1</c:v>
                </c:pt>
                <c:pt idx="5">
                  <c:v>0.09</c:v>
                </c:pt>
                <c:pt idx="6">
                  <c:v>0.17</c:v>
                </c:pt>
                <c:pt idx="7">
                  <c:v>0.45</c:v>
                </c:pt>
                <c:pt idx="8">
                  <c:v>0.76</c:v>
                </c:pt>
                <c:pt idx="9">
                  <c:v>1.1299999999999999</c:v>
                </c:pt>
                <c:pt idx="10">
                  <c:v>1.17</c:v>
                </c:pt>
                <c:pt idx="11">
                  <c:v>0.92</c:v>
                </c:pt>
                <c:pt idx="12">
                  <c:v>3.17</c:v>
                </c:pt>
              </c:numCache>
            </c:numRef>
          </c:xVal>
          <c:yVal>
            <c:numRef>
              <c:f>'R1C3EA'!$E$7:$E$19</c:f>
              <c:numCache>
                <c:formatCode>General</c:formatCode>
                <c:ptCount val="13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  <c:pt idx="11">
                  <c:v>1000</c:v>
                </c:pt>
                <c:pt idx="1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C-8242-9D6D-572FC3B9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999480"/>
        <c:axId val="2147424568"/>
      </c:scatterChart>
      <c:valAx>
        <c:axId val="2146999480"/>
        <c:scaling>
          <c:orientation val="minMax"/>
          <c:max val="6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R1C1  K2O%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7424568"/>
        <c:crosses val="autoZero"/>
        <c:crossBetween val="midCat"/>
      </c:valAx>
      <c:valAx>
        <c:axId val="2147424568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6999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R1C3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CIA</c:v>
          </c:tx>
          <c:marker>
            <c:symbol val="circle"/>
            <c:size val="14"/>
          </c:marker>
          <c:xVal>
            <c:numRef>
              <c:f>'R1C3EA'!$BK$7:$BK$18</c:f>
              <c:numCache>
                <c:formatCode>0</c:formatCode>
                <c:ptCount val="12"/>
                <c:pt idx="0">
                  <c:v>90.426758938869668</c:v>
                </c:pt>
                <c:pt idx="1">
                  <c:v>90.148911798396341</c:v>
                </c:pt>
                <c:pt idx="2">
                  <c:v>96.428571428571431</c:v>
                </c:pt>
                <c:pt idx="3">
                  <c:v>98.814229249011859</c:v>
                </c:pt>
                <c:pt idx="4">
                  <c:v>99.423156159868128</c:v>
                </c:pt>
                <c:pt idx="5">
                  <c:v>99.461331281262019</c:v>
                </c:pt>
                <c:pt idx="6">
                  <c:v>99.141806293420515</c:v>
                </c:pt>
                <c:pt idx="7">
                  <c:v>97.814910025706951</c:v>
                </c:pt>
                <c:pt idx="8">
                  <c:v>96.411378555798663</c:v>
                </c:pt>
                <c:pt idx="9">
                  <c:v>84.134217067108523</c:v>
                </c:pt>
                <c:pt idx="10">
                  <c:v>70.03167062549484</c:v>
                </c:pt>
                <c:pt idx="11">
                  <c:v>62.625341841385598</c:v>
                </c:pt>
              </c:numCache>
            </c:numRef>
          </c:xVal>
          <c:yVal>
            <c:numRef>
              <c:f>'R1C3EA'!$E$7:$E$18</c:f>
              <c:numCache>
                <c:formatCode>General</c:formatCode>
                <c:ptCount val="12"/>
                <c:pt idx="0">
                  <c:v>5</c:v>
                </c:pt>
                <c:pt idx="1">
                  <c:v>14</c:v>
                </c:pt>
                <c:pt idx="2">
                  <c:v>38</c:v>
                </c:pt>
                <c:pt idx="3">
                  <c:v>72</c:v>
                </c:pt>
                <c:pt idx="4">
                  <c:v>110.5</c:v>
                </c:pt>
                <c:pt idx="5">
                  <c:v>167.5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625</c:v>
                </c:pt>
                <c:pt idx="1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A0-2D44-BDD4-FED004115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66696"/>
        <c:axId val="-2135161656"/>
      </c:scatterChart>
      <c:valAx>
        <c:axId val="-2135166696"/>
        <c:scaling>
          <c:orientation val="minMax"/>
          <c:max val="100"/>
          <c:min val="60"/>
        </c:scaling>
        <c:delete val="0"/>
        <c:axPos val="t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1656"/>
        <c:crosses val="autoZero"/>
        <c:crossBetween val="midCat"/>
      </c:valAx>
      <c:valAx>
        <c:axId val="-2135161656"/>
        <c:scaling>
          <c:orientation val="maxMin"/>
          <c:max val="1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516669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RHP 16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'RoseHill Pine'!$AO$20</c:f>
              <c:strCache>
                <c:ptCount val="1"/>
                <c:pt idx="0">
                  <c:v>20</c:v>
                </c:pt>
              </c:strCache>
            </c:strRef>
          </c:tx>
          <c:cat>
            <c:strRef>
              <c:f>'RoseHill Pine'!$AP$18:$BC$18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Pine'!$AP$20:$BC$20</c:f>
              <c:numCache>
                <c:formatCode>General</c:formatCode>
                <c:ptCount val="14"/>
                <c:pt idx="0">
                  <c:v>60.762942779291556</c:v>
                </c:pt>
                <c:pt idx="1">
                  <c:v>54.649947753396027</c:v>
                </c:pt>
                <c:pt idx="2">
                  <c:v>47.664233576642332</c:v>
                </c:pt>
                <c:pt idx="3">
                  <c:v>38.677918424753869</c:v>
                </c:pt>
                <c:pt idx="4">
                  <c:v>26.839826839826838</c:v>
                </c:pt>
                <c:pt idx="5">
                  <c:v>18.505747126436784</c:v>
                </c:pt>
                <c:pt idx="6">
                  <c:v>16.993464052287582</c:v>
                </c:pt>
                <c:pt idx="7">
                  <c:v>13.793103448275863</c:v>
                </c:pt>
                <c:pt idx="8">
                  <c:v>11.548556430446196</c:v>
                </c:pt>
                <c:pt idx="9">
                  <c:v>10.588235294117647</c:v>
                </c:pt>
                <c:pt idx="10">
                  <c:v>10.843373493975905</c:v>
                </c:pt>
                <c:pt idx="11">
                  <c:v>11.388888888888889</c:v>
                </c:pt>
                <c:pt idx="12">
                  <c:v>11.693548387096774</c:v>
                </c:pt>
                <c:pt idx="13">
                  <c:v>11.842105263157896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1-2E47-A0AA-246AA4C5F2D3}"/>
            </c:ext>
          </c:extLst>
        </c:ser>
        <c:ser>
          <c:idx val="1"/>
          <c:order val="1"/>
          <c:tx>
            <c:strRef>
              <c:f>'RoseHill Pine'!$AO$21</c:f>
              <c:strCache>
                <c:ptCount val="1"/>
                <c:pt idx="0">
                  <c:v>70</c:v>
                </c:pt>
              </c:strCache>
            </c:strRef>
          </c:tx>
          <c:cat>
            <c:strRef>
              <c:f>'RoseHill Pine'!$AP$18:$BC$18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Pine'!$AP$21:$BC$21</c:f>
              <c:numCache>
                <c:formatCode>General</c:formatCode>
                <c:ptCount val="14"/>
                <c:pt idx="0">
                  <c:v>25.61307901907357</c:v>
                </c:pt>
                <c:pt idx="1">
                  <c:v>39.707419017763847</c:v>
                </c:pt>
                <c:pt idx="2">
                  <c:v>15.839416058394159</c:v>
                </c:pt>
                <c:pt idx="3">
                  <c:v>11.954992967651195</c:v>
                </c:pt>
                <c:pt idx="4">
                  <c:v>8.6580086580086579</c:v>
                </c:pt>
                <c:pt idx="5">
                  <c:v>5.862068965517242</c:v>
                </c:pt>
                <c:pt idx="6">
                  <c:v>4.5751633986928102</c:v>
                </c:pt>
                <c:pt idx="7">
                  <c:v>3.4482758620689657</c:v>
                </c:pt>
                <c:pt idx="8">
                  <c:v>3.9370078740157481</c:v>
                </c:pt>
                <c:pt idx="9">
                  <c:v>3.5294117647058818</c:v>
                </c:pt>
                <c:pt idx="10">
                  <c:v>3.6144578313253013</c:v>
                </c:pt>
                <c:pt idx="11">
                  <c:v>3.8888888888888897</c:v>
                </c:pt>
                <c:pt idx="12">
                  <c:v>4.435483870967742</c:v>
                </c:pt>
                <c:pt idx="13">
                  <c:v>4.7368421052631575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1-2E47-A0AA-246AA4C5F2D3}"/>
            </c:ext>
          </c:extLst>
        </c:ser>
        <c:ser>
          <c:idx val="2"/>
          <c:order val="2"/>
          <c:tx>
            <c:strRef>
              <c:f>'RoseHill Pine'!$AO$22</c:f>
              <c:strCache>
                <c:ptCount val="1"/>
                <c:pt idx="0">
                  <c:v>120</c:v>
                </c:pt>
              </c:strCache>
            </c:strRef>
          </c:tx>
          <c:cat>
            <c:strRef>
              <c:f>'RoseHill Pine'!$AP$18:$BC$18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Pine'!$AP$22:$BC$22</c:f>
              <c:numCache>
                <c:formatCode>General</c:formatCode>
                <c:ptCount val="14"/>
                <c:pt idx="0">
                  <c:v>20.708446866485012</c:v>
                </c:pt>
                <c:pt idx="1">
                  <c:v>26.959247648902824</c:v>
                </c:pt>
                <c:pt idx="2">
                  <c:v>13.941605839416058</c:v>
                </c:pt>
                <c:pt idx="3">
                  <c:v>10.267229254571028</c:v>
                </c:pt>
                <c:pt idx="4">
                  <c:v>7.3593073593073584</c:v>
                </c:pt>
                <c:pt idx="5">
                  <c:v>4.8275862068965516</c:v>
                </c:pt>
                <c:pt idx="6">
                  <c:v>4.2483660130718954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3.5294117647058818</c:v>
                </c:pt>
                <c:pt idx="10">
                  <c:v>3.2128514056224899</c:v>
                </c:pt>
                <c:pt idx="11">
                  <c:v>3.3333333333333335</c:v>
                </c:pt>
                <c:pt idx="12">
                  <c:v>3.6290322580645165</c:v>
                </c:pt>
                <c:pt idx="13">
                  <c:v>4.2105263157894735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1-2E47-A0AA-246AA4C5F2D3}"/>
            </c:ext>
          </c:extLst>
        </c:ser>
        <c:ser>
          <c:idx val="3"/>
          <c:order val="3"/>
          <c:tx>
            <c:strRef>
              <c:f>'RoseHill Pine'!$AO$23</c:f>
              <c:strCache>
                <c:ptCount val="1"/>
                <c:pt idx="0">
                  <c:v>170</c:v>
                </c:pt>
              </c:strCache>
            </c:strRef>
          </c:tx>
          <c:cat>
            <c:strRef>
              <c:f>'RoseHill Pine'!$AP$18:$BC$18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Pine'!$AP$23:$BC$23</c:f>
              <c:numCache>
                <c:formatCode>General</c:formatCode>
                <c:ptCount val="14"/>
                <c:pt idx="0">
                  <c:v>33.514986376021803</c:v>
                </c:pt>
                <c:pt idx="1">
                  <c:v>119.12225705329153</c:v>
                </c:pt>
                <c:pt idx="2">
                  <c:v>23.722627737226276</c:v>
                </c:pt>
                <c:pt idx="3">
                  <c:v>18.002812939521803</c:v>
                </c:pt>
                <c:pt idx="4">
                  <c:v>12.121212121212119</c:v>
                </c:pt>
                <c:pt idx="5">
                  <c:v>7.5862068965517251</c:v>
                </c:pt>
                <c:pt idx="6">
                  <c:v>7.1895424836601318</c:v>
                </c:pt>
                <c:pt idx="7">
                  <c:v>6.8965517241379315</c:v>
                </c:pt>
                <c:pt idx="8">
                  <c:v>5.7742782152230978</c:v>
                </c:pt>
                <c:pt idx="9">
                  <c:v>4.7058823529411766</c:v>
                </c:pt>
                <c:pt idx="10">
                  <c:v>5.2208835341365463</c:v>
                </c:pt>
                <c:pt idx="11">
                  <c:v>5.8333333333333339</c:v>
                </c:pt>
                <c:pt idx="12">
                  <c:v>6.0483870967741939</c:v>
                </c:pt>
                <c:pt idx="13">
                  <c:v>7.1052631578947372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1-2E47-A0AA-246AA4C5F2D3}"/>
            </c:ext>
          </c:extLst>
        </c:ser>
        <c:ser>
          <c:idx val="4"/>
          <c:order val="4"/>
          <c:tx>
            <c:strRef>
              <c:f>'RoseHill Pine'!$AO$24</c:f>
              <c:strCache>
                <c:ptCount val="1"/>
                <c:pt idx="0">
                  <c:v>170</c:v>
                </c:pt>
              </c:strCache>
            </c:strRef>
          </c:tx>
          <c:cat>
            <c:strRef>
              <c:f>'RoseHill Pine'!$AP$18:$BC$18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Pine'!$AP$24:$BC$24</c:f>
              <c:numCache>
                <c:formatCode>General</c:formatCode>
                <c:ptCount val="14"/>
                <c:pt idx="0">
                  <c:v>30.245231607629428</c:v>
                </c:pt>
                <c:pt idx="1">
                  <c:v>105.53814002089865</c:v>
                </c:pt>
                <c:pt idx="2">
                  <c:v>21.970802919708024</c:v>
                </c:pt>
                <c:pt idx="3">
                  <c:v>17.158931082981717</c:v>
                </c:pt>
                <c:pt idx="4">
                  <c:v>11.688311688311689</c:v>
                </c:pt>
                <c:pt idx="5">
                  <c:v>7.7011494252873574</c:v>
                </c:pt>
                <c:pt idx="6">
                  <c:v>6.5359477124183005</c:v>
                </c:pt>
                <c:pt idx="7">
                  <c:v>5.1724137931034475</c:v>
                </c:pt>
                <c:pt idx="8">
                  <c:v>5.2493438320209975</c:v>
                </c:pt>
                <c:pt idx="9">
                  <c:v>4.7058823529411766</c:v>
                </c:pt>
                <c:pt idx="10">
                  <c:v>4.8192771084337345</c:v>
                </c:pt>
                <c:pt idx="11">
                  <c:v>5.2777777777777786</c:v>
                </c:pt>
                <c:pt idx="12">
                  <c:v>5.6451612903225801</c:v>
                </c:pt>
                <c:pt idx="13">
                  <c:v>6.052631578947369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11-2E47-A0AA-246AA4C5F2D3}"/>
            </c:ext>
          </c:extLst>
        </c:ser>
        <c:ser>
          <c:idx val="5"/>
          <c:order val="5"/>
          <c:tx>
            <c:strRef>
              <c:f>'RoseHill Pine'!$AO$25</c:f>
              <c:strCache>
                <c:ptCount val="1"/>
                <c:pt idx="0">
                  <c:v>230</c:v>
                </c:pt>
              </c:strCache>
            </c:strRef>
          </c:tx>
          <c:cat>
            <c:strRef>
              <c:f>'RoseHill Pine'!$AP$18:$BC$18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Pine'!$AP$25:$BC$25</c:f>
              <c:numCache>
                <c:formatCode>General</c:formatCode>
                <c:ptCount val="14"/>
                <c:pt idx="0">
                  <c:v>41.961852861035425</c:v>
                </c:pt>
                <c:pt idx="1">
                  <c:v>50.3657262277952</c:v>
                </c:pt>
                <c:pt idx="2">
                  <c:v>32.700729927007302</c:v>
                </c:pt>
                <c:pt idx="3">
                  <c:v>25.175808720112517</c:v>
                </c:pt>
                <c:pt idx="4">
                  <c:v>17.316017316017316</c:v>
                </c:pt>
                <c:pt idx="5">
                  <c:v>11.954022988505749</c:v>
                </c:pt>
                <c:pt idx="6">
                  <c:v>9.8039215686274517</c:v>
                </c:pt>
                <c:pt idx="7">
                  <c:v>8.6206896551724128</c:v>
                </c:pt>
                <c:pt idx="8">
                  <c:v>7.349081364829396</c:v>
                </c:pt>
                <c:pt idx="9">
                  <c:v>7.0588235294117636</c:v>
                </c:pt>
                <c:pt idx="10">
                  <c:v>6.8273092369477908</c:v>
                </c:pt>
                <c:pt idx="11">
                  <c:v>6.9444444444444446</c:v>
                </c:pt>
                <c:pt idx="12">
                  <c:v>7.661290322580645</c:v>
                </c:pt>
                <c:pt idx="13">
                  <c:v>8.1578947368421062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1-2E47-A0AA-246AA4C5F2D3}"/>
            </c:ext>
          </c:extLst>
        </c:ser>
        <c:ser>
          <c:idx val="6"/>
          <c:order val="6"/>
          <c:tx>
            <c:strRef>
              <c:f>'RoseHill Pine'!$AO$26</c:f>
              <c:strCache>
                <c:ptCount val="1"/>
                <c:pt idx="0">
                  <c:v>280</c:v>
                </c:pt>
              </c:strCache>
            </c:strRef>
          </c:tx>
          <c:cat>
            <c:strRef>
              <c:f>'RoseHill Pine'!$AP$18:$BC$18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Pine'!$AP$26:$BC$26</c:f>
              <c:numCache>
                <c:formatCode>General</c:formatCode>
                <c:ptCount val="14"/>
                <c:pt idx="0">
                  <c:v>48.77384196185286</c:v>
                </c:pt>
                <c:pt idx="1">
                  <c:v>43.469174503657264</c:v>
                </c:pt>
                <c:pt idx="2">
                  <c:v>39.489051094890506</c:v>
                </c:pt>
                <c:pt idx="3">
                  <c:v>31.926863572433192</c:v>
                </c:pt>
                <c:pt idx="4">
                  <c:v>21.645021645021643</c:v>
                </c:pt>
                <c:pt idx="5">
                  <c:v>15.057471264367818</c:v>
                </c:pt>
                <c:pt idx="6">
                  <c:v>12.418300653594772</c:v>
                </c:pt>
                <c:pt idx="7">
                  <c:v>10.344827586206895</c:v>
                </c:pt>
                <c:pt idx="8">
                  <c:v>8.6614173228346445</c:v>
                </c:pt>
                <c:pt idx="9">
                  <c:v>7.0588235294117636</c:v>
                </c:pt>
                <c:pt idx="10">
                  <c:v>7.2289156626506026</c:v>
                </c:pt>
                <c:pt idx="11">
                  <c:v>8.0555555555555554</c:v>
                </c:pt>
                <c:pt idx="12">
                  <c:v>8.064516129032258</c:v>
                </c:pt>
                <c:pt idx="13">
                  <c:v>8.4210526315789469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11-2E47-A0AA-246AA4C5F2D3}"/>
            </c:ext>
          </c:extLst>
        </c:ser>
        <c:ser>
          <c:idx val="7"/>
          <c:order val="7"/>
          <c:tx>
            <c:strRef>
              <c:f>'RoseHill Pine'!$AO$27</c:f>
              <c:strCache>
                <c:ptCount val="1"/>
                <c:pt idx="0">
                  <c:v>350</c:v>
                </c:pt>
              </c:strCache>
            </c:strRef>
          </c:tx>
          <c:cat>
            <c:strRef>
              <c:f>'RoseHill Pine'!$AP$18:$BC$18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Pine'!$AP$27:$BC$27</c:f>
              <c:numCache>
                <c:formatCode>General</c:formatCode>
                <c:ptCount val="14"/>
                <c:pt idx="0">
                  <c:v>50.136239782016347</c:v>
                </c:pt>
                <c:pt idx="1">
                  <c:v>51.933124346917452</c:v>
                </c:pt>
                <c:pt idx="2">
                  <c:v>45.474452554744524</c:v>
                </c:pt>
                <c:pt idx="3">
                  <c:v>36.427566807313646</c:v>
                </c:pt>
                <c:pt idx="4">
                  <c:v>25.541125541125542</c:v>
                </c:pt>
                <c:pt idx="5">
                  <c:v>18.390804597701152</c:v>
                </c:pt>
                <c:pt idx="6">
                  <c:v>15.359477124183007</c:v>
                </c:pt>
                <c:pt idx="7">
                  <c:v>12.068965517241377</c:v>
                </c:pt>
                <c:pt idx="8">
                  <c:v>10.761154855643044</c:v>
                </c:pt>
                <c:pt idx="9">
                  <c:v>9.4117647058823533</c:v>
                </c:pt>
                <c:pt idx="10">
                  <c:v>9.6385542168674689</c:v>
                </c:pt>
                <c:pt idx="11">
                  <c:v>10</c:v>
                </c:pt>
                <c:pt idx="12">
                  <c:v>10.080645161290322</c:v>
                </c:pt>
                <c:pt idx="13">
                  <c:v>10.263157894736842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11-2E47-A0AA-246AA4C5F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085864"/>
        <c:axId val="-2135082856"/>
      </c:lineChart>
      <c:catAx>
        <c:axId val="-2135085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5082856"/>
        <c:crosses val="autoZero"/>
        <c:auto val="1"/>
        <c:lblAlgn val="ctr"/>
        <c:lblOffset val="100"/>
        <c:noMultiLvlLbl val="0"/>
      </c:catAx>
      <c:valAx>
        <c:axId val="-2135082856"/>
        <c:scaling>
          <c:logBase val="10"/>
          <c:orientation val="minMax"/>
          <c:max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5085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47625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'RoseHill Pine'!$BD$20:$BD$27</c:f>
              <c:numCache>
                <c:formatCode>General</c:formatCode>
                <c:ptCount val="8"/>
                <c:pt idx="0">
                  <c:v>134.19999999999999</c:v>
                </c:pt>
                <c:pt idx="1">
                  <c:v>66.3</c:v>
                </c:pt>
                <c:pt idx="2">
                  <c:v>49.809999999999981</c:v>
                </c:pt>
                <c:pt idx="3">
                  <c:v>154.29000000000005</c:v>
                </c:pt>
                <c:pt idx="4">
                  <c:v>138.39999999999998</c:v>
                </c:pt>
                <c:pt idx="5">
                  <c:v>102.08</c:v>
                </c:pt>
                <c:pt idx="6">
                  <c:v>106.62999999999998</c:v>
                </c:pt>
                <c:pt idx="7">
                  <c:v>123.67999999999999</c:v>
                </c:pt>
              </c:numCache>
            </c:numRef>
          </c:xVal>
          <c:yVal>
            <c:numRef>
              <c:f>'RoseHill Pine'!$AO$20:$AO$27</c:f>
              <c:numCache>
                <c:formatCode>General</c:formatCode>
                <c:ptCount val="8"/>
                <c:pt idx="0">
                  <c:v>20</c:v>
                </c:pt>
                <c:pt idx="1">
                  <c:v>70</c:v>
                </c:pt>
                <c:pt idx="2">
                  <c:v>120</c:v>
                </c:pt>
                <c:pt idx="3">
                  <c:v>170</c:v>
                </c:pt>
                <c:pt idx="4">
                  <c:v>170</c:v>
                </c:pt>
                <c:pt idx="5">
                  <c:v>230</c:v>
                </c:pt>
                <c:pt idx="6">
                  <c:v>280</c:v>
                </c:pt>
                <c:pt idx="7">
                  <c:v>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75-EB46-B2B9-A7E63FF0C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062696"/>
        <c:axId val="-2135055256"/>
      </c:scatterChart>
      <c:valAx>
        <c:axId val="-2135062696"/>
        <c:scaling>
          <c:orientation val="minMax"/>
          <c:max val="12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PHP16 Sum REE (ppm)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055256"/>
        <c:crosses val="autoZero"/>
        <c:crossBetween val="midCat"/>
      </c:valAx>
      <c:valAx>
        <c:axId val="-2135055256"/>
        <c:scaling>
          <c:orientation val="maxMin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062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47625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'RoseHill Pine'!$M$7:$M$16</c:f>
              <c:numCache>
                <c:formatCode>General</c:formatCode>
                <c:ptCount val="10"/>
                <c:pt idx="0">
                  <c:v>0.36</c:v>
                </c:pt>
                <c:pt idx="1">
                  <c:v>0.27</c:v>
                </c:pt>
                <c:pt idx="2">
                  <c:v>0.24</c:v>
                </c:pt>
                <c:pt idx="3">
                  <c:v>0.51</c:v>
                </c:pt>
                <c:pt idx="4">
                  <c:v>0.52</c:v>
                </c:pt>
                <c:pt idx="5">
                  <c:v>0.4</c:v>
                </c:pt>
                <c:pt idx="6">
                  <c:v>0.54</c:v>
                </c:pt>
                <c:pt idx="7">
                  <c:v>0.57999999999999996</c:v>
                </c:pt>
                <c:pt idx="8">
                  <c:v>0.92</c:v>
                </c:pt>
                <c:pt idx="9">
                  <c:v>3.17</c:v>
                </c:pt>
              </c:numCache>
            </c:numRef>
          </c:xVal>
          <c:yVal>
            <c:numRef>
              <c:f>'RoseHill Pine'!$E$7:$E$16</c:f>
              <c:numCache>
                <c:formatCode>General</c:formatCode>
                <c:ptCount val="10"/>
                <c:pt idx="0">
                  <c:v>20</c:v>
                </c:pt>
                <c:pt idx="1">
                  <c:v>70</c:v>
                </c:pt>
                <c:pt idx="2">
                  <c:v>120</c:v>
                </c:pt>
                <c:pt idx="3">
                  <c:v>170</c:v>
                </c:pt>
                <c:pt idx="4">
                  <c:v>170</c:v>
                </c:pt>
                <c:pt idx="5">
                  <c:v>230</c:v>
                </c:pt>
                <c:pt idx="6">
                  <c:v>280</c:v>
                </c:pt>
                <c:pt idx="7">
                  <c:v>350</c:v>
                </c:pt>
                <c:pt idx="8">
                  <c:v>1000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F-0642-AE4B-130208D5C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030008"/>
        <c:axId val="-2135022312"/>
      </c:scatterChart>
      <c:valAx>
        <c:axId val="-2135030008"/>
        <c:scaling>
          <c:orientation val="minMax"/>
          <c:max val="6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PHP16 </a:t>
                </a:r>
                <a:r>
                  <a:rPr lang="en-US" baseline="0"/>
                  <a:t> K2O %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022312"/>
        <c:crosses val="autoZero"/>
        <c:crossBetween val="midCat"/>
      </c:valAx>
      <c:valAx>
        <c:axId val="-2135022312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030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'RoseHill Hardwood'!$AO$21</c:f>
              <c:strCache>
                <c:ptCount val="1"/>
                <c:pt idx="0">
                  <c:v>20</c:v>
                </c:pt>
              </c:strCache>
            </c:strRef>
          </c:tx>
          <c:cat>
            <c:strRef>
              <c:f>'RoseHill Hardwood'!$AP$19:$BC$19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Hardwood'!$AP$21:$BC$21</c:f>
              <c:numCache>
                <c:formatCode>General</c:formatCode>
                <c:ptCount val="14"/>
                <c:pt idx="0">
                  <c:v>186.10354223433242</c:v>
                </c:pt>
                <c:pt idx="1">
                  <c:v>113.89759665621735</c:v>
                </c:pt>
                <c:pt idx="2">
                  <c:v>157.66423357664235</c:v>
                </c:pt>
                <c:pt idx="3">
                  <c:v>131.64556962025316</c:v>
                </c:pt>
                <c:pt idx="4">
                  <c:v>89.610389610389603</c:v>
                </c:pt>
                <c:pt idx="5">
                  <c:v>68.735632183908052</c:v>
                </c:pt>
                <c:pt idx="6">
                  <c:v>62.418300653594777</c:v>
                </c:pt>
                <c:pt idx="7">
                  <c:v>48.275862068965509</c:v>
                </c:pt>
                <c:pt idx="8">
                  <c:v>42.782152230971128</c:v>
                </c:pt>
                <c:pt idx="9">
                  <c:v>36.470588235294116</c:v>
                </c:pt>
                <c:pt idx="10">
                  <c:v>34.939759036144572</c:v>
                </c:pt>
                <c:pt idx="11">
                  <c:v>36.111111111111114</c:v>
                </c:pt>
                <c:pt idx="12">
                  <c:v>33.870967741935488</c:v>
                </c:pt>
                <c:pt idx="13">
                  <c:v>35.263157894736842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3-9B44-AEE2-6C209B7DCFF5}"/>
            </c:ext>
          </c:extLst>
        </c:ser>
        <c:ser>
          <c:idx val="1"/>
          <c:order val="1"/>
          <c:tx>
            <c:strRef>
              <c:f>'RoseHill Hardwood'!$AO$22</c:f>
              <c:strCache>
                <c:ptCount val="1"/>
                <c:pt idx="0">
                  <c:v>70</c:v>
                </c:pt>
              </c:strCache>
            </c:strRef>
          </c:tx>
          <c:cat>
            <c:strRef>
              <c:f>'RoseHill Hardwood'!$AP$19:$BC$19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Hardwood'!$AP$22:$BC$22</c:f>
              <c:numCache>
                <c:formatCode>General</c:formatCode>
                <c:ptCount val="14"/>
                <c:pt idx="0">
                  <c:v>26.158038147138964</c:v>
                </c:pt>
                <c:pt idx="1">
                  <c:v>33.646812957157792</c:v>
                </c:pt>
                <c:pt idx="2">
                  <c:v>19.854014598540147</c:v>
                </c:pt>
                <c:pt idx="3">
                  <c:v>15.752461322081576</c:v>
                </c:pt>
                <c:pt idx="4">
                  <c:v>11.688311688311689</c:v>
                </c:pt>
                <c:pt idx="5">
                  <c:v>8.6206896551724146</c:v>
                </c:pt>
                <c:pt idx="6">
                  <c:v>6.8627450980392162</c:v>
                </c:pt>
                <c:pt idx="7">
                  <c:v>6.8965517241379315</c:v>
                </c:pt>
                <c:pt idx="8">
                  <c:v>5.7742782152230978</c:v>
                </c:pt>
                <c:pt idx="9">
                  <c:v>4.7058823529411766</c:v>
                </c:pt>
                <c:pt idx="10">
                  <c:v>5.2208835341365463</c:v>
                </c:pt>
                <c:pt idx="11">
                  <c:v>5.8333333333333339</c:v>
                </c:pt>
                <c:pt idx="12">
                  <c:v>6.0483870967741939</c:v>
                </c:pt>
                <c:pt idx="13">
                  <c:v>6.052631578947369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3-9B44-AEE2-6C209B7DCFF5}"/>
            </c:ext>
          </c:extLst>
        </c:ser>
        <c:ser>
          <c:idx val="2"/>
          <c:order val="2"/>
          <c:tx>
            <c:strRef>
              <c:f>'RoseHill Hardwood'!$AO$23</c:f>
              <c:strCache>
                <c:ptCount val="1"/>
                <c:pt idx="0">
                  <c:v>120</c:v>
                </c:pt>
              </c:strCache>
            </c:strRef>
          </c:tx>
          <c:cat>
            <c:strRef>
              <c:f>'RoseHill Hardwood'!$AP$19:$BC$19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Hardwood'!$AP$23:$BC$23</c:f>
              <c:numCache>
                <c:formatCode>General</c:formatCode>
                <c:ptCount val="14"/>
                <c:pt idx="0">
                  <c:v>11.716621253405995</c:v>
                </c:pt>
                <c:pt idx="1">
                  <c:v>17.868338557993731</c:v>
                </c:pt>
                <c:pt idx="2">
                  <c:v>10.072992700729925</c:v>
                </c:pt>
                <c:pt idx="3">
                  <c:v>8.5794655414908583</c:v>
                </c:pt>
                <c:pt idx="4">
                  <c:v>6.4935064935064934</c:v>
                </c:pt>
                <c:pt idx="5">
                  <c:v>5.0574712643678161</c:v>
                </c:pt>
                <c:pt idx="6">
                  <c:v>3.9215686274509802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2.3529411764705883</c:v>
                </c:pt>
                <c:pt idx="10">
                  <c:v>2.8112449799196786</c:v>
                </c:pt>
                <c:pt idx="11">
                  <c:v>3.0555555555555558</c:v>
                </c:pt>
                <c:pt idx="12">
                  <c:v>3.6290322580645165</c:v>
                </c:pt>
                <c:pt idx="13">
                  <c:v>3.6842105263157898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3-9B44-AEE2-6C209B7DCFF5}"/>
            </c:ext>
          </c:extLst>
        </c:ser>
        <c:ser>
          <c:idx val="3"/>
          <c:order val="3"/>
          <c:tx>
            <c:strRef>
              <c:f>'RoseHill Hardwood'!$AO$24</c:f>
              <c:strCache>
                <c:ptCount val="1"/>
                <c:pt idx="0">
                  <c:v>170</c:v>
                </c:pt>
              </c:strCache>
            </c:strRef>
          </c:tx>
          <c:cat>
            <c:strRef>
              <c:f>'RoseHill Hardwood'!$AP$19:$BC$19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Hardwood'!$AP$24:$BC$24</c:f>
              <c:numCache>
                <c:formatCode>General</c:formatCode>
                <c:ptCount val="14"/>
                <c:pt idx="0">
                  <c:v>14.441416893732971</c:v>
                </c:pt>
                <c:pt idx="1">
                  <c:v>26.959247648902824</c:v>
                </c:pt>
                <c:pt idx="2">
                  <c:v>12.116788321167881</c:v>
                </c:pt>
                <c:pt idx="3">
                  <c:v>10.267229254571028</c:v>
                </c:pt>
                <c:pt idx="4">
                  <c:v>7.7922077922077921</c:v>
                </c:pt>
                <c:pt idx="5">
                  <c:v>5.7471264367816097</c:v>
                </c:pt>
                <c:pt idx="6">
                  <c:v>4.2483660130718954</c:v>
                </c:pt>
                <c:pt idx="7">
                  <c:v>3.4482758620689657</c:v>
                </c:pt>
                <c:pt idx="8">
                  <c:v>3.9370078740157481</c:v>
                </c:pt>
                <c:pt idx="9">
                  <c:v>3.5294117647058818</c:v>
                </c:pt>
                <c:pt idx="10">
                  <c:v>4.0160642570281126</c:v>
                </c:pt>
                <c:pt idx="11">
                  <c:v>4.7222222222222232</c:v>
                </c:pt>
                <c:pt idx="12">
                  <c:v>5.241935483870968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3-9B44-AEE2-6C209B7DCFF5}"/>
            </c:ext>
          </c:extLst>
        </c:ser>
        <c:ser>
          <c:idx val="4"/>
          <c:order val="4"/>
          <c:tx>
            <c:strRef>
              <c:f>'RoseHill Hardwood'!$AO$25</c:f>
              <c:strCache>
                <c:ptCount val="1"/>
                <c:pt idx="0">
                  <c:v>170</c:v>
                </c:pt>
              </c:strCache>
            </c:strRef>
          </c:tx>
          <c:cat>
            <c:strRef>
              <c:f>'RoseHill Hardwood'!$AP$19:$BC$19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Hardwood'!$AP$25:$BC$25</c:f>
              <c:numCache>
                <c:formatCode>General</c:formatCode>
                <c:ptCount val="14"/>
                <c:pt idx="0">
                  <c:v>13.896457765667574</c:v>
                </c:pt>
                <c:pt idx="1">
                  <c:v>26.332288401253919</c:v>
                </c:pt>
                <c:pt idx="2">
                  <c:v>12.262773722627736</c:v>
                </c:pt>
                <c:pt idx="3">
                  <c:v>10.407876230661042</c:v>
                </c:pt>
                <c:pt idx="4">
                  <c:v>8.2251082251082241</c:v>
                </c:pt>
                <c:pt idx="5">
                  <c:v>6.8965517241379315</c:v>
                </c:pt>
                <c:pt idx="6">
                  <c:v>4.9019607843137258</c:v>
                </c:pt>
                <c:pt idx="7">
                  <c:v>3.4482758620689657</c:v>
                </c:pt>
                <c:pt idx="8">
                  <c:v>3.9370078740157481</c:v>
                </c:pt>
                <c:pt idx="9">
                  <c:v>3.5294117647058818</c:v>
                </c:pt>
                <c:pt idx="10">
                  <c:v>3.6144578313253013</c:v>
                </c:pt>
                <c:pt idx="11">
                  <c:v>4.7222222222222232</c:v>
                </c:pt>
                <c:pt idx="12">
                  <c:v>4.838709677419355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3-9B44-AEE2-6C209B7DCFF5}"/>
            </c:ext>
          </c:extLst>
        </c:ser>
        <c:ser>
          <c:idx val="5"/>
          <c:order val="5"/>
          <c:tx>
            <c:strRef>
              <c:f>'RoseHill Hardwood'!$AO$26</c:f>
              <c:strCache>
                <c:ptCount val="1"/>
                <c:pt idx="0">
                  <c:v>230</c:v>
                </c:pt>
              </c:strCache>
            </c:strRef>
          </c:tx>
          <c:cat>
            <c:strRef>
              <c:f>'RoseHill Hardwood'!$AP$19:$BC$19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Hardwood'!$AP$26:$BC$26</c:f>
              <c:numCache>
                <c:formatCode>General</c:formatCode>
                <c:ptCount val="14"/>
                <c:pt idx="0">
                  <c:v>14.713896457765669</c:v>
                </c:pt>
                <c:pt idx="1">
                  <c:v>22.570532915360506</c:v>
                </c:pt>
                <c:pt idx="2">
                  <c:v>12.189781021897808</c:v>
                </c:pt>
                <c:pt idx="3">
                  <c:v>9.8452883263009845</c:v>
                </c:pt>
                <c:pt idx="4">
                  <c:v>7.3593073593073584</c:v>
                </c:pt>
                <c:pt idx="5">
                  <c:v>5.9770114942528743</c:v>
                </c:pt>
                <c:pt idx="6">
                  <c:v>4.2483660130718954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3.5294117647058818</c:v>
                </c:pt>
                <c:pt idx="10">
                  <c:v>3.2128514056224899</c:v>
                </c:pt>
                <c:pt idx="11">
                  <c:v>3.3333333333333335</c:v>
                </c:pt>
                <c:pt idx="12">
                  <c:v>3.6290322580645165</c:v>
                </c:pt>
                <c:pt idx="13">
                  <c:v>3.9473684210526314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E3-9B44-AEE2-6C209B7DCFF5}"/>
            </c:ext>
          </c:extLst>
        </c:ser>
        <c:ser>
          <c:idx val="6"/>
          <c:order val="6"/>
          <c:tx>
            <c:strRef>
              <c:f>'RoseHill Hardwood'!$AO$27</c:f>
              <c:strCache>
                <c:ptCount val="1"/>
                <c:pt idx="0">
                  <c:v>280</c:v>
                </c:pt>
              </c:strCache>
            </c:strRef>
          </c:tx>
          <c:cat>
            <c:strRef>
              <c:f>'RoseHill Hardwood'!$AP$19:$BC$19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Hardwood'!$AP$27:$BC$27</c:f>
              <c:numCache>
                <c:formatCode>General</c:formatCode>
                <c:ptCount val="14"/>
                <c:pt idx="0">
                  <c:v>14.441416893732971</c:v>
                </c:pt>
                <c:pt idx="1">
                  <c:v>19.958202716823408</c:v>
                </c:pt>
                <c:pt idx="2">
                  <c:v>12.846715328467152</c:v>
                </c:pt>
                <c:pt idx="3">
                  <c:v>10.407876230661042</c:v>
                </c:pt>
                <c:pt idx="4">
                  <c:v>8.2251082251082241</c:v>
                </c:pt>
                <c:pt idx="5">
                  <c:v>6.666666666666667</c:v>
                </c:pt>
                <c:pt idx="6">
                  <c:v>4.9019607843137258</c:v>
                </c:pt>
                <c:pt idx="7">
                  <c:v>5.1724137931034475</c:v>
                </c:pt>
                <c:pt idx="8">
                  <c:v>4.1994750656167978</c:v>
                </c:pt>
                <c:pt idx="9">
                  <c:v>3.5294117647058818</c:v>
                </c:pt>
                <c:pt idx="10">
                  <c:v>3.6144578313253013</c:v>
                </c:pt>
                <c:pt idx="11">
                  <c:v>3.8888888888888897</c:v>
                </c:pt>
                <c:pt idx="12">
                  <c:v>4.435483870967742</c:v>
                </c:pt>
                <c:pt idx="13">
                  <c:v>4.4736842105263159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E3-9B44-AEE2-6C209B7DCFF5}"/>
            </c:ext>
          </c:extLst>
        </c:ser>
        <c:ser>
          <c:idx val="7"/>
          <c:order val="7"/>
          <c:tx>
            <c:strRef>
              <c:f>'RoseHill Hardwood'!$AO$28</c:f>
              <c:strCache>
                <c:ptCount val="1"/>
                <c:pt idx="0">
                  <c:v>340</c:v>
                </c:pt>
              </c:strCache>
            </c:strRef>
          </c:tx>
          <c:cat>
            <c:strRef>
              <c:f>'RoseHill Hardwood'!$AP$19:$BC$19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'RoseHill Hardwood'!$AP$28:$BC$28</c:f>
              <c:numCache>
                <c:formatCode>General</c:formatCode>
                <c:ptCount val="14"/>
                <c:pt idx="0">
                  <c:v>18.528610354223432</c:v>
                </c:pt>
                <c:pt idx="1">
                  <c:v>11.912225705329154</c:v>
                </c:pt>
                <c:pt idx="2">
                  <c:v>12.554744525547443</c:v>
                </c:pt>
                <c:pt idx="3">
                  <c:v>10.126582278481013</c:v>
                </c:pt>
                <c:pt idx="4">
                  <c:v>6.9264069264069263</c:v>
                </c:pt>
                <c:pt idx="5">
                  <c:v>5.5172413793103452</c:v>
                </c:pt>
                <c:pt idx="6">
                  <c:v>4.9019607843137258</c:v>
                </c:pt>
                <c:pt idx="7">
                  <c:v>3.4482758620689657</c:v>
                </c:pt>
                <c:pt idx="8">
                  <c:v>3.4120734908136483</c:v>
                </c:pt>
                <c:pt idx="9">
                  <c:v>2.3529411764705883</c:v>
                </c:pt>
                <c:pt idx="10">
                  <c:v>2.8112449799196786</c:v>
                </c:pt>
                <c:pt idx="11">
                  <c:v>3.3333333333333335</c:v>
                </c:pt>
                <c:pt idx="12">
                  <c:v>3.2258064516129035</c:v>
                </c:pt>
                <c:pt idx="13">
                  <c:v>3.4210526315789478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E3-9B44-AEE2-6C209B7D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4945928"/>
        <c:axId val="-2134942920"/>
      </c:lineChart>
      <c:catAx>
        <c:axId val="-213494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4942920"/>
        <c:crosses val="autoZero"/>
        <c:auto val="1"/>
        <c:lblAlgn val="ctr"/>
        <c:lblOffset val="100"/>
        <c:noMultiLvlLbl val="0"/>
      </c:catAx>
      <c:valAx>
        <c:axId val="-213494292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3494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467872403321603"/>
          <c:y val="8.1922059234981401E-2"/>
          <c:w val="0.63538872913923305"/>
          <c:h val="0.87543834685638899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'RoseHill Hardwood'!$BD$21:$BD$28</c:f>
              <c:numCache>
                <c:formatCode>General</c:formatCode>
                <c:ptCount val="8"/>
                <c:pt idx="0">
                  <c:v>380.22</c:v>
                </c:pt>
                <c:pt idx="1">
                  <c:v>67.510000000000005</c:v>
                </c:pt>
                <c:pt idx="2">
                  <c:v>35.570000000000007</c:v>
                </c:pt>
                <c:pt idx="3">
                  <c:v>48.319999999999986</c:v>
                </c:pt>
                <c:pt idx="4">
                  <c:v>47.839999999999996</c:v>
                </c:pt>
                <c:pt idx="5">
                  <c:v>42.959999999999994</c:v>
                </c:pt>
                <c:pt idx="6">
                  <c:v>42.05</c:v>
                </c:pt>
                <c:pt idx="7">
                  <c:v>34.15</c:v>
                </c:pt>
              </c:numCache>
            </c:numRef>
          </c:xVal>
          <c:yVal>
            <c:numRef>
              <c:f>'RoseHill Hardwood'!$AO$21:$AO$28</c:f>
              <c:numCache>
                <c:formatCode>General</c:formatCode>
                <c:ptCount val="8"/>
                <c:pt idx="0">
                  <c:v>20</c:v>
                </c:pt>
                <c:pt idx="1">
                  <c:v>70</c:v>
                </c:pt>
                <c:pt idx="2">
                  <c:v>120</c:v>
                </c:pt>
                <c:pt idx="3">
                  <c:v>170</c:v>
                </c:pt>
                <c:pt idx="4">
                  <c:v>170</c:v>
                </c:pt>
                <c:pt idx="5">
                  <c:v>230</c:v>
                </c:pt>
                <c:pt idx="6">
                  <c:v>280</c:v>
                </c:pt>
                <c:pt idx="7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14-784F-9A4A-4DD6B81A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923112"/>
        <c:axId val="-2134917640"/>
      </c:scatterChart>
      <c:valAx>
        <c:axId val="-2134923112"/>
        <c:scaling>
          <c:orientation val="minMax"/>
          <c:max val="12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RHH16 Sum REE (ppm)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4917640"/>
        <c:crosses val="autoZero"/>
        <c:crossBetween val="midCat"/>
      </c:valAx>
      <c:valAx>
        <c:axId val="-2134917640"/>
        <c:scaling>
          <c:orientation val="maxMin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4923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467872403321603"/>
          <c:y val="8.1922059234981401E-2"/>
          <c:w val="0.63538872913923305"/>
          <c:h val="0.87543834685638899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'RoseHill Hardwood'!$M$7:$M$16</c:f>
              <c:numCache>
                <c:formatCode>General</c:formatCode>
                <c:ptCount val="10"/>
                <c:pt idx="0">
                  <c:v>0.92</c:v>
                </c:pt>
                <c:pt idx="1">
                  <c:v>3.17</c:v>
                </c:pt>
                <c:pt idx="2">
                  <c:v>0.43</c:v>
                </c:pt>
                <c:pt idx="3">
                  <c:v>0.25</c:v>
                </c:pt>
                <c:pt idx="4">
                  <c:v>0.3</c:v>
                </c:pt>
                <c:pt idx="5">
                  <c:v>0.38</c:v>
                </c:pt>
                <c:pt idx="6">
                  <c:v>0.4</c:v>
                </c:pt>
                <c:pt idx="7">
                  <c:v>0.38</c:v>
                </c:pt>
                <c:pt idx="8">
                  <c:v>0.24</c:v>
                </c:pt>
                <c:pt idx="9">
                  <c:v>0.75</c:v>
                </c:pt>
              </c:numCache>
            </c:numRef>
          </c:xVal>
          <c:yVal>
            <c:numRef>
              <c:f>'RoseHill Hardwood'!$E$7:$E$16</c:f>
              <c:numCache>
                <c:formatCode>General</c:formatCode>
                <c:ptCount val="10"/>
                <c:pt idx="0">
                  <c:v>1000</c:v>
                </c:pt>
                <c:pt idx="1">
                  <c:v>1000</c:v>
                </c:pt>
                <c:pt idx="2">
                  <c:v>20</c:v>
                </c:pt>
                <c:pt idx="3">
                  <c:v>70</c:v>
                </c:pt>
                <c:pt idx="4">
                  <c:v>120</c:v>
                </c:pt>
                <c:pt idx="5">
                  <c:v>170</c:v>
                </c:pt>
                <c:pt idx="6">
                  <c:v>170</c:v>
                </c:pt>
                <c:pt idx="7">
                  <c:v>230</c:v>
                </c:pt>
                <c:pt idx="8">
                  <c:v>280</c:v>
                </c:pt>
                <c:pt idx="9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54-3E42-B2B5-5CF273A36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561720"/>
        <c:axId val="-2135567400"/>
      </c:scatterChart>
      <c:valAx>
        <c:axId val="-2135561720"/>
        <c:scaling>
          <c:orientation val="minMax"/>
          <c:max val="6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RHH</a:t>
                </a:r>
                <a:r>
                  <a:rPr lang="en-US" baseline="0"/>
                  <a:t>  </a:t>
                </a:r>
                <a:r>
                  <a:rPr lang="en-US"/>
                  <a:t>K2O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567400"/>
        <c:crosses val="autoZero"/>
        <c:crossBetween val="midCat"/>
      </c:valAx>
      <c:valAx>
        <c:axId val="-2135567400"/>
        <c:scaling>
          <c:orientation val="maxMin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561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 REE (ppm)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R2H1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'Chem Results'!$BU$13:$BU$26</c:f>
              <c:numCache>
                <c:formatCode>0</c:formatCode>
                <c:ptCount val="14"/>
                <c:pt idx="0">
                  <c:v>820.87770548699405</c:v>
                </c:pt>
                <c:pt idx="1">
                  <c:v>597.52669082267562</c:v>
                </c:pt>
                <c:pt idx="2">
                  <c:v>564.88825651215745</c:v>
                </c:pt>
                <c:pt idx="3">
                  <c:v>257.2964531958649</c:v>
                </c:pt>
                <c:pt idx="4">
                  <c:v>279.26644915908582</c:v>
                </c:pt>
                <c:pt idx="5">
                  <c:v>206.45083347040071</c:v>
                </c:pt>
                <c:pt idx="6">
                  <c:v>115.34731298070476</c:v>
                </c:pt>
                <c:pt idx="7">
                  <c:v>133.43945330869767</c:v>
                </c:pt>
                <c:pt idx="8">
                  <c:v>149.12034763955452</c:v>
                </c:pt>
                <c:pt idx="9">
                  <c:v>234.44988745981192</c:v>
                </c:pt>
                <c:pt idx="10">
                  <c:v>399.58358801112627</c:v>
                </c:pt>
                <c:pt idx="11">
                  <c:v>901.98121723043585</c:v>
                </c:pt>
                <c:pt idx="12">
                  <c:v>983.529629141692</c:v>
                </c:pt>
                <c:pt idx="13">
                  <c:v>719.94713022830319</c:v>
                </c:pt>
              </c:numCache>
            </c:numRef>
          </c:xVal>
          <c:yVal>
            <c:numRef>
              <c:f>'Chem Results'!$F$13:$F$26</c:f>
              <c:numCache>
                <c:formatCode>General</c:formatCode>
                <c:ptCount val="14"/>
                <c:pt idx="0">
                  <c:v>550</c:v>
                </c:pt>
                <c:pt idx="1">
                  <c:v>650</c:v>
                </c:pt>
                <c:pt idx="2">
                  <c:v>750</c:v>
                </c:pt>
                <c:pt idx="3">
                  <c:v>5</c:v>
                </c:pt>
                <c:pt idx="4">
                  <c:v>14</c:v>
                </c:pt>
                <c:pt idx="5">
                  <c:v>38</c:v>
                </c:pt>
                <c:pt idx="6">
                  <c:v>72</c:v>
                </c:pt>
                <c:pt idx="7">
                  <c:v>110.5</c:v>
                </c:pt>
                <c:pt idx="8">
                  <c:v>167.5</c:v>
                </c:pt>
                <c:pt idx="9">
                  <c:v>250</c:v>
                </c:pt>
                <c:pt idx="10">
                  <c:v>350</c:v>
                </c:pt>
                <c:pt idx="11">
                  <c:v>450</c:v>
                </c:pt>
                <c:pt idx="12">
                  <c:v>550</c:v>
                </c:pt>
                <c:pt idx="13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D7-6945-8664-86AAEC3079E3}"/>
            </c:ext>
          </c:extLst>
        </c:ser>
        <c:ser>
          <c:idx val="1"/>
          <c:order val="1"/>
          <c:tx>
            <c:v>R1C2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'Chem Results'!$BU$7:$BU$12</c:f>
              <c:numCache>
                <c:formatCode>0</c:formatCode>
                <c:ptCount val="6"/>
                <c:pt idx="0">
                  <c:v>147.04308327534258</c:v>
                </c:pt>
                <c:pt idx="1">
                  <c:v>205.02356634809766</c:v>
                </c:pt>
                <c:pt idx="2">
                  <c:v>264.32332682076702</c:v>
                </c:pt>
                <c:pt idx="3">
                  <c:v>307.29284299108235</c:v>
                </c:pt>
                <c:pt idx="4">
                  <c:v>826.90544429617148</c:v>
                </c:pt>
                <c:pt idx="5">
                  <c:v>965.81502637744768</c:v>
                </c:pt>
              </c:numCache>
            </c:numRef>
          </c:xVal>
          <c:yVal>
            <c:numRef>
              <c:f>'Chem Results'!$BV$7:$BV$12</c:f>
              <c:numCache>
                <c:formatCode>General</c:formatCode>
                <c:ptCount val="6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7-6945-8664-86AAEC3079E3}"/>
            </c:ext>
          </c:extLst>
        </c:ser>
        <c:ser>
          <c:idx val="2"/>
          <c:order val="2"/>
          <c:tx>
            <c:v>R2P1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'Chem Results'!$BU$27:$BU$39</c:f>
              <c:numCache>
                <c:formatCode>0</c:formatCode>
                <c:ptCount val="13"/>
                <c:pt idx="0">
                  <c:v>1225.9068393770726</c:v>
                </c:pt>
                <c:pt idx="1">
                  <c:v>1773.1137060406409</c:v>
                </c:pt>
                <c:pt idx="2">
                  <c:v>2136.48838653147</c:v>
                </c:pt>
                <c:pt idx="3">
                  <c:v>1949.8335190471371</c:v>
                </c:pt>
                <c:pt idx="4">
                  <c:v>2129.0425797617117</c:v>
                </c:pt>
                <c:pt idx="5">
                  <c:v>2614.2590473310561</c:v>
                </c:pt>
                <c:pt idx="6">
                  <c:v>2717.9541797885208</c:v>
                </c:pt>
                <c:pt idx="7">
                  <c:v>2261.3084423513283</c:v>
                </c:pt>
                <c:pt idx="8">
                  <c:v>742.26251002989</c:v>
                </c:pt>
                <c:pt idx="9">
                  <c:v>404.09140786535454</c:v>
                </c:pt>
                <c:pt idx="10">
                  <c:v>379.0385713492164</c:v>
                </c:pt>
                <c:pt idx="11">
                  <c:v>856.61777566865226</c:v>
                </c:pt>
                <c:pt idx="12">
                  <c:v>786.2799584034309</c:v>
                </c:pt>
              </c:numCache>
            </c:numRef>
          </c:xVal>
          <c:yVal>
            <c:numRef>
              <c:f>'Chem Results'!$BV$27:$BV$39</c:f>
              <c:numCache>
                <c:formatCode>General</c:formatCode>
                <c:ptCount val="13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D7-6945-8664-86AAEC3079E3}"/>
            </c:ext>
          </c:extLst>
        </c:ser>
        <c:ser>
          <c:idx val="3"/>
          <c:order val="3"/>
          <c:tx>
            <c:v>R7P2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'Chem Results'!$BU$40:$BU$53</c:f>
              <c:numCache>
                <c:formatCode>0</c:formatCode>
                <c:ptCount val="14"/>
                <c:pt idx="0">
                  <c:v>762.70899379192258</c:v>
                </c:pt>
                <c:pt idx="1">
                  <c:v>677.03962823908137</c:v>
                </c:pt>
                <c:pt idx="2">
                  <c:v>868.91527023309095</c:v>
                </c:pt>
                <c:pt idx="3">
                  <c:v>743.10439344772215</c:v>
                </c:pt>
                <c:pt idx="4">
                  <c:v>782.31362555683927</c:v>
                </c:pt>
                <c:pt idx="5">
                  <c:v>748.58334667951453</c:v>
                </c:pt>
                <c:pt idx="6">
                  <c:v>1576.3532064787225</c:v>
                </c:pt>
                <c:pt idx="7">
                  <c:v>2374.5310638058181</c:v>
                </c:pt>
                <c:pt idx="8">
                  <c:v>648.45494965481487</c:v>
                </c:pt>
                <c:pt idx="9">
                  <c:v>286.11201450795659</c:v>
                </c:pt>
                <c:pt idx="10">
                  <c:v>504.29014214377133</c:v>
                </c:pt>
                <c:pt idx="11">
                  <c:v>305.48256949448438</c:v>
                </c:pt>
                <c:pt idx="12">
                  <c:v>244.3688820061399</c:v>
                </c:pt>
                <c:pt idx="13">
                  <c:v>1337.0931710695102</c:v>
                </c:pt>
              </c:numCache>
            </c:numRef>
          </c:xVal>
          <c:yVal>
            <c:numRef>
              <c:f>'Chem Results'!$BV$40:$BV$53</c:f>
              <c:numCache>
                <c:formatCode>General</c:formatCode>
                <c:ptCount val="14"/>
                <c:pt idx="0">
                  <c:v>750</c:v>
                </c:pt>
                <c:pt idx="1">
                  <c:v>7.5</c:v>
                </c:pt>
                <c:pt idx="2">
                  <c:v>35</c:v>
                </c:pt>
                <c:pt idx="3">
                  <c:v>66</c:v>
                </c:pt>
                <c:pt idx="4">
                  <c:v>83.5</c:v>
                </c:pt>
                <c:pt idx="5">
                  <c:v>100</c:v>
                </c:pt>
                <c:pt idx="6">
                  <c:v>118.5</c:v>
                </c:pt>
                <c:pt idx="7">
                  <c:v>174.5</c:v>
                </c:pt>
                <c:pt idx="8">
                  <c:v>234.5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D7-6945-8664-86AAEC3079E3}"/>
            </c:ext>
          </c:extLst>
        </c:ser>
        <c:ser>
          <c:idx val="4"/>
          <c:order val="4"/>
          <c:tx>
            <c:v>R7H1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'Chem Results'!$BU$54:$BU$65</c:f>
              <c:numCache>
                <c:formatCode>0</c:formatCode>
                <c:ptCount val="12"/>
                <c:pt idx="0">
                  <c:v>724.26626194208188</c:v>
                </c:pt>
                <c:pt idx="1">
                  <c:v>375.41447592967489</c:v>
                </c:pt>
                <c:pt idx="2">
                  <c:v>176.87314331126819</c:v>
                </c:pt>
                <c:pt idx="3">
                  <c:v>101.1282054599273</c:v>
                </c:pt>
                <c:pt idx="4">
                  <c:v>120.02801692296572</c:v>
                </c:pt>
                <c:pt idx="5">
                  <c:v>166.6780169405308</c:v>
                </c:pt>
                <c:pt idx="6">
                  <c:v>289.60682174541625</c:v>
                </c:pt>
                <c:pt idx="7">
                  <c:v>360.95033179612409</c:v>
                </c:pt>
                <c:pt idx="8">
                  <c:v>366.23434992312104</c:v>
                </c:pt>
                <c:pt idx="9">
                  <c:v>386.80922168596112</c:v>
                </c:pt>
                <c:pt idx="10">
                  <c:v>372.34282719714861</c:v>
                </c:pt>
                <c:pt idx="11">
                  <c:v>316.30043263785319</c:v>
                </c:pt>
              </c:numCache>
            </c:numRef>
          </c:xVal>
          <c:yVal>
            <c:numRef>
              <c:f>'Chem Results'!$BV$54:$BV$65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D7-6945-8664-86AAEC3079E3}"/>
            </c:ext>
          </c:extLst>
        </c:ser>
        <c:ser>
          <c:idx val="5"/>
          <c:order val="5"/>
          <c:tx>
            <c:v>R1C3</c:v>
          </c:tx>
          <c:marker>
            <c:symbol val="none"/>
          </c:marker>
          <c:xVal>
            <c:numRef>
              <c:f>'Chem Results'!$BU$66:$BU$76</c:f>
              <c:numCache>
                <c:formatCode>0</c:formatCode>
                <c:ptCount val="11"/>
                <c:pt idx="0">
                  <c:v>1430.383768529166</c:v>
                </c:pt>
                <c:pt idx="1">
                  <c:v>1161.2337494372732</c:v>
                </c:pt>
                <c:pt idx="2">
                  <c:v>352.27899075335432</c:v>
                </c:pt>
                <c:pt idx="3">
                  <c:v>178.61619436019689</c:v>
                </c:pt>
                <c:pt idx="4">
                  <c:v>145.89364174674947</c:v>
                </c:pt>
                <c:pt idx="5">
                  <c:v>205.81172260676379</c:v>
                </c:pt>
                <c:pt idx="6">
                  <c:v>147.10086026274564</c:v>
                </c:pt>
                <c:pt idx="7">
                  <c:v>363.97810877402253</c:v>
                </c:pt>
                <c:pt idx="8">
                  <c:v>398.98979662977194</c:v>
                </c:pt>
                <c:pt idx="9">
                  <c:v>476.21093841837052</c:v>
                </c:pt>
                <c:pt idx="10">
                  <c:v>438.20187052049226</c:v>
                </c:pt>
              </c:numCache>
            </c:numRef>
          </c:xVal>
          <c:yVal>
            <c:numRef>
              <c:f>'Chem Results'!$BV$66:$BV$76</c:f>
              <c:numCache>
                <c:formatCode>General</c:formatCode>
                <c:ptCount val="11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D7-6945-8664-86AAEC3079E3}"/>
            </c:ext>
          </c:extLst>
        </c:ser>
        <c:ser>
          <c:idx val="6"/>
          <c:order val="6"/>
          <c:tx>
            <c:v>R7H2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'Chem Results'!$BU$77:$BU$88</c:f>
              <c:numCache>
                <c:formatCode>0</c:formatCode>
                <c:ptCount val="12"/>
                <c:pt idx="0">
                  <c:v>651.94168534899961</c:v>
                </c:pt>
                <c:pt idx="1">
                  <c:v>1252.2551220974374</c:v>
                </c:pt>
                <c:pt idx="2">
                  <c:v>1497.7974178919542</c:v>
                </c:pt>
                <c:pt idx="3">
                  <c:v>1030.3635571152536</c:v>
                </c:pt>
                <c:pt idx="4">
                  <c:v>564.48398497381743</c:v>
                </c:pt>
                <c:pt idx="5">
                  <c:v>199.38917353773104</c:v>
                </c:pt>
                <c:pt idx="6">
                  <c:v>127.96271418143364</c:v>
                </c:pt>
                <c:pt idx="7">
                  <c:v>142.93873520455136</c:v>
                </c:pt>
                <c:pt idx="8">
                  <c:v>96.497660562606939</c:v>
                </c:pt>
                <c:pt idx="9">
                  <c:v>118.66717160978345</c:v>
                </c:pt>
                <c:pt idx="10">
                  <c:v>152.65503844313119</c:v>
                </c:pt>
                <c:pt idx="11">
                  <c:v>151.10161985574726</c:v>
                </c:pt>
              </c:numCache>
            </c:numRef>
          </c:xVal>
          <c:yVal>
            <c:numRef>
              <c:f>'Chem Results'!$BV$77:$BV$88</c:f>
              <c:numCache>
                <c:formatCode>General</c:formatCode>
                <c:ptCount val="12"/>
                <c:pt idx="0">
                  <c:v>750</c:v>
                </c:pt>
                <c:pt idx="1">
                  <c:v>4.5</c:v>
                </c:pt>
                <c:pt idx="2">
                  <c:v>15</c:v>
                </c:pt>
                <c:pt idx="3">
                  <c:v>32.5</c:v>
                </c:pt>
                <c:pt idx="4">
                  <c:v>60</c:v>
                </c:pt>
                <c:pt idx="5">
                  <c:v>89</c:v>
                </c:pt>
                <c:pt idx="6">
                  <c:v>125.5</c:v>
                </c:pt>
                <c:pt idx="7">
                  <c:v>152</c:v>
                </c:pt>
                <c:pt idx="8">
                  <c:v>1</c:v>
                </c:pt>
                <c:pt idx="9">
                  <c:v>5.5</c:v>
                </c:pt>
                <c:pt idx="10">
                  <c:v>12</c:v>
                </c:pt>
                <c:pt idx="11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D7-6945-8664-86AAEC3079E3}"/>
            </c:ext>
          </c:extLst>
        </c:ser>
        <c:ser>
          <c:idx val="7"/>
          <c:order val="7"/>
          <c:tx>
            <c:v>R7P1</c:v>
          </c:tx>
          <c:spPr>
            <a:ln>
              <a:solidFill>
                <a:srgbClr val="CCFFCC"/>
              </a:solidFill>
            </a:ln>
          </c:spPr>
          <c:marker>
            <c:symbol val="none"/>
          </c:marker>
          <c:xVal>
            <c:numRef>
              <c:f>'Chem Results'!$BU$89:$BU$95</c:f>
              <c:numCache>
                <c:formatCode>0</c:formatCode>
                <c:ptCount val="7"/>
                <c:pt idx="0">
                  <c:v>98.31824868794979</c:v>
                </c:pt>
                <c:pt idx="1">
                  <c:v>117.38535151590031</c:v>
                </c:pt>
                <c:pt idx="2">
                  <c:v>145.13300975321528</c:v>
                </c:pt>
                <c:pt idx="3">
                  <c:v>197.42606974533783</c:v>
                </c:pt>
                <c:pt idx="4">
                  <c:v>233.13690835383176</c:v>
                </c:pt>
                <c:pt idx="5">
                  <c:v>290.01196558414637</c:v>
                </c:pt>
                <c:pt idx="6">
                  <c:v>281.22630856071066</c:v>
                </c:pt>
              </c:numCache>
            </c:numRef>
          </c:xVal>
          <c:yVal>
            <c:numRef>
              <c:f>'Chem Results'!$BV$89:$BV$95</c:f>
              <c:numCache>
                <c:formatCode>General</c:formatCode>
                <c:ptCount val="7"/>
                <c:pt idx="0">
                  <c:v>69.5</c:v>
                </c:pt>
                <c:pt idx="1">
                  <c:v>99</c:v>
                </c:pt>
                <c:pt idx="2">
                  <c:v>143.5</c:v>
                </c:pt>
                <c:pt idx="3">
                  <c:v>188</c:v>
                </c:pt>
                <c:pt idx="4">
                  <c:v>275</c:v>
                </c:pt>
                <c:pt idx="5">
                  <c:v>350</c:v>
                </c:pt>
                <c:pt idx="6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D7-6945-8664-86AAEC3079E3}"/>
            </c:ext>
          </c:extLst>
        </c:ser>
        <c:ser>
          <c:idx val="8"/>
          <c:order val="8"/>
          <c:tx>
            <c:v>R8H1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'Chem Results'!$BU$95:$BU$108</c:f>
              <c:numCache>
                <c:formatCode>0</c:formatCode>
                <c:ptCount val="14"/>
                <c:pt idx="0">
                  <c:v>281.22630856071066</c:v>
                </c:pt>
                <c:pt idx="1">
                  <c:v>249.4922947493418</c:v>
                </c:pt>
                <c:pt idx="2">
                  <c:v>270.71052565775204</c:v>
                </c:pt>
                <c:pt idx="3">
                  <c:v>274.96602083332203</c:v>
                </c:pt>
                <c:pt idx="4">
                  <c:v>428.6583564684783</c:v>
                </c:pt>
                <c:pt idx="5">
                  <c:v>277.84623791803591</c:v>
                </c:pt>
                <c:pt idx="6">
                  <c:v>291.27038109759735</c:v>
                </c:pt>
                <c:pt idx="7">
                  <c:v>526.50577823735637</c:v>
                </c:pt>
                <c:pt idx="8">
                  <c:v>633.34779783661475</c:v>
                </c:pt>
                <c:pt idx="9">
                  <c:v>1356.8624667310883</c:v>
                </c:pt>
                <c:pt idx="10">
                  <c:v>1507.1879983703623</c:v>
                </c:pt>
                <c:pt idx="11">
                  <c:v>1208.1094129234693</c:v>
                </c:pt>
                <c:pt idx="12">
                  <c:v>1732.258290701302</c:v>
                </c:pt>
                <c:pt idx="13">
                  <c:v>670.46105327040686</c:v>
                </c:pt>
              </c:numCache>
            </c:numRef>
          </c:xVal>
          <c:yVal>
            <c:numRef>
              <c:f>'Chem Results'!$BV$102:$BV$108</c:f>
              <c:numCache>
                <c:formatCode>General</c:formatCode>
                <c:ptCount val="7"/>
                <c:pt idx="0">
                  <c:v>103</c:v>
                </c:pt>
                <c:pt idx="1">
                  <c:v>157.5</c:v>
                </c:pt>
                <c:pt idx="2">
                  <c:v>230.5</c:v>
                </c:pt>
                <c:pt idx="3">
                  <c:v>350</c:v>
                </c:pt>
                <c:pt idx="4">
                  <c:v>450</c:v>
                </c:pt>
                <c:pt idx="5">
                  <c:v>550</c:v>
                </c:pt>
                <c:pt idx="6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D7-6945-8664-86AAEC3079E3}"/>
            </c:ext>
          </c:extLst>
        </c:ser>
        <c:ser>
          <c:idx val="9"/>
          <c:order val="9"/>
          <c:tx>
            <c:v>R8P1</c:v>
          </c:tx>
          <c:marker>
            <c:symbol val="none"/>
          </c:marker>
          <c:xVal>
            <c:numRef>
              <c:f>'Chem Results'!$BU$116:$BU$120</c:f>
              <c:numCache>
                <c:formatCode>0</c:formatCode>
                <c:ptCount val="5"/>
                <c:pt idx="0">
                  <c:v>420.73181724993623</c:v>
                </c:pt>
                <c:pt idx="1">
                  <c:v>739.01038883441106</c:v>
                </c:pt>
                <c:pt idx="2">
                  <c:v>663.33841334983572</c:v>
                </c:pt>
                <c:pt idx="3">
                  <c:v>699.23336100040228</c:v>
                </c:pt>
                <c:pt idx="4">
                  <c:v>533.72627005797847</c:v>
                </c:pt>
              </c:numCache>
            </c:numRef>
          </c:xVal>
          <c:yVal>
            <c:numRef>
              <c:f>'Chem Results'!$BV$116:$BV$120</c:f>
              <c:numCache>
                <c:formatCode>General</c:formatCode>
                <c:ptCount val="5"/>
                <c:pt idx="0">
                  <c:v>140</c:v>
                </c:pt>
                <c:pt idx="1">
                  <c:v>189.5</c:v>
                </c:pt>
                <c:pt idx="2">
                  <c:v>245</c:v>
                </c:pt>
                <c:pt idx="3">
                  <c:v>350</c:v>
                </c:pt>
                <c:pt idx="4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D7-6945-8664-86AAEC3079E3}"/>
            </c:ext>
          </c:extLst>
        </c:ser>
        <c:ser>
          <c:idx val="10"/>
          <c:order val="10"/>
          <c:tx>
            <c:v>RHP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'Chem Results'!$BU$121:$BU$123</c:f>
              <c:numCache>
                <c:formatCode>0</c:formatCode>
                <c:ptCount val="3"/>
                <c:pt idx="0">
                  <c:v>741.60100914256509</c:v>
                </c:pt>
                <c:pt idx="1">
                  <c:v>634.55717571826074</c:v>
                </c:pt>
                <c:pt idx="2">
                  <c:v>437.5990906521767</c:v>
                </c:pt>
              </c:numCache>
            </c:numRef>
          </c:xVal>
          <c:yVal>
            <c:numRef>
              <c:f>'Chem Results'!$BV$121:$BV$123</c:f>
              <c:numCache>
                <c:formatCode>General</c:formatCode>
                <c:ptCount val="3"/>
                <c:pt idx="0">
                  <c:v>550</c:v>
                </c:pt>
                <c:pt idx="1">
                  <c:v>650</c:v>
                </c:pt>
                <c:pt idx="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D7-6945-8664-86AAEC3079E3}"/>
            </c:ext>
          </c:extLst>
        </c:ser>
        <c:ser>
          <c:idx val="11"/>
          <c:order val="11"/>
          <c:tx>
            <c:v>RHH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'Chem Results'!#REF!</c:f>
            </c:numRef>
          </c:xVal>
          <c:yVal>
            <c:numRef>
              <c:f>'Chem Results'!#REF!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AD7-6945-8664-86AAEC307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664568"/>
        <c:axId val="-2135667768"/>
      </c:scatterChart>
      <c:valAx>
        <c:axId val="-2135664568"/>
        <c:scaling>
          <c:orientation val="minMax"/>
          <c:max val="900"/>
          <c:min val="0"/>
        </c:scaling>
        <c:delete val="0"/>
        <c:axPos val="t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-2135667768"/>
        <c:crosses val="autoZero"/>
        <c:crossBetween val="midCat"/>
        <c:majorUnit val="200"/>
      </c:valAx>
      <c:valAx>
        <c:axId val="-2135667768"/>
        <c:scaling>
          <c:orientation val="maxMin"/>
          <c:max val="3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-2135664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805564304461903"/>
          <c:y val="0.31114098255281802"/>
          <c:w val="0.120462875473899"/>
          <c:h val="0.65128051130243203"/>
        </c:manualLayout>
      </c:layout>
      <c:overlay val="1"/>
      <c:spPr>
        <a:ln>
          <a:noFill/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Ce/(La+Ce)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R2H1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'Chem Results'!$BT$13:$BT$26</c:f>
              <c:numCache>
                <c:formatCode>0.00</c:formatCode>
                <c:ptCount val="14"/>
                <c:pt idx="0">
                  <c:v>0.33244868278596013</c:v>
                </c:pt>
                <c:pt idx="1">
                  <c:v>0.49579404775711333</c:v>
                </c:pt>
                <c:pt idx="2">
                  <c:v>0.47748871717982688</c:v>
                </c:pt>
                <c:pt idx="3">
                  <c:v>0.51630303686193102</c:v>
                </c:pt>
                <c:pt idx="4">
                  <c:v>0.51588856523730164</c:v>
                </c:pt>
                <c:pt idx="5">
                  <c:v>0.49678207356602616</c:v>
                </c:pt>
                <c:pt idx="6">
                  <c:v>0.45682202808397743</c:v>
                </c:pt>
                <c:pt idx="7">
                  <c:v>0.50639644308665877</c:v>
                </c:pt>
                <c:pt idx="8">
                  <c:v>0.51049963794351905</c:v>
                </c:pt>
                <c:pt idx="9">
                  <c:v>0.58159250930428119</c:v>
                </c:pt>
                <c:pt idx="10">
                  <c:v>0.55650379843443698</c:v>
                </c:pt>
                <c:pt idx="11">
                  <c:v>0.34096978222034396</c:v>
                </c:pt>
                <c:pt idx="12">
                  <c:v>0.26992973630698164</c:v>
                </c:pt>
                <c:pt idx="13">
                  <c:v>0.36206149169856844</c:v>
                </c:pt>
              </c:numCache>
            </c:numRef>
          </c:xVal>
          <c:yVal>
            <c:numRef>
              <c:f>'Chem Results'!$F$13:$F$26</c:f>
              <c:numCache>
                <c:formatCode>General</c:formatCode>
                <c:ptCount val="14"/>
                <c:pt idx="0">
                  <c:v>550</c:v>
                </c:pt>
                <c:pt idx="1">
                  <c:v>650</c:v>
                </c:pt>
                <c:pt idx="2">
                  <c:v>750</c:v>
                </c:pt>
                <c:pt idx="3">
                  <c:v>5</c:v>
                </c:pt>
                <c:pt idx="4">
                  <c:v>14</c:v>
                </c:pt>
                <c:pt idx="5">
                  <c:v>38</c:v>
                </c:pt>
                <c:pt idx="6">
                  <c:v>72</c:v>
                </c:pt>
                <c:pt idx="7">
                  <c:v>110.5</c:v>
                </c:pt>
                <c:pt idx="8">
                  <c:v>167.5</c:v>
                </c:pt>
                <c:pt idx="9">
                  <c:v>250</c:v>
                </c:pt>
                <c:pt idx="10">
                  <c:v>350</c:v>
                </c:pt>
                <c:pt idx="11">
                  <c:v>450</c:v>
                </c:pt>
                <c:pt idx="12">
                  <c:v>550</c:v>
                </c:pt>
                <c:pt idx="13">
                  <c:v>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8-5840-829B-7FBAD4DFBA99}"/>
            </c:ext>
          </c:extLst>
        </c:ser>
        <c:ser>
          <c:idx val="1"/>
          <c:order val="1"/>
          <c:tx>
            <c:v>R1C2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'Chem Results'!$BT$7:$BT$12</c:f>
              <c:numCache>
                <c:formatCode>0.00</c:formatCode>
                <c:ptCount val="6"/>
                <c:pt idx="0">
                  <c:v>0.43004360837146766</c:v>
                </c:pt>
                <c:pt idx="1">
                  <c:v>0.45973516614576698</c:v>
                </c:pt>
                <c:pt idx="2">
                  <c:v>0.50305431865666705</c:v>
                </c:pt>
                <c:pt idx="3">
                  <c:v>0.56291739726158641</c:v>
                </c:pt>
                <c:pt idx="4">
                  <c:v>0.46351919734128294</c:v>
                </c:pt>
                <c:pt idx="5">
                  <c:v>0.30611071074525564</c:v>
                </c:pt>
              </c:numCache>
            </c:numRef>
          </c:xVal>
          <c:yVal>
            <c:numRef>
              <c:f>'Chem Results'!$BV$7:$BV$12</c:f>
              <c:numCache>
                <c:formatCode>General</c:formatCode>
                <c:ptCount val="6"/>
                <c:pt idx="0">
                  <c:v>6.5</c:v>
                </c:pt>
                <c:pt idx="1">
                  <c:v>46.5</c:v>
                </c:pt>
                <c:pt idx="2">
                  <c:v>96.5</c:v>
                </c:pt>
                <c:pt idx="3">
                  <c:v>146.5</c:v>
                </c:pt>
                <c:pt idx="4">
                  <c:v>300</c:v>
                </c:pt>
                <c:pt idx="5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8-5840-829B-7FBAD4DFBA99}"/>
            </c:ext>
          </c:extLst>
        </c:ser>
        <c:ser>
          <c:idx val="2"/>
          <c:order val="2"/>
          <c:tx>
            <c:v>R2P1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'Chem Results'!$BT$27:$BT$39</c:f>
              <c:numCache>
                <c:formatCode>0.00</c:formatCode>
                <c:ptCount val="13"/>
                <c:pt idx="0">
                  <c:v>0.43962734567124367</c:v>
                </c:pt>
                <c:pt idx="1">
                  <c:v>0.34586128367596702</c:v>
                </c:pt>
                <c:pt idx="2">
                  <c:v>0.3939750475408863</c:v>
                </c:pt>
                <c:pt idx="3">
                  <c:v>0.4616815757475094</c:v>
                </c:pt>
                <c:pt idx="4">
                  <c:v>0.49372955879486224</c:v>
                </c:pt>
                <c:pt idx="5">
                  <c:v>0.40287708278025003</c:v>
                </c:pt>
                <c:pt idx="6">
                  <c:v>0.39724184562505721</c:v>
                </c:pt>
                <c:pt idx="7">
                  <c:v>0.44477287159555601</c:v>
                </c:pt>
                <c:pt idx="8">
                  <c:v>0.58223975324683597</c:v>
                </c:pt>
                <c:pt idx="9">
                  <c:v>0.61967746003278634</c:v>
                </c:pt>
                <c:pt idx="10">
                  <c:v>0.50459334985672533</c:v>
                </c:pt>
                <c:pt idx="11">
                  <c:v>0.53442805516427716</c:v>
                </c:pt>
                <c:pt idx="12">
                  <c:v>0.51546208404373628</c:v>
                </c:pt>
              </c:numCache>
            </c:numRef>
          </c:xVal>
          <c:yVal>
            <c:numRef>
              <c:f>'Chem Results'!$BV$27:$BV$39</c:f>
              <c:numCache>
                <c:formatCode>General</c:formatCode>
                <c:ptCount val="13"/>
                <c:pt idx="0">
                  <c:v>4</c:v>
                </c:pt>
                <c:pt idx="1">
                  <c:v>14</c:v>
                </c:pt>
                <c:pt idx="2">
                  <c:v>25</c:v>
                </c:pt>
                <c:pt idx="3">
                  <c:v>35</c:v>
                </c:pt>
                <c:pt idx="4">
                  <c:v>62.5</c:v>
                </c:pt>
                <c:pt idx="5">
                  <c:v>105</c:v>
                </c:pt>
                <c:pt idx="6">
                  <c:v>140</c:v>
                </c:pt>
                <c:pt idx="7">
                  <c:v>187.5</c:v>
                </c:pt>
                <c:pt idx="8">
                  <c:v>275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8-5840-829B-7FBAD4DFBA99}"/>
            </c:ext>
          </c:extLst>
        </c:ser>
        <c:ser>
          <c:idx val="3"/>
          <c:order val="3"/>
          <c:tx>
            <c:v>R7P2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'Chem Results'!$BT$40:$BT$53</c:f>
              <c:numCache>
                <c:formatCode>0.00</c:formatCode>
                <c:ptCount val="14"/>
                <c:pt idx="0">
                  <c:v>0.44765375293924203</c:v>
                </c:pt>
                <c:pt idx="1">
                  <c:v>0.58891976267966872</c:v>
                </c:pt>
                <c:pt idx="2">
                  <c:v>0.49943124547121609</c:v>
                </c:pt>
                <c:pt idx="3">
                  <c:v>0.64167662054573593</c:v>
                </c:pt>
                <c:pt idx="4">
                  <c:v>0.35698105162167199</c:v>
                </c:pt>
                <c:pt idx="5">
                  <c:v>0.4250777801895666</c:v>
                </c:pt>
                <c:pt idx="6">
                  <c:v>0.45868575146389062</c:v>
                </c:pt>
                <c:pt idx="7">
                  <c:v>0.4236158816571714</c:v>
                </c:pt>
                <c:pt idx="8">
                  <c:v>0.27355961641061016</c:v>
                </c:pt>
                <c:pt idx="9">
                  <c:v>0.44307734173032431</c:v>
                </c:pt>
                <c:pt idx="10">
                  <c:v>0.32529557713477475</c:v>
                </c:pt>
                <c:pt idx="11">
                  <c:v>0.47862915424175628</c:v>
                </c:pt>
                <c:pt idx="12">
                  <c:v>0.43273600428878572</c:v>
                </c:pt>
                <c:pt idx="13">
                  <c:v>0.4814712261112678</c:v>
                </c:pt>
              </c:numCache>
            </c:numRef>
          </c:xVal>
          <c:yVal>
            <c:numRef>
              <c:f>'Chem Results'!$BV$40:$BV$53</c:f>
              <c:numCache>
                <c:formatCode>General</c:formatCode>
                <c:ptCount val="14"/>
                <c:pt idx="0">
                  <c:v>750</c:v>
                </c:pt>
                <c:pt idx="1">
                  <c:v>7.5</c:v>
                </c:pt>
                <c:pt idx="2">
                  <c:v>35</c:v>
                </c:pt>
                <c:pt idx="3">
                  <c:v>66</c:v>
                </c:pt>
                <c:pt idx="4">
                  <c:v>83.5</c:v>
                </c:pt>
                <c:pt idx="5">
                  <c:v>100</c:v>
                </c:pt>
                <c:pt idx="6">
                  <c:v>118.5</c:v>
                </c:pt>
                <c:pt idx="7">
                  <c:v>174.5</c:v>
                </c:pt>
                <c:pt idx="8">
                  <c:v>234.5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8-5840-829B-7FBAD4DFBA99}"/>
            </c:ext>
          </c:extLst>
        </c:ser>
        <c:ser>
          <c:idx val="4"/>
          <c:order val="4"/>
          <c:tx>
            <c:v>R7H1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'Chem Results'!$BT$54:$BT$65</c:f>
              <c:numCache>
                <c:formatCode>0.00</c:formatCode>
                <c:ptCount val="12"/>
                <c:pt idx="0">
                  <c:v>0.46388593719003057</c:v>
                </c:pt>
                <c:pt idx="1">
                  <c:v>0.43602299360632013</c:v>
                </c:pt>
                <c:pt idx="2">
                  <c:v>0.45606737211882642</c:v>
                </c:pt>
                <c:pt idx="3">
                  <c:v>0.50280250576986474</c:v>
                </c:pt>
                <c:pt idx="4">
                  <c:v>0.51884360194974088</c:v>
                </c:pt>
                <c:pt idx="5">
                  <c:v>0.55195991440054271</c:v>
                </c:pt>
                <c:pt idx="6">
                  <c:v>0.5339098183126626</c:v>
                </c:pt>
                <c:pt idx="7">
                  <c:v>0.47993187317930297</c:v>
                </c:pt>
                <c:pt idx="8">
                  <c:v>0.44473517480848812</c:v>
                </c:pt>
                <c:pt idx="9">
                  <c:v>0.45025404788486745</c:v>
                </c:pt>
                <c:pt idx="10">
                  <c:v>0.42114403183698573</c:v>
                </c:pt>
                <c:pt idx="11">
                  <c:v>0.45512357277063159</c:v>
                </c:pt>
              </c:numCache>
            </c:numRef>
          </c:xVal>
          <c:yVal>
            <c:numRef>
              <c:f>'Chem Results'!$BV$54:$BV$65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53</c:v>
                </c:pt>
                <c:pt idx="3">
                  <c:v>94</c:v>
                </c:pt>
                <c:pt idx="4">
                  <c:v>129</c:v>
                </c:pt>
                <c:pt idx="5">
                  <c:v>174</c:v>
                </c:pt>
                <c:pt idx="6">
                  <c:v>255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  <c:pt idx="11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8-5840-829B-7FBAD4DFBA99}"/>
            </c:ext>
          </c:extLst>
        </c:ser>
        <c:ser>
          <c:idx val="5"/>
          <c:order val="5"/>
          <c:tx>
            <c:v>R1C3</c:v>
          </c:tx>
          <c:marker>
            <c:symbol val="none"/>
          </c:marker>
          <c:xVal>
            <c:numRef>
              <c:f>'Chem Results'!$BT$66:$BT$76</c:f>
              <c:numCache>
                <c:formatCode>0.00</c:formatCode>
                <c:ptCount val="11"/>
                <c:pt idx="0">
                  <c:v>0.53339587809823563</c:v>
                </c:pt>
                <c:pt idx="1">
                  <c:v>0.61446119161892354</c:v>
                </c:pt>
                <c:pt idx="2">
                  <c:v>0.66672308748764519</c:v>
                </c:pt>
                <c:pt idx="3">
                  <c:v>0.57690958827242744</c:v>
                </c:pt>
                <c:pt idx="4">
                  <c:v>0.5625885330679079</c:v>
                </c:pt>
                <c:pt idx="5">
                  <c:v>0.60979155370192428</c:v>
                </c:pt>
                <c:pt idx="6">
                  <c:v>0.6461677213101531</c:v>
                </c:pt>
                <c:pt idx="7">
                  <c:v>0.54531453689279341</c:v>
                </c:pt>
                <c:pt idx="8">
                  <c:v>0.44984924601798437</c:v>
                </c:pt>
                <c:pt idx="9">
                  <c:v>0.6108753157179555</c:v>
                </c:pt>
                <c:pt idx="10">
                  <c:v>0.32103003852667444</c:v>
                </c:pt>
              </c:numCache>
            </c:numRef>
          </c:xVal>
          <c:yVal>
            <c:numRef>
              <c:f>'Chem Results'!$BV$66:$BV$76</c:f>
              <c:numCache>
                <c:formatCode>General</c:formatCode>
                <c:ptCount val="11"/>
                <c:pt idx="0">
                  <c:v>5.5</c:v>
                </c:pt>
                <c:pt idx="1">
                  <c:v>21</c:v>
                </c:pt>
                <c:pt idx="2">
                  <c:v>58</c:v>
                </c:pt>
                <c:pt idx="3">
                  <c:v>102.5</c:v>
                </c:pt>
                <c:pt idx="4">
                  <c:v>131.5</c:v>
                </c:pt>
                <c:pt idx="5">
                  <c:v>171.5</c:v>
                </c:pt>
                <c:pt idx="6">
                  <c:v>250</c:v>
                </c:pt>
                <c:pt idx="7">
                  <c:v>350</c:v>
                </c:pt>
                <c:pt idx="8">
                  <c:v>450</c:v>
                </c:pt>
                <c:pt idx="9">
                  <c:v>550</c:v>
                </c:pt>
                <c:pt idx="10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B8-5840-829B-7FBAD4DFBA99}"/>
            </c:ext>
          </c:extLst>
        </c:ser>
        <c:ser>
          <c:idx val="6"/>
          <c:order val="6"/>
          <c:tx>
            <c:v>R7H2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'Chem Results'!$BT$77:$BT$88</c:f>
              <c:numCache>
                <c:formatCode>0.00</c:formatCode>
                <c:ptCount val="12"/>
                <c:pt idx="0">
                  <c:v>0.31436206653913301</c:v>
                </c:pt>
                <c:pt idx="1">
                  <c:v>0.54966514214596229</c:v>
                </c:pt>
                <c:pt idx="2">
                  <c:v>0.54356846858868169</c:v>
                </c:pt>
                <c:pt idx="3">
                  <c:v>0.6457143986969115</c:v>
                </c:pt>
                <c:pt idx="4">
                  <c:v>0.77180125483700912</c:v>
                </c:pt>
                <c:pt idx="5">
                  <c:v>0.63832123537842711</c:v>
                </c:pt>
                <c:pt idx="6">
                  <c:v>0.64895496227457172</c:v>
                </c:pt>
                <c:pt idx="7">
                  <c:v>0.63763429017691753</c:v>
                </c:pt>
                <c:pt idx="8">
                  <c:v>0.42535962655996951</c:v>
                </c:pt>
                <c:pt idx="9">
                  <c:v>0.45529176107444258</c:v>
                </c:pt>
                <c:pt idx="10">
                  <c:v>0.50692322014886393</c:v>
                </c:pt>
                <c:pt idx="11">
                  <c:v>0.48434543103932848</c:v>
                </c:pt>
              </c:numCache>
            </c:numRef>
          </c:xVal>
          <c:yVal>
            <c:numRef>
              <c:f>'Chem Results'!$BV$77:$BV$88</c:f>
              <c:numCache>
                <c:formatCode>General</c:formatCode>
                <c:ptCount val="12"/>
                <c:pt idx="0">
                  <c:v>750</c:v>
                </c:pt>
                <c:pt idx="1">
                  <c:v>4.5</c:v>
                </c:pt>
                <c:pt idx="2">
                  <c:v>15</c:v>
                </c:pt>
                <c:pt idx="3">
                  <c:v>32.5</c:v>
                </c:pt>
                <c:pt idx="4">
                  <c:v>60</c:v>
                </c:pt>
                <c:pt idx="5">
                  <c:v>89</c:v>
                </c:pt>
                <c:pt idx="6">
                  <c:v>125.5</c:v>
                </c:pt>
                <c:pt idx="7">
                  <c:v>152</c:v>
                </c:pt>
                <c:pt idx="8">
                  <c:v>1</c:v>
                </c:pt>
                <c:pt idx="9">
                  <c:v>5.5</c:v>
                </c:pt>
                <c:pt idx="10">
                  <c:v>12</c:v>
                </c:pt>
                <c:pt idx="11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B8-5840-829B-7FBAD4DFBA99}"/>
            </c:ext>
          </c:extLst>
        </c:ser>
        <c:ser>
          <c:idx val="7"/>
          <c:order val="7"/>
          <c:tx>
            <c:v>R7P1</c:v>
          </c:tx>
          <c:spPr>
            <a:ln>
              <a:solidFill>
                <a:srgbClr val="CCFFCC"/>
              </a:solidFill>
            </a:ln>
          </c:spPr>
          <c:marker>
            <c:symbol val="none"/>
          </c:marker>
          <c:xVal>
            <c:numRef>
              <c:f>'Chem Results'!$BT$89:$BT$95</c:f>
              <c:numCache>
                <c:formatCode>0.00</c:formatCode>
                <c:ptCount val="7"/>
                <c:pt idx="0">
                  <c:v>0.50280250576986474</c:v>
                </c:pt>
                <c:pt idx="1">
                  <c:v>0.5042780309187036</c:v>
                </c:pt>
                <c:pt idx="2">
                  <c:v>0.49340723943898546</c:v>
                </c:pt>
                <c:pt idx="3">
                  <c:v>0.56618360962278402</c:v>
                </c:pt>
                <c:pt idx="4">
                  <c:v>0.49901361755760748</c:v>
                </c:pt>
                <c:pt idx="5">
                  <c:v>0.58514073053277504</c:v>
                </c:pt>
                <c:pt idx="6">
                  <c:v>0.54049579996894281</c:v>
                </c:pt>
              </c:numCache>
            </c:numRef>
          </c:xVal>
          <c:yVal>
            <c:numRef>
              <c:f>'Chem Results'!$BV$89:$BV$95</c:f>
              <c:numCache>
                <c:formatCode>General</c:formatCode>
                <c:ptCount val="7"/>
                <c:pt idx="0">
                  <c:v>69.5</c:v>
                </c:pt>
                <c:pt idx="1">
                  <c:v>99</c:v>
                </c:pt>
                <c:pt idx="2">
                  <c:v>143.5</c:v>
                </c:pt>
                <c:pt idx="3">
                  <c:v>188</c:v>
                </c:pt>
                <c:pt idx="4">
                  <c:v>275</c:v>
                </c:pt>
                <c:pt idx="5">
                  <c:v>350</c:v>
                </c:pt>
                <c:pt idx="6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B8-5840-829B-7FBAD4DFBA99}"/>
            </c:ext>
          </c:extLst>
        </c:ser>
        <c:ser>
          <c:idx val="8"/>
          <c:order val="8"/>
          <c:tx>
            <c:v>R8H1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'Chem Results'!$BU$95:$BU$108</c:f>
              <c:numCache>
                <c:formatCode>0</c:formatCode>
                <c:ptCount val="14"/>
                <c:pt idx="0">
                  <c:v>281.22630856071066</c:v>
                </c:pt>
                <c:pt idx="1">
                  <c:v>249.4922947493418</c:v>
                </c:pt>
                <c:pt idx="2">
                  <c:v>270.71052565775204</c:v>
                </c:pt>
                <c:pt idx="3">
                  <c:v>274.96602083332203</c:v>
                </c:pt>
                <c:pt idx="4">
                  <c:v>428.6583564684783</c:v>
                </c:pt>
                <c:pt idx="5">
                  <c:v>277.84623791803591</c:v>
                </c:pt>
                <c:pt idx="6">
                  <c:v>291.27038109759735</c:v>
                </c:pt>
                <c:pt idx="7">
                  <c:v>526.50577823735637</c:v>
                </c:pt>
                <c:pt idx="8">
                  <c:v>633.34779783661475</c:v>
                </c:pt>
                <c:pt idx="9">
                  <c:v>1356.8624667310883</c:v>
                </c:pt>
                <c:pt idx="10">
                  <c:v>1507.1879983703623</c:v>
                </c:pt>
                <c:pt idx="11">
                  <c:v>1208.1094129234693</c:v>
                </c:pt>
                <c:pt idx="12">
                  <c:v>1732.258290701302</c:v>
                </c:pt>
                <c:pt idx="13">
                  <c:v>670.46105327040686</c:v>
                </c:pt>
              </c:numCache>
            </c:numRef>
          </c:xVal>
          <c:yVal>
            <c:numRef>
              <c:f>'Chem Results'!$BV$102:$BV$108</c:f>
              <c:numCache>
                <c:formatCode>General</c:formatCode>
                <c:ptCount val="7"/>
                <c:pt idx="0">
                  <c:v>103</c:v>
                </c:pt>
                <c:pt idx="1">
                  <c:v>157.5</c:v>
                </c:pt>
                <c:pt idx="2">
                  <c:v>230.5</c:v>
                </c:pt>
                <c:pt idx="3">
                  <c:v>350</c:v>
                </c:pt>
                <c:pt idx="4">
                  <c:v>450</c:v>
                </c:pt>
                <c:pt idx="5">
                  <c:v>550</c:v>
                </c:pt>
                <c:pt idx="6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B8-5840-829B-7FBAD4DFBA99}"/>
            </c:ext>
          </c:extLst>
        </c:ser>
        <c:ser>
          <c:idx val="9"/>
          <c:order val="9"/>
          <c:tx>
            <c:v>R8P1</c:v>
          </c:tx>
          <c:marker>
            <c:symbol val="none"/>
          </c:marker>
          <c:xVal>
            <c:numRef>
              <c:f>'Chem Results'!$BT$116:$BT$120</c:f>
              <c:numCache>
                <c:formatCode>0.00</c:formatCode>
                <c:ptCount val="5"/>
                <c:pt idx="0">
                  <c:v>0.52734854961674793</c:v>
                </c:pt>
                <c:pt idx="1">
                  <c:v>0.4704366559032625</c:v>
                </c:pt>
                <c:pt idx="2">
                  <c:v>0.48682856417315978</c:v>
                </c:pt>
                <c:pt idx="3">
                  <c:v>0.45768466364593274</c:v>
                </c:pt>
                <c:pt idx="4">
                  <c:v>0.46017923376413933</c:v>
                </c:pt>
              </c:numCache>
            </c:numRef>
          </c:xVal>
          <c:yVal>
            <c:numRef>
              <c:f>'Chem Results'!$BV$116:$BV$120</c:f>
              <c:numCache>
                <c:formatCode>General</c:formatCode>
                <c:ptCount val="5"/>
                <c:pt idx="0">
                  <c:v>140</c:v>
                </c:pt>
                <c:pt idx="1">
                  <c:v>189.5</c:v>
                </c:pt>
                <c:pt idx="2">
                  <c:v>245</c:v>
                </c:pt>
                <c:pt idx="3">
                  <c:v>350</c:v>
                </c:pt>
                <c:pt idx="4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EB8-5840-829B-7FBAD4DFBA99}"/>
            </c:ext>
          </c:extLst>
        </c:ser>
        <c:ser>
          <c:idx val="10"/>
          <c:order val="10"/>
          <c:tx>
            <c:v>RHP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'Chem Results'!$BT$121:$BT$123</c:f>
              <c:numCache>
                <c:formatCode>0.00</c:formatCode>
                <c:ptCount val="3"/>
                <c:pt idx="0">
                  <c:v>0.46164584094029448</c:v>
                </c:pt>
                <c:pt idx="1">
                  <c:v>0.43303273195356207</c:v>
                </c:pt>
                <c:pt idx="2">
                  <c:v>0.43236194492776997</c:v>
                </c:pt>
              </c:numCache>
            </c:numRef>
          </c:xVal>
          <c:yVal>
            <c:numRef>
              <c:f>'Chem Results'!$BV$121:$BV$123</c:f>
              <c:numCache>
                <c:formatCode>General</c:formatCode>
                <c:ptCount val="3"/>
                <c:pt idx="0">
                  <c:v>550</c:v>
                </c:pt>
                <c:pt idx="1">
                  <c:v>650</c:v>
                </c:pt>
                <c:pt idx="2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EB8-5840-829B-7FBAD4DFBA99}"/>
            </c:ext>
          </c:extLst>
        </c:ser>
        <c:ser>
          <c:idx val="11"/>
          <c:order val="11"/>
          <c:tx>
            <c:v>RHH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'Chem Results'!#REF!</c:f>
            </c:numRef>
          </c:xVal>
          <c:yVal>
            <c:numRef>
              <c:f>'Chem Results'!#REF!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EB8-5840-829B-7FBAD4DFB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750136"/>
        <c:axId val="-2135753336"/>
      </c:scatterChart>
      <c:valAx>
        <c:axId val="-2135750136"/>
        <c:scaling>
          <c:orientation val="minMax"/>
          <c:max val="1"/>
          <c:min val="0.4"/>
        </c:scaling>
        <c:delete val="0"/>
        <c:axPos val="t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-2135753336"/>
        <c:crosses val="autoZero"/>
        <c:crossBetween val="midCat"/>
        <c:majorUnit val="0.1"/>
      </c:valAx>
      <c:valAx>
        <c:axId val="-2135753336"/>
        <c:scaling>
          <c:orientation val="maxMin"/>
          <c:max val="8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-2135750136"/>
        <c:crosses val="autoZero"/>
        <c:crossBetween val="midCat"/>
      </c:valAx>
    </c:plotArea>
    <c:legend>
      <c:legendPos val="r"/>
      <c:overlay val="0"/>
      <c:spPr>
        <a:ln>
          <a:solidFill>
            <a:schemeClr val="accent3">
              <a:lumMod val="75000"/>
            </a:schemeClr>
          </a:solidFill>
        </a:ln>
      </c:spPr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'Chem Results'!$EP$59:$EP$123</c:f>
              <c:numCache>
                <c:formatCode>0.00</c:formatCode>
                <c:ptCount val="65"/>
                <c:pt idx="0">
                  <c:v>9.2728720315479354</c:v>
                </c:pt>
                <c:pt idx="1">
                  <c:v>6.5867226208708995</c:v>
                </c:pt>
                <c:pt idx="2">
                  <c:v>8.9530410399437681</c:v>
                </c:pt>
                <c:pt idx="3">
                  <c:v>9.613374001571442</c:v>
                </c:pt>
                <c:pt idx="4">
                  <c:v>8.9594278632847342</c:v>
                </c:pt>
                <c:pt idx="5">
                  <c:v>8.8302641208050598</c:v>
                </c:pt>
                <c:pt idx="6">
                  <c:v>8.9528263633992999</c:v>
                </c:pt>
                <c:pt idx="7">
                  <c:v>0.83801309944441604</c:v>
                </c:pt>
                <c:pt idx="8">
                  <c:v>1.1933645840353007</c:v>
                </c:pt>
                <c:pt idx="9">
                  <c:v>4.296077407730583</c:v>
                </c:pt>
                <c:pt idx="10">
                  <c:v>7.1096084738417469</c:v>
                </c:pt>
                <c:pt idx="11">
                  <c:v>6.8407480732591699</c:v>
                </c:pt>
                <c:pt idx="12">
                  <c:v>5.7461633912495769</c:v>
                </c:pt>
                <c:pt idx="13">
                  <c:v>4.1655313520921196</c:v>
                </c:pt>
                <c:pt idx="14">
                  <c:v>4.2653509013344246</c:v>
                </c:pt>
                <c:pt idx="15">
                  <c:v>4.9932667704126068</c:v>
                </c:pt>
                <c:pt idx="16">
                  <c:v>5.3014699829320122</c:v>
                </c:pt>
                <c:pt idx="17">
                  <c:v>5.4966180788991759</c:v>
                </c:pt>
                <c:pt idx="18">
                  <c:v>9.6353384700586595</c:v>
                </c:pt>
                <c:pt idx="19">
                  <c:v>0.50782459392701385</c:v>
                </c:pt>
                <c:pt idx="20">
                  <c:v>0.40324770473793403</c:v>
                </c:pt>
                <c:pt idx="21">
                  <c:v>0.41670167642527073</c:v>
                </c:pt>
                <c:pt idx="22">
                  <c:v>0.6222097275293772</c:v>
                </c:pt>
                <c:pt idx="23">
                  <c:v>0.864451856464174</c:v>
                </c:pt>
                <c:pt idx="24">
                  <c:v>0.81862767974378303</c:v>
                </c:pt>
                <c:pt idx="25">
                  <c:v>0.76943578729399642</c:v>
                </c:pt>
                <c:pt idx="26">
                  <c:v>0.40836370039840891</c:v>
                </c:pt>
                <c:pt idx="27">
                  <c:v>0.41986265695437353</c:v>
                </c:pt>
                <c:pt idx="28">
                  <c:v>0.41337627796513982</c:v>
                </c:pt>
                <c:pt idx="29">
                  <c:v>6.1436590509308981</c:v>
                </c:pt>
                <c:pt idx="30">
                  <c:v>10.857302112991013</c:v>
                </c:pt>
                <c:pt idx="31">
                  <c:v>11.767969635700583</c:v>
                </c:pt>
                <c:pt idx="32">
                  <c:v>10.268411823559592</c:v>
                </c:pt>
                <c:pt idx="33">
                  <c:v>9.286759058151473</c:v>
                </c:pt>
                <c:pt idx="34">
                  <c:v>7.7850962458634294</c:v>
                </c:pt>
                <c:pt idx="35">
                  <c:v>7.0106471503006365</c:v>
                </c:pt>
                <c:pt idx="36">
                  <c:v>7.2138505104874611</c:v>
                </c:pt>
                <c:pt idx="37">
                  <c:v>8.144937076330244</c:v>
                </c:pt>
                <c:pt idx="38">
                  <c:v>3.6373306228794151</c:v>
                </c:pt>
                <c:pt idx="39">
                  <c:v>3.5566646457074453</c:v>
                </c:pt>
                <c:pt idx="40">
                  <c:v>3.5566646457074453</c:v>
                </c:pt>
                <c:pt idx="41">
                  <c:v>1.5455528876537159</c:v>
                </c:pt>
                <c:pt idx="42">
                  <c:v>6.2639324564300045</c:v>
                </c:pt>
                <c:pt idx="43">
                  <c:v>4.845400604477101</c:v>
                </c:pt>
                <c:pt idx="44">
                  <c:v>3.9308296287280315</c:v>
                </c:pt>
                <c:pt idx="45">
                  <c:v>3.0162586529789626</c:v>
                </c:pt>
                <c:pt idx="46">
                  <c:v>3.9291797158205988</c:v>
                </c:pt>
                <c:pt idx="47">
                  <c:v>3.1719556267941802</c:v>
                </c:pt>
                <c:pt idx="48">
                  <c:v>2.4743485374851057</c:v>
                </c:pt>
                <c:pt idx="49">
                  <c:v>2.5651265027068559</c:v>
                </c:pt>
                <c:pt idx="50">
                  <c:v>3.5067696575491505</c:v>
                </c:pt>
                <c:pt idx="51">
                  <c:v>4.2703314404192394</c:v>
                </c:pt>
                <c:pt idx="52">
                  <c:v>3.7008947710394793</c:v>
                </c:pt>
                <c:pt idx="53">
                  <c:v>0.79724284934104861</c:v>
                </c:pt>
                <c:pt idx="54">
                  <c:v>1.3677273147406106</c:v>
                </c:pt>
                <c:pt idx="55">
                  <c:v>2.5661610942972852</c:v>
                </c:pt>
                <c:pt idx="56">
                  <c:v>2.2852373694925072</c:v>
                </c:pt>
                <c:pt idx="57">
                  <c:v>1.9529100350357094</c:v>
                </c:pt>
                <c:pt idx="58">
                  <c:v>1.6633173341512184</c:v>
                </c:pt>
                <c:pt idx="59">
                  <c:v>1.3426735840713853</c:v>
                </c:pt>
                <c:pt idx="60">
                  <c:v>2.0839264627931744</c:v>
                </c:pt>
                <c:pt idx="61">
                  <c:v>2.1823195324964582</c:v>
                </c:pt>
                <c:pt idx="62">
                  <c:v>2.7705573544981186</c:v>
                </c:pt>
                <c:pt idx="63">
                  <c:v>2.0246504207529057</c:v>
                </c:pt>
                <c:pt idx="64">
                  <c:v>1.8967857486794446</c:v>
                </c:pt>
              </c:numCache>
            </c:numRef>
          </c:xVal>
          <c:yVal>
            <c:numRef>
              <c:f>'Chem Results'!$EX$59:$EX$123</c:f>
              <c:numCache>
                <c:formatCode>General</c:formatCode>
                <c:ptCount val="65"/>
                <c:pt idx="0">
                  <c:v>0.71282051282051284</c:v>
                </c:pt>
                <c:pt idx="1">
                  <c:v>0.71282051282051284</c:v>
                </c:pt>
                <c:pt idx="2">
                  <c:v>0.92666666666666686</c:v>
                </c:pt>
                <c:pt idx="3">
                  <c:v>0.89102564102564108</c:v>
                </c:pt>
                <c:pt idx="4">
                  <c:v>0.86556776556776571</c:v>
                </c:pt>
                <c:pt idx="5">
                  <c:v>0.80192307692307696</c:v>
                </c:pt>
                <c:pt idx="6">
                  <c:v>0.71282051282051295</c:v>
                </c:pt>
                <c:pt idx="7">
                  <c:v>0.85228539576365669</c:v>
                </c:pt>
                <c:pt idx="8">
                  <c:v>0.75242165242165238</c:v>
                </c:pt>
                <c:pt idx="9">
                  <c:v>0.71282051282051284</c:v>
                </c:pt>
                <c:pt idx="10">
                  <c:v>0.47521367521367525</c:v>
                </c:pt>
                <c:pt idx="11">
                  <c:v>0.5346153846153846</c:v>
                </c:pt>
                <c:pt idx="12">
                  <c:v>0.47521367521367525</c:v>
                </c:pt>
                <c:pt idx="13">
                  <c:v>0.35641025641025642</c:v>
                </c:pt>
                <c:pt idx="14">
                  <c:v>0.78410256410256418</c:v>
                </c:pt>
                <c:pt idx="15">
                  <c:v>0.71282051282051284</c:v>
                </c:pt>
                <c:pt idx="16">
                  <c:v>0.78410256410256418</c:v>
                </c:pt>
                <c:pt idx="17">
                  <c:v>0.84647435897435896</c:v>
                </c:pt>
                <c:pt idx="18">
                  <c:v>0.85538461538461541</c:v>
                </c:pt>
                <c:pt idx="19">
                  <c:v>0.78785425101214579</c:v>
                </c:pt>
                <c:pt idx="20">
                  <c:v>0.8367892976588629</c:v>
                </c:pt>
                <c:pt idx="21">
                  <c:v>0.7637362637362638</c:v>
                </c:pt>
                <c:pt idx="22">
                  <c:v>0.83162393162393178</c:v>
                </c:pt>
                <c:pt idx="23">
                  <c:v>0.71282051282051284</c:v>
                </c:pt>
                <c:pt idx="24">
                  <c:v>0.5346153846153846</c:v>
                </c:pt>
                <c:pt idx="25">
                  <c:v>0.89102564102564097</c:v>
                </c:pt>
                <c:pt idx="26">
                  <c:v>0.71282051282051284</c:v>
                </c:pt>
                <c:pt idx="27">
                  <c:v>1.0692307692307692</c:v>
                </c:pt>
                <c:pt idx="28">
                  <c:v>0.71282051282051284</c:v>
                </c:pt>
                <c:pt idx="29">
                  <c:v>1.0692307692307692</c:v>
                </c:pt>
                <c:pt idx="30">
                  <c:v>0.71282051282051284</c:v>
                </c:pt>
                <c:pt idx="31">
                  <c:v>0.5346153846153846</c:v>
                </c:pt>
                <c:pt idx="32">
                  <c:v>0.89102564102564097</c:v>
                </c:pt>
                <c:pt idx="33">
                  <c:v>0.59401709401709402</c:v>
                </c:pt>
                <c:pt idx="34">
                  <c:v>0.80192307692307696</c:v>
                </c:pt>
                <c:pt idx="35">
                  <c:v>0.64153846153846161</c:v>
                </c:pt>
                <c:pt idx="36">
                  <c:v>0.65341880341880354</c:v>
                </c:pt>
                <c:pt idx="37">
                  <c:v>0.78410256410256418</c:v>
                </c:pt>
                <c:pt idx="38">
                  <c:v>0.71282051282051284</c:v>
                </c:pt>
                <c:pt idx="39">
                  <c:v>0.83162393162393178</c:v>
                </c:pt>
                <c:pt idx="40">
                  <c:v>0.9801282051282052</c:v>
                </c:pt>
                <c:pt idx="41">
                  <c:v>0.59401709401709402</c:v>
                </c:pt>
                <c:pt idx="42">
                  <c:v>1.0692307692307692</c:v>
                </c:pt>
                <c:pt idx="43">
                  <c:v>0.83162393162393178</c:v>
                </c:pt>
                <c:pt idx="44">
                  <c:v>0.71282051282051284</c:v>
                </c:pt>
                <c:pt idx="45">
                  <c:v>0.80192307692307696</c:v>
                </c:pt>
                <c:pt idx="46">
                  <c:v>0.89102564102564097</c:v>
                </c:pt>
                <c:pt idx="47">
                  <c:v>0.93557692307692308</c:v>
                </c:pt>
                <c:pt idx="48">
                  <c:v>0.84647435897435896</c:v>
                </c:pt>
                <c:pt idx="49">
                  <c:v>0.95042735042735049</c:v>
                </c:pt>
                <c:pt idx="50">
                  <c:v>0.8712250712250712</c:v>
                </c:pt>
                <c:pt idx="51">
                  <c:v>0.92247360482654606</c:v>
                </c:pt>
                <c:pt idx="52">
                  <c:v>0.92666666666666675</c:v>
                </c:pt>
                <c:pt idx="53">
                  <c:v>1.0692307692307692</c:v>
                </c:pt>
                <c:pt idx="54">
                  <c:v>0.71282051282051284</c:v>
                </c:pt>
                <c:pt idx="55">
                  <c:v>0.83162393162393178</c:v>
                </c:pt>
                <c:pt idx="56">
                  <c:v>0.89102564102564097</c:v>
                </c:pt>
                <c:pt idx="57">
                  <c:v>0.83162393162393178</c:v>
                </c:pt>
                <c:pt idx="58">
                  <c:v>0.71282051282051284</c:v>
                </c:pt>
                <c:pt idx="59">
                  <c:v>0.80192307692307696</c:v>
                </c:pt>
                <c:pt idx="60">
                  <c:v>0.96739926739926752</c:v>
                </c:pt>
                <c:pt idx="61">
                  <c:v>0.99794871794871809</c:v>
                </c:pt>
                <c:pt idx="62">
                  <c:v>0.85538461538461541</c:v>
                </c:pt>
                <c:pt idx="63">
                  <c:v>0.91648351648351656</c:v>
                </c:pt>
                <c:pt idx="64">
                  <c:v>0.92666666666666686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FE-6242-8206-66301C51D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775384"/>
        <c:axId val="-2135781048"/>
      </c:scatterChart>
      <c:valAx>
        <c:axId val="-2135775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Fe-total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135781048"/>
        <c:crosses val="autoZero"/>
        <c:crossBetween val="midCat"/>
      </c:valAx>
      <c:valAx>
        <c:axId val="-2135781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Y/Ho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5775384"/>
        <c:crosses val="autoZero"/>
        <c:crossBetween val="midCat"/>
      </c:valAx>
    </c:plotArea>
    <c:plotVisOnly val="1"/>
    <c:dispBlanksAs val="gap"/>
    <c:showDLblsOverMax val="0"/>
  </c:chart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4338176215399"/>
          <c:y val="4.9929888900873701E-2"/>
          <c:w val="0.82422843153009195"/>
          <c:h val="0.79415470613264205"/>
        </c:manualLayout>
      </c:layout>
      <c:scatterChart>
        <c:scatterStyle val="lineMarker"/>
        <c:varyColors val="0"/>
        <c:ser>
          <c:idx val="0"/>
          <c:order val="0"/>
          <c:tx>
            <c:v>R1C2</c:v>
          </c:tx>
          <c:spPr>
            <a:ln w="47625">
              <a:noFill/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'Chem Results'!$BU$7:$BU$12</c:f>
              <c:numCache>
                <c:formatCode>0</c:formatCode>
                <c:ptCount val="6"/>
                <c:pt idx="0">
                  <c:v>147.04308327534258</c:v>
                </c:pt>
                <c:pt idx="1">
                  <c:v>205.02356634809766</c:v>
                </c:pt>
                <c:pt idx="2">
                  <c:v>264.32332682076702</c:v>
                </c:pt>
                <c:pt idx="3">
                  <c:v>307.29284299108235</c:v>
                </c:pt>
                <c:pt idx="4">
                  <c:v>826.90544429617148</c:v>
                </c:pt>
                <c:pt idx="5">
                  <c:v>965.81502637744768</c:v>
                </c:pt>
              </c:numCache>
            </c:numRef>
          </c:xVal>
          <c:yVal>
            <c:numRef>
              <c:f>'Chem Results'!$C$7:$C$12</c:f>
              <c:numCache>
                <c:formatCode>0.0</c:formatCode>
                <c:ptCount val="6"/>
                <c:pt idx="0">
                  <c:v>184.63499999999999</c:v>
                </c:pt>
                <c:pt idx="1">
                  <c:v>184.23499999999999</c:v>
                </c:pt>
                <c:pt idx="2">
                  <c:v>183.73499999999999</c:v>
                </c:pt>
                <c:pt idx="3">
                  <c:v>183.23499999999999</c:v>
                </c:pt>
                <c:pt idx="4">
                  <c:v>181.7</c:v>
                </c:pt>
                <c:pt idx="5">
                  <c:v>180.2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99-7349-AEA0-0DEEDECE03BF}"/>
            </c:ext>
          </c:extLst>
        </c:ser>
        <c:ser>
          <c:idx val="1"/>
          <c:order val="1"/>
          <c:tx>
            <c:v>R2H1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'Chem Results'!$BU$13:$BU$26</c:f>
              <c:numCache>
                <c:formatCode>0</c:formatCode>
                <c:ptCount val="14"/>
                <c:pt idx="0">
                  <c:v>820.87770548699405</c:v>
                </c:pt>
                <c:pt idx="1">
                  <c:v>597.52669082267562</c:v>
                </c:pt>
                <c:pt idx="2">
                  <c:v>564.88825651215745</c:v>
                </c:pt>
                <c:pt idx="3">
                  <c:v>257.2964531958649</c:v>
                </c:pt>
                <c:pt idx="4">
                  <c:v>279.26644915908582</c:v>
                </c:pt>
                <c:pt idx="5">
                  <c:v>206.45083347040071</c:v>
                </c:pt>
                <c:pt idx="6">
                  <c:v>115.34731298070476</c:v>
                </c:pt>
                <c:pt idx="7">
                  <c:v>133.43945330869767</c:v>
                </c:pt>
                <c:pt idx="8">
                  <c:v>149.12034763955452</c:v>
                </c:pt>
                <c:pt idx="9">
                  <c:v>234.44988745981192</c:v>
                </c:pt>
                <c:pt idx="10">
                  <c:v>399.58358801112627</c:v>
                </c:pt>
                <c:pt idx="11">
                  <c:v>901.98121723043585</c:v>
                </c:pt>
                <c:pt idx="12">
                  <c:v>983.529629141692</c:v>
                </c:pt>
                <c:pt idx="13">
                  <c:v>719.94713022830319</c:v>
                </c:pt>
              </c:numCache>
            </c:numRef>
          </c:xVal>
          <c:yVal>
            <c:numRef>
              <c:f>'Chem Results'!$C$13:$C$26</c:f>
              <c:numCache>
                <c:formatCode>0.0</c:formatCode>
                <c:ptCount val="14"/>
                <c:pt idx="0">
                  <c:v>179.2</c:v>
                </c:pt>
                <c:pt idx="1">
                  <c:v>178.2</c:v>
                </c:pt>
                <c:pt idx="2">
                  <c:v>177.2</c:v>
                </c:pt>
                <c:pt idx="3">
                  <c:v>177.85</c:v>
                </c:pt>
                <c:pt idx="4">
                  <c:v>177.76000000000002</c:v>
                </c:pt>
                <c:pt idx="5">
                  <c:v>177.52</c:v>
                </c:pt>
                <c:pt idx="6">
                  <c:v>177.18</c:v>
                </c:pt>
                <c:pt idx="7">
                  <c:v>176.79500000000002</c:v>
                </c:pt>
                <c:pt idx="8">
                  <c:v>176.22499999999999</c:v>
                </c:pt>
                <c:pt idx="9">
                  <c:v>175.4</c:v>
                </c:pt>
                <c:pt idx="10">
                  <c:v>174.4</c:v>
                </c:pt>
                <c:pt idx="11">
                  <c:v>173.4</c:v>
                </c:pt>
                <c:pt idx="12">
                  <c:v>172.4</c:v>
                </c:pt>
                <c:pt idx="13">
                  <c:v>171.65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99-7349-AEA0-0DEEDECE03BF}"/>
            </c:ext>
          </c:extLst>
        </c:ser>
        <c:ser>
          <c:idx val="2"/>
          <c:order val="2"/>
          <c:tx>
            <c:v>R2P1</c:v>
          </c:tx>
          <c:spPr>
            <a:ln w="47625">
              <a:noFill/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'Chem Results'!$BU$27:$BU$39</c:f>
              <c:numCache>
                <c:formatCode>0</c:formatCode>
                <c:ptCount val="13"/>
                <c:pt idx="0">
                  <c:v>1225.9068393770726</c:v>
                </c:pt>
                <c:pt idx="1">
                  <c:v>1773.1137060406409</c:v>
                </c:pt>
                <c:pt idx="2">
                  <c:v>2136.48838653147</c:v>
                </c:pt>
                <c:pt idx="3">
                  <c:v>1949.8335190471371</c:v>
                </c:pt>
                <c:pt idx="4">
                  <c:v>2129.0425797617117</c:v>
                </c:pt>
                <c:pt idx="5">
                  <c:v>2614.2590473310561</c:v>
                </c:pt>
                <c:pt idx="6">
                  <c:v>2717.9541797885208</c:v>
                </c:pt>
                <c:pt idx="7">
                  <c:v>2261.3084423513283</c:v>
                </c:pt>
                <c:pt idx="8">
                  <c:v>742.26251002989</c:v>
                </c:pt>
                <c:pt idx="9">
                  <c:v>404.09140786535454</c:v>
                </c:pt>
                <c:pt idx="10">
                  <c:v>379.0385713492164</c:v>
                </c:pt>
                <c:pt idx="11">
                  <c:v>856.61777566865226</c:v>
                </c:pt>
                <c:pt idx="12">
                  <c:v>786.2799584034309</c:v>
                </c:pt>
              </c:numCache>
            </c:numRef>
          </c:xVal>
          <c:yVal>
            <c:numRef>
              <c:f>'Chem Results'!$C$27:$C$39</c:f>
              <c:numCache>
                <c:formatCode>0.0</c:formatCode>
                <c:ptCount val="13"/>
                <c:pt idx="0">
                  <c:v>149.06</c:v>
                </c:pt>
                <c:pt idx="1">
                  <c:v>148.96</c:v>
                </c:pt>
                <c:pt idx="2">
                  <c:v>148.85</c:v>
                </c:pt>
                <c:pt idx="3">
                  <c:v>148.75</c:v>
                </c:pt>
                <c:pt idx="4">
                  <c:v>148.47499999999999</c:v>
                </c:pt>
                <c:pt idx="5">
                  <c:v>148.04999999999998</c:v>
                </c:pt>
                <c:pt idx="6">
                  <c:v>147.69999999999999</c:v>
                </c:pt>
                <c:pt idx="7">
                  <c:v>147.22499999999999</c:v>
                </c:pt>
                <c:pt idx="8">
                  <c:v>146.35</c:v>
                </c:pt>
                <c:pt idx="9">
                  <c:v>145.6</c:v>
                </c:pt>
                <c:pt idx="10">
                  <c:v>144.6</c:v>
                </c:pt>
                <c:pt idx="11">
                  <c:v>143.6</c:v>
                </c:pt>
                <c:pt idx="12">
                  <c:v>142.6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99-7349-AEA0-0DEEDECE03BF}"/>
            </c:ext>
          </c:extLst>
        </c:ser>
        <c:ser>
          <c:idx val="3"/>
          <c:order val="3"/>
          <c:tx>
            <c:v>R7P2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'Chem Results'!$BU$40:$BU$53</c:f>
              <c:numCache>
                <c:formatCode>0</c:formatCode>
                <c:ptCount val="14"/>
                <c:pt idx="0">
                  <c:v>762.70899379192258</c:v>
                </c:pt>
                <c:pt idx="1">
                  <c:v>677.03962823908137</c:v>
                </c:pt>
                <c:pt idx="2">
                  <c:v>868.91527023309095</c:v>
                </c:pt>
                <c:pt idx="3">
                  <c:v>743.10439344772215</c:v>
                </c:pt>
                <c:pt idx="4">
                  <c:v>782.31362555683927</c:v>
                </c:pt>
                <c:pt idx="5">
                  <c:v>748.58334667951453</c:v>
                </c:pt>
                <c:pt idx="6">
                  <c:v>1576.3532064787225</c:v>
                </c:pt>
                <c:pt idx="7">
                  <c:v>2374.5310638058181</c:v>
                </c:pt>
                <c:pt idx="8">
                  <c:v>648.45494965481487</c:v>
                </c:pt>
                <c:pt idx="9">
                  <c:v>286.11201450795659</c:v>
                </c:pt>
                <c:pt idx="10">
                  <c:v>504.29014214377133</c:v>
                </c:pt>
                <c:pt idx="11">
                  <c:v>305.48256949448438</c:v>
                </c:pt>
                <c:pt idx="12">
                  <c:v>244.3688820061399</c:v>
                </c:pt>
                <c:pt idx="13">
                  <c:v>1337.0931710695102</c:v>
                </c:pt>
              </c:numCache>
            </c:numRef>
          </c:xVal>
          <c:yVal>
            <c:numRef>
              <c:f>'Chem Results'!$C$40:$C$53</c:f>
              <c:numCache>
                <c:formatCode>0.0</c:formatCode>
                <c:ptCount val="14"/>
                <c:pt idx="0">
                  <c:v>141.6</c:v>
                </c:pt>
                <c:pt idx="1">
                  <c:v>164.125</c:v>
                </c:pt>
                <c:pt idx="2">
                  <c:v>163.85</c:v>
                </c:pt>
                <c:pt idx="3">
                  <c:v>163.54</c:v>
                </c:pt>
                <c:pt idx="4">
                  <c:v>163.36499999999998</c:v>
                </c:pt>
                <c:pt idx="5">
                  <c:v>163.19999999999999</c:v>
                </c:pt>
                <c:pt idx="6">
                  <c:v>163.01499999999999</c:v>
                </c:pt>
                <c:pt idx="7">
                  <c:v>162.45499999999998</c:v>
                </c:pt>
                <c:pt idx="8">
                  <c:v>161.85499999999999</c:v>
                </c:pt>
                <c:pt idx="9">
                  <c:v>160.69999999999999</c:v>
                </c:pt>
                <c:pt idx="10">
                  <c:v>159.69999999999999</c:v>
                </c:pt>
                <c:pt idx="11">
                  <c:v>158.69999999999999</c:v>
                </c:pt>
                <c:pt idx="12">
                  <c:v>157.69999999999999</c:v>
                </c:pt>
                <c:pt idx="13">
                  <c:v>156.69999999999999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99-7349-AEA0-0DEEDECE03BF}"/>
            </c:ext>
          </c:extLst>
        </c:ser>
        <c:ser>
          <c:idx val="4"/>
          <c:order val="4"/>
          <c:tx>
            <c:v>R7H1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'Chem Results'!$BU$54:$BU$65</c:f>
              <c:numCache>
                <c:formatCode>0</c:formatCode>
                <c:ptCount val="12"/>
                <c:pt idx="0">
                  <c:v>724.26626194208188</c:v>
                </c:pt>
                <c:pt idx="1">
                  <c:v>375.41447592967489</c:v>
                </c:pt>
                <c:pt idx="2">
                  <c:v>176.87314331126819</c:v>
                </c:pt>
                <c:pt idx="3">
                  <c:v>101.1282054599273</c:v>
                </c:pt>
                <c:pt idx="4">
                  <c:v>120.02801692296572</c:v>
                </c:pt>
                <c:pt idx="5">
                  <c:v>166.6780169405308</c:v>
                </c:pt>
                <c:pt idx="6">
                  <c:v>289.60682174541625</c:v>
                </c:pt>
                <c:pt idx="7">
                  <c:v>360.95033179612409</c:v>
                </c:pt>
                <c:pt idx="8">
                  <c:v>366.23434992312104</c:v>
                </c:pt>
                <c:pt idx="9">
                  <c:v>386.80922168596112</c:v>
                </c:pt>
                <c:pt idx="10">
                  <c:v>372.34282719714861</c:v>
                </c:pt>
                <c:pt idx="11">
                  <c:v>316.30043263785319</c:v>
                </c:pt>
              </c:numCache>
            </c:numRef>
          </c:xVal>
          <c:yVal>
            <c:numRef>
              <c:f>'Chem Results'!$C$54:$C$65</c:f>
              <c:numCache>
                <c:formatCode>0.0</c:formatCode>
                <c:ptCount val="12"/>
                <c:pt idx="0">
                  <c:v>164.56</c:v>
                </c:pt>
                <c:pt idx="1">
                  <c:v>164.42</c:v>
                </c:pt>
                <c:pt idx="2">
                  <c:v>164.07</c:v>
                </c:pt>
                <c:pt idx="3">
                  <c:v>163.66</c:v>
                </c:pt>
                <c:pt idx="4">
                  <c:v>163.31</c:v>
                </c:pt>
                <c:pt idx="5">
                  <c:v>162.85999999999999</c:v>
                </c:pt>
                <c:pt idx="6">
                  <c:v>162.04999999999998</c:v>
                </c:pt>
                <c:pt idx="7">
                  <c:v>161.1</c:v>
                </c:pt>
                <c:pt idx="8">
                  <c:v>160.1</c:v>
                </c:pt>
                <c:pt idx="9">
                  <c:v>159.1</c:v>
                </c:pt>
                <c:pt idx="10">
                  <c:v>158.1</c:v>
                </c:pt>
                <c:pt idx="11">
                  <c:v>157.1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99-7349-AEA0-0DEEDECE03BF}"/>
            </c:ext>
          </c:extLst>
        </c:ser>
        <c:ser>
          <c:idx val="5"/>
          <c:order val="5"/>
          <c:tx>
            <c:v>R1C3</c:v>
          </c:tx>
          <c:spPr>
            <a:ln w="47625">
              <a:noFill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'Chem Results'!$BU$66:$BU$76</c:f>
              <c:numCache>
                <c:formatCode>0</c:formatCode>
                <c:ptCount val="11"/>
                <c:pt idx="0">
                  <c:v>1430.383768529166</c:v>
                </c:pt>
                <c:pt idx="1">
                  <c:v>1161.2337494372732</c:v>
                </c:pt>
                <c:pt idx="2">
                  <c:v>352.27899075335432</c:v>
                </c:pt>
                <c:pt idx="3">
                  <c:v>178.61619436019689</c:v>
                </c:pt>
                <c:pt idx="4">
                  <c:v>145.89364174674947</c:v>
                </c:pt>
                <c:pt idx="5">
                  <c:v>205.81172260676379</c:v>
                </c:pt>
                <c:pt idx="6">
                  <c:v>147.10086026274564</c:v>
                </c:pt>
                <c:pt idx="7">
                  <c:v>363.97810877402253</c:v>
                </c:pt>
                <c:pt idx="8">
                  <c:v>398.98979662977194</c:v>
                </c:pt>
                <c:pt idx="9">
                  <c:v>476.21093841837052</c:v>
                </c:pt>
                <c:pt idx="10">
                  <c:v>438.20187052049226</c:v>
                </c:pt>
              </c:numCache>
            </c:numRef>
          </c:xVal>
          <c:yVal>
            <c:numRef>
              <c:f>'Chem Results'!$C$66:$C$76</c:f>
              <c:numCache>
                <c:formatCode>0.0</c:formatCode>
                <c:ptCount val="11"/>
                <c:pt idx="0">
                  <c:v>160.94499999999999</c:v>
                </c:pt>
                <c:pt idx="1">
                  <c:v>160.79</c:v>
                </c:pt>
                <c:pt idx="2">
                  <c:v>160.41999999999999</c:v>
                </c:pt>
                <c:pt idx="3">
                  <c:v>159.97499999999999</c:v>
                </c:pt>
                <c:pt idx="4">
                  <c:v>159.685</c:v>
                </c:pt>
                <c:pt idx="5">
                  <c:v>159.285</c:v>
                </c:pt>
                <c:pt idx="6">
                  <c:v>158.5</c:v>
                </c:pt>
                <c:pt idx="7">
                  <c:v>157.5</c:v>
                </c:pt>
                <c:pt idx="8">
                  <c:v>156.5</c:v>
                </c:pt>
                <c:pt idx="9">
                  <c:v>155.5</c:v>
                </c:pt>
                <c:pt idx="10">
                  <c:v>154.5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99-7349-AEA0-0DEEDECE03BF}"/>
            </c:ext>
          </c:extLst>
        </c:ser>
        <c:ser>
          <c:idx val="6"/>
          <c:order val="6"/>
          <c:tx>
            <c:v>R7H2</c:v>
          </c:tx>
          <c:spPr>
            <a:ln w="47625">
              <a:noFill/>
            </a:ln>
          </c:spPr>
          <c:marker>
            <c:symbol val="x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'Chem Results'!$BU$77:$BU$88</c:f>
              <c:numCache>
                <c:formatCode>0</c:formatCode>
                <c:ptCount val="12"/>
                <c:pt idx="0">
                  <c:v>651.94168534899961</c:v>
                </c:pt>
                <c:pt idx="1">
                  <c:v>1252.2551220974374</c:v>
                </c:pt>
                <c:pt idx="2">
                  <c:v>1497.7974178919542</c:v>
                </c:pt>
                <c:pt idx="3">
                  <c:v>1030.3635571152536</c:v>
                </c:pt>
                <c:pt idx="4">
                  <c:v>564.48398497381743</c:v>
                </c:pt>
                <c:pt idx="5">
                  <c:v>199.38917353773104</c:v>
                </c:pt>
                <c:pt idx="6">
                  <c:v>127.96271418143364</c:v>
                </c:pt>
                <c:pt idx="7">
                  <c:v>142.93873520455136</c:v>
                </c:pt>
                <c:pt idx="8">
                  <c:v>96.497660562606939</c:v>
                </c:pt>
                <c:pt idx="9">
                  <c:v>118.66717160978345</c:v>
                </c:pt>
                <c:pt idx="10">
                  <c:v>152.65503844313119</c:v>
                </c:pt>
                <c:pt idx="11">
                  <c:v>151.10161985574726</c:v>
                </c:pt>
              </c:numCache>
            </c:numRef>
          </c:xVal>
          <c:yVal>
            <c:numRef>
              <c:f>'Chem Results'!$C$77:$C$88</c:f>
              <c:numCache>
                <c:formatCode>0.0</c:formatCode>
                <c:ptCount val="12"/>
                <c:pt idx="0">
                  <c:v>153.5</c:v>
                </c:pt>
                <c:pt idx="1">
                  <c:v>166.55500000000001</c:v>
                </c:pt>
                <c:pt idx="2">
                  <c:v>166.45</c:v>
                </c:pt>
                <c:pt idx="3">
                  <c:v>166.27500000000001</c:v>
                </c:pt>
                <c:pt idx="4">
                  <c:v>166</c:v>
                </c:pt>
                <c:pt idx="5">
                  <c:v>165.71</c:v>
                </c:pt>
                <c:pt idx="6">
                  <c:v>165.345</c:v>
                </c:pt>
                <c:pt idx="7">
                  <c:v>165.07999999999998</c:v>
                </c:pt>
                <c:pt idx="8">
                  <c:v>162.69</c:v>
                </c:pt>
                <c:pt idx="9">
                  <c:v>162.64499999999998</c:v>
                </c:pt>
                <c:pt idx="10">
                  <c:v>162.57999999999998</c:v>
                </c:pt>
                <c:pt idx="11">
                  <c:v>162.33999999999997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99-7349-AEA0-0DEEDECE03BF}"/>
            </c:ext>
          </c:extLst>
        </c:ser>
        <c:ser>
          <c:idx val="7"/>
          <c:order val="7"/>
          <c:tx>
            <c:v>RHP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'Chem Results'!$BU$121:$BU$123</c:f>
              <c:numCache>
                <c:formatCode>0</c:formatCode>
                <c:ptCount val="3"/>
                <c:pt idx="0">
                  <c:v>741.60100914256509</c:v>
                </c:pt>
                <c:pt idx="1">
                  <c:v>634.55717571826074</c:v>
                </c:pt>
                <c:pt idx="2">
                  <c:v>437.5990906521767</c:v>
                </c:pt>
              </c:numCache>
            </c:numRef>
          </c:xVal>
          <c:yVal>
            <c:numRef>
              <c:f>'Chem Results'!$C$121:$C$123</c:f>
              <c:numCache>
                <c:formatCode>0.0</c:formatCode>
                <c:ptCount val="3"/>
                <c:pt idx="0">
                  <c:v>154.4</c:v>
                </c:pt>
                <c:pt idx="1">
                  <c:v>153.4</c:v>
                </c:pt>
                <c:pt idx="2">
                  <c:v>152.4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99-7349-AEA0-0DEEDECE03BF}"/>
            </c:ext>
          </c:extLst>
        </c:ser>
        <c:ser>
          <c:idx val="8"/>
          <c:order val="8"/>
          <c:tx>
            <c:v>RHH</c:v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'Chem Results'!#REF!</c:f>
            </c:numRef>
          </c:xVal>
          <c:yVal>
            <c:numRef>
              <c:f>'Chem Results'!#REF!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99-7349-AEA0-0DEEDECE0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913704"/>
        <c:axId val="2121004136"/>
      </c:scatterChart>
      <c:valAx>
        <c:axId val="2120913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Sum</a:t>
                </a:r>
                <a:r>
                  <a:rPr lang="en-US" sz="2400" baseline="0"/>
                  <a:t> REE (ppm)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2121004136"/>
        <c:crosses val="autoZero"/>
        <c:crossBetween val="midCat"/>
      </c:valAx>
      <c:valAx>
        <c:axId val="2121004136"/>
        <c:scaling>
          <c:orientation val="minMax"/>
          <c:max val="5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400" b="1" i="0"/>
                </a:pPr>
                <a:r>
                  <a:rPr lang="en-US" sz="2400" b="1" i="0"/>
                  <a:t>Interfluv Order 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2400" b="1" i="0"/>
            </a:pPr>
            <a:endParaRPr lang="en-US"/>
          </a:p>
        </c:txPr>
        <c:crossAx val="2120913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1360163312919"/>
          <c:y val="3.01019754539298E-2"/>
          <c:w val="8.9551822688830496E-2"/>
          <c:h val="0.62866724302009003"/>
        </c:manualLayout>
      </c:layout>
      <c:overlay val="1"/>
      <c:spPr>
        <a:ln>
          <a:solidFill>
            <a:schemeClr val="tx1"/>
          </a:solidFill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chart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chart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chart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chart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chart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chart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chart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chart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chart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chart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chart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chart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chart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chart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chart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chart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chart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chart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chart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chart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chart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chart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chart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chart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chart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chart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chart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chart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chart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chart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chart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chart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chart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chart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chart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chart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chart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chart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chart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chart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chart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chart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chart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chart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chart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chart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71A0A9-A0C3-AC4A-B082-7585EDBBC3F6}">
  <sheetPr/>
  <sheetViews>
    <sheetView zoomScale="155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500043F-83C8-644E-BCA4-692F6FE1FDC8}">
  <sheetPr/>
  <sheetViews>
    <sheetView zoomScale="144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93A09F-E391-CA4A-BF1F-41C3D9A47CC6}">
  <sheetPr/>
  <sheetViews>
    <sheetView zoomScale="144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D50FD2-D7E4-024A-8577-685094E9D477}">
  <sheetPr/>
  <sheetViews>
    <sheetView zoomScale="144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0DD0F0-F113-8E41-AE06-108AA8EB9A23}">
  <sheetPr/>
  <sheetViews>
    <sheetView tabSelected="1" zoomScale="160" workbookViewId="0"/>
  </sheetViews>
  <pageMargins left="0.7" right="0.7" top="0.75" bottom="0.75" header="0.3" footer="0.3"/>
  <pageSetup orientation="landscape" horizontalDpi="0" verticalDpi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D673CE-3625-D74E-995D-621EC538A9C2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D4A77F-701C-3C4B-920E-14251AA18A82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147D04-B29E-8B49-9772-53F1AC0FE4D7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4B6915-12D7-8E41-9AC0-6EC1BDC1D8CB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C028BD-0B82-E541-BD3B-F41517BAC44F}">
  <sheetPr/>
  <sheetViews>
    <sheetView zoomScale="144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17FE0-782B-0240-A86E-51F2E0CFA6D5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1187E3-5EEC-5540-9F3A-8ABFA3C0D8D1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C25E61-FFA7-3C45-9743-F4A01F6E5DDC}">
  <sheetPr/>
  <sheetViews>
    <sheetView zoomScale="144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46AFC4-9E3C-7C4D-8359-FEA395462284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2E9637-1909-CC44-87D4-E9976F4236D4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235A0B-4E79-0245-89D7-C8A104606272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7AB31D-7B30-E34B-9996-9F63305A84C3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953A8E-C363-1B48-AB84-F2F30AF5AB7F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5E23F4-0593-4843-A32A-AB8FF73CEF25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29B1F3-1F25-5644-919B-B0EAF7FC8DB3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47A863-7C33-AA48-8F89-32898FAA7EDA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AB43EF-3328-5046-9051-40B6C1475424}">
  <sheetPr/>
  <sheetViews>
    <sheetView zoomScale="112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6E2D8F-FEBA-1F4F-BCAF-B5AE41C951EE}">
  <sheetPr/>
  <sheetViews>
    <sheetView zoomScale="112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D86BE6-73CB-924C-B078-D7D6F67BC30B}">
  <sheetPr/>
  <sheetViews>
    <sheetView zoomScale="112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246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AD5446-48C7-0144-8E25-FCEE2E89D6F7}">
  <sheetPr/>
  <sheetViews>
    <sheetView zoomScale="246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34DEEF-CDDC-7E49-975D-087634CA0555}">
  <sheetPr/>
  <sheetViews>
    <sheetView zoomScale="246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1B3303-7F2C-2244-9D83-D5C926040682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193674-784D-4D41-9001-4C0DE441710C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EBC3EC-2D16-ED40-8D90-9BB86C1BFF9F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FE5CB6-ECB5-9045-B869-F98199F791FC}">
  <sheetPr/>
  <sheetViews>
    <sheetView zoomScale="229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ED37C2-34F3-EB49-81EB-A5C74B6F92F6}">
  <sheetPr/>
  <sheetViews>
    <sheetView zoomScale="229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269805-71DC-044F-B010-E2CFF08A326E}">
  <sheetPr/>
  <sheetViews>
    <sheetView zoomScale="175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797ADF-3394-E84A-B0A2-AF30EBFC6072}">
  <sheetPr/>
  <sheetViews>
    <sheetView zoomScale="229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2E5BB5-2B51-714E-A95F-FD77FCAC42AA}">
  <sheetPr/>
  <sheetViews>
    <sheetView zoomScale="229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109BED-5A97-AD47-8A36-A766446C866F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74CE8-0888-1242-9F77-E9DEEBA22B14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5F76F8-D0AF-2049-8B9A-F1780B0751DD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2C6137-B982-CD49-BA2D-71E4A5496B33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EDF481-E023-8E4B-8330-3DB55930B0FD}">
  <sheetPr/>
  <sheetViews>
    <sheetView zoomScale="170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6C0294-8EFC-AF4E-A57A-C06C25DBCFAD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9E5017-637A-D24D-B3C3-3DCB3D828EA8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25540A-379B-2942-8FF4-05EE491D53F5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5B21A5-4FAE-9945-9E34-C594890FD12B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950B9E-A603-364C-B6AF-80DF58D2D718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8E53E3-6E04-9D4F-BE92-2586FE08E349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AC4490-F4BF-2343-9505-538F11016009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240039-4D8A-F144-9F4B-4A7E7D9C7819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467DD8-696A-6248-97DC-B541E4CCCEA4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0E5669A-4031-2D46-9421-8E9004C47172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38CED7-E9C2-F649-87D8-556A3C02AD74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4913DA-1A08-0C4D-A96E-C7C03795CC11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071AF3B-EAC0-8744-A5AC-86ADCB3BE2B8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FBB915-B7C4-1246-B9CF-5DACE676F313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7D69CC-1D21-4147-A4EC-EC21E2AB18B5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B28B96-3269-A941-9A2A-4D7CF7750659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31F202-F999-F947-9B43-ACF6A7EC90D4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C33A8F-6889-9A47-A5B0-1036FAA45BFE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F01A9A8-592F-814C-B7C9-CD268BB7ACBE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B67D52-4ACB-154E-9449-90F33B281399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5E7C0E-FDAC-5248-8056-3CA6D1E49540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A5BD42-C73C-E64D-8856-558E701C4003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AE1ADF-669B-0042-929F-5F70A91DCAFB}">
  <sheetPr/>
  <sheetViews>
    <sheetView zoomScale="122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6DFA4D-0997-4F44-A0CD-EF52F2B8C783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35A99C-4A7E-264A-B882-8279279A7712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9E6754-2385-0E4C-8F85-63AD47072F98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5DE753-974F-BB41-898B-B0BABCEFA730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F0E2A1C-288B-4A49-8A45-CCCA1564E886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0E5345-3C83-B646-9CDB-3E6013C36072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7B6AE9-7913-CC41-AED4-855CA73A2A7D}">
  <sheetPr/>
  <sheetViews>
    <sheetView zoomScale="122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78D99B-B924-214B-A0AB-FE481FF26C9E}">
  <sheetPr/>
  <sheetViews>
    <sheetView zoomScale="122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F8D79B-15F2-1543-8293-CE5E85050D94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3D2142-759F-AC41-98B3-8A42415CD20C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F8BA07-D9B5-0E45-9A99-46FE80EA7CCA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E04E5-5E10-9745-A6CC-107AC8CA36A5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099EAC-DB6B-8645-8071-9877A4104309}">
  <sheetPr/>
  <sheetViews>
    <sheetView zoomScale="122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587B44-4DF6-A043-950A-07CA933453EE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DE53B8-C879-8143-940B-768ECC25C08C}">
  <sheetPr/>
  <sheetViews>
    <sheetView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5A948B-4132-5F4C-8E3B-E12787A1344F}">
  <sheetPr/>
  <sheetViews>
    <sheetView zoomScale="122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8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6D4530-07C8-4548-B5AC-A2A7D7EC9F7E}">
  <sheetPr/>
  <sheetViews>
    <sheetView zoomScale="16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8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FCD913-DAD4-3B41-BED4-298BEA81B162}">
  <sheetPr/>
  <sheetViews>
    <sheetView zoomScale="10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8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106" workbookViewId="0" zoomToFit="1"/>
  </sheetViews>
  <pageMargins left="0.75" right="0.75" top="1" bottom="1" header="0.5" footer="0.5"/>
  <pageSetup orientation="landscape" horizontalDpi="0" verticalDpi="0"/>
  <drawing r:id="rId1"/>
</chartsheet>
</file>

<file path=xl/chartsheets/sheet8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106" workbookViewId="0" zoomToFit="1"/>
  </sheetViews>
  <pageMargins left="0.75" right="0.75" top="1" bottom="1" header="0.5" footer="0.5"/>
  <pageSetup orientation="landscape" horizontalDpi="0" verticalDpi="0"/>
  <drawing r:id="rId1"/>
</chartsheet>
</file>

<file path=xl/chartsheets/sheet8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106" workbookViewId="0" zoomToFit="1"/>
  </sheetViews>
  <pageMargins left="0.75" right="0.75" top="1" bottom="1" header="0.5" footer="0.5"/>
  <pageSetup orientation="landscape" horizontalDpi="0" verticalDpi="0"/>
  <drawing r:id="rId1"/>
</chartsheet>
</file>

<file path=xl/chartsheets/sheet8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106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image" Target="../media/image1.png"/><Relationship Id="rId1" Type="http://schemas.openxmlformats.org/officeDocument/2006/relationships/chart" Target="../charts/chart34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image" Target="../media/image1.png"/><Relationship Id="rId1" Type="http://schemas.openxmlformats.org/officeDocument/2006/relationships/chart" Target="../charts/chart54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image" Target="../media/image1.png"/><Relationship Id="rId1" Type="http://schemas.openxmlformats.org/officeDocument/2006/relationships/chart" Target="../charts/chart64.xml"/><Relationship Id="rId4" Type="http://schemas.openxmlformats.org/officeDocument/2006/relationships/chart" Target="../charts/chart6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4" Type="http://schemas.openxmlformats.org/officeDocument/2006/relationships/chart" Target="../charts/chart89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image" Target="../media/image1.png"/><Relationship Id="rId1" Type="http://schemas.openxmlformats.org/officeDocument/2006/relationships/chart" Target="../charts/chart96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image" Target="../media/image1.png"/><Relationship Id="rId1" Type="http://schemas.openxmlformats.org/officeDocument/2006/relationships/chart" Target="../charts/chart102.xml"/><Relationship Id="rId4" Type="http://schemas.openxmlformats.org/officeDocument/2006/relationships/chart" Target="../charts/chart104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image" Target="../media/image1.png"/><Relationship Id="rId1" Type="http://schemas.openxmlformats.org/officeDocument/2006/relationships/chart" Target="../charts/chart112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6.xml"/><Relationship Id="rId2" Type="http://schemas.openxmlformats.org/officeDocument/2006/relationships/chart" Target="../charts/chart115.xml"/><Relationship Id="rId1" Type="http://schemas.openxmlformats.org/officeDocument/2006/relationships/chart" Target="../charts/chart114.xml"/><Relationship Id="rId4" Type="http://schemas.openxmlformats.org/officeDocument/2006/relationships/image" Target="../media/image1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4" Type="http://schemas.openxmlformats.org/officeDocument/2006/relationships/image" Target="../media/image1.pn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8645" cy="58338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0CB97B-6EEE-C844-BA90-BF82C1562C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514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4E6E12-42E2-8E40-9D05-D430F09822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514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25876C-A370-324D-9E4B-F3388F16DD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514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697542-3A0D-7C47-8828-7E0261AFA4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0.71046</cdr:x>
      <cdr:y>0.01356</cdr:y>
    </cdr:from>
    <cdr:to>
      <cdr:x>0.97408</cdr:x>
      <cdr:y>0.27127</cdr:y>
    </cdr:to>
    <cdr:sp macro="" textlink="">
      <cdr:nvSpPr>
        <cdr:cNvPr id="47" name="Rounded Rectangle 46">
          <a:extLst xmlns:a="http://schemas.openxmlformats.org/drawingml/2006/main">
            <a:ext uri="{FF2B5EF4-FFF2-40B4-BE49-F238E27FC236}">
              <a16:creationId xmlns:a16="http://schemas.microsoft.com/office/drawing/2014/main" id="{69B09F2E-EE65-A744-9143-CBFAD4C67534}"/>
            </a:ext>
          </a:extLst>
        </cdr:cNvPr>
        <cdr:cNvSpPr/>
      </cdr:nvSpPr>
      <cdr:spPr>
        <a:xfrm xmlns:a="http://schemas.openxmlformats.org/drawingml/2006/main">
          <a:off x="6159305" y="85178"/>
          <a:ext cx="2285444" cy="161882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alpha val="8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0.13494</cdr:x>
      <cdr:y>0.52528</cdr:y>
    </cdr:from>
    <cdr:to>
      <cdr:x>0.16132</cdr:x>
      <cdr:y>0.56168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2D53B12-1A14-1C42-B423-B4655B57816D}"/>
            </a:ext>
          </a:extLst>
        </cdr:cNvPr>
        <cdr:cNvSpPr txBox="1"/>
      </cdr:nvSpPr>
      <cdr:spPr>
        <a:xfrm xmlns:a="http://schemas.openxmlformats.org/drawingml/2006/main">
          <a:off x="1169328" y="3298902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0.19442</cdr:x>
      <cdr:y>0.39157</cdr:y>
    </cdr:from>
    <cdr:to>
      <cdr:x>0.2208</cdr:x>
      <cdr:y>0.42797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BA456F-0101-D34D-8AF7-138BC51636F4}"/>
            </a:ext>
          </a:extLst>
        </cdr:cNvPr>
        <cdr:cNvSpPr txBox="1"/>
      </cdr:nvSpPr>
      <cdr:spPr>
        <a:xfrm xmlns:a="http://schemas.openxmlformats.org/drawingml/2006/main">
          <a:off x="1684763" y="2459154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0.26473</cdr:x>
      <cdr:y>0.73997</cdr:y>
    </cdr:from>
    <cdr:to>
      <cdr:x>0.29111</cdr:x>
      <cdr:y>0.77637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CBA456F-0101-D34D-8AF7-138BC51636F4}"/>
            </a:ext>
          </a:extLst>
        </cdr:cNvPr>
        <cdr:cNvSpPr txBox="1"/>
      </cdr:nvSpPr>
      <cdr:spPr>
        <a:xfrm xmlns:a="http://schemas.openxmlformats.org/drawingml/2006/main">
          <a:off x="2295850" y="4650466"/>
          <a:ext cx="228775" cy="228763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0.34324</cdr:x>
      <cdr:y>0.05027</cdr:y>
    </cdr:from>
    <cdr:to>
      <cdr:x>0.36962</cdr:x>
      <cdr:y>0.08667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E28DB57-8411-DC4A-A3F4-886BC644A627}"/>
            </a:ext>
          </a:extLst>
        </cdr:cNvPr>
        <cdr:cNvSpPr txBox="1"/>
      </cdr:nvSpPr>
      <cdr:spPr>
        <a:xfrm xmlns:a="http://schemas.openxmlformats.org/drawingml/2006/main">
          <a:off x="2976641" y="315954"/>
          <a:ext cx="228775" cy="228763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0.47503</cdr:x>
      <cdr:y>0.5272</cdr:y>
    </cdr:from>
    <cdr:to>
      <cdr:x>0.50141</cdr:x>
      <cdr:y>0.5636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FADE132-5A80-284A-B7C5-0B24B153D226}"/>
            </a:ext>
          </a:extLst>
        </cdr:cNvPr>
        <cdr:cNvSpPr txBox="1"/>
      </cdr:nvSpPr>
      <cdr:spPr>
        <a:xfrm xmlns:a="http://schemas.openxmlformats.org/drawingml/2006/main">
          <a:off x="4116349" y="3310982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  <a:alpha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0.55099</cdr:x>
      <cdr:y>0.31635</cdr:y>
    </cdr:from>
    <cdr:to>
      <cdr:x>0.57737</cdr:x>
      <cdr:y>0.35275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FC3BDD0D-5BBD-8245-85A5-1C87FAA53D07}"/>
            </a:ext>
          </a:extLst>
        </cdr:cNvPr>
        <cdr:cNvSpPr txBox="1"/>
      </cdr:nvSpPr>
      <cdr:spPr>
        <a:xfrm xmlns:a="http://schemas.openxmlformats.org/drawingml/2006/main">
          <a:off x="4774580" y="1986776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  <a:alpha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0.48397</cdr:x>
      <cdr:y>0.75531</cdr:y>
    </cdr:from>
    <cdr:to>
      <cdr:x>0.51035</cdr:x>
      <cdr:y>0.79171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C3BDD0D-5BBD-8245-85A5-1C87FAA53D07}"/>
            </a:ext>
          </a:extLst>
        </cdr:cNvPr>
        <cdr:cNvSpPr txBox="1"/>
      </cdr:nvSpPr>
      <cdr:spPr>
        <a:xfrm xmlns:a="http://schemas.openxmlformats.org/drawingml/2006/main">
          <a:off x="4193788" y="4743605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0.53401</cdr:x>
      <cdr:y>0.45075</cdr:y>
    </cdr:from>
    <cdr:to>
      <cdr:x>0.56039</cdr:x>
      <cdr:y>0.48715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6027D014-8666-DC48-ACD2-36D86C168252}"/>
            </a:ext>
          </a:extLst>
        </cdr:cNvPr>
        <cdr:cNvSpPr txBox="1"/>
      </cdr:nvSpPr>
      <cdr:spPr>
        <a:xfrm xmlns:a="http://schemas.openxmlformats.org/drawingml/2006/main">
          <a:off x="4627446" y="2830861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0.55457</cdr:x>
      <cdr:y>0.55063</cdr:y>
    </cdr:from>
    <cdr:to>
      <cdr:x>0.58095</cdr:x>
      <cdr:y>0.58703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027D014-8666-DC48-ACD2-36D86C168252}"/>
            </a:ext>
          </a:extLst>
        </cdr:cNvPr>
        <cdr:cNvSpPr txBox="1"/>
      </cdr:nvSpPr>
      <cdr:spPr>
        <a:xfrm xmlns:a="http://schemas.openxmlformats.org/drawingml/2006/main">
          <a:off x="4805556" y="3458118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0.61534</cdr:x>
      <cdr:y>0.25716</cdr:y>
    </cdr:from>
    <cdr:to>
      <cdr:x>0.64172</cdr:x>
      <cdr:y>0.29356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F2BB7DF5-0BF3-D74D-B1EF-040CE54498DA}"/>
            </a:ext>
          </a:extLst>
        </cdr:cNvPr>
        <cdr:cNvSpPr txBox="1"/>
      </cdr:nvSpPr>
      <cdr:spPr>
        <a:xfrm xmlns:a="http://schemas.openxmlformats.org/drawingml/2006/main">
          <a:off x="5332141" y="1615069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0.77821</cdr:x>
      <cdr:y>0.38149</cdr:y>
    </cdr:from>
    <cdr:to>
      <cdr:x>0.80459</cdr:x>
      <cdr:y>0.41789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F2BB7DF5-0BF3-D74D-B1EF-040CE54498DA}"/>
            </a:ext>
          </a:extLst>
        </cdr:cNvPr>
        <cdr:cNvSpPr txBox="1"/>
      </cdr:nvSpPr>
      <cdr:spPr>
        <a:xfrm xmlns:a="http://schemas.openxmlformats.org/drawingml/2006/main">
          <a:off x="6746665" y="2396330"/>
          <a:ext cx="228701" cy="228649"/>
        </a:xfrm>
        <a:prstGeom xmlns:a="http://schemas.openxmlformats.org/drawingml/2006/main" prst="rect">
          <a:avLst/>
        </a:prstGeom>
        <a:solidFill xmlns:a="http://schemas.openxmlformats.org/drawingml/2006/main">
          <a:srgbClr val="9BBB59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0.84513</cdr:x>
      <cdr:y>0.28317</cdr:y>
    </cdr:from>
    <cdr:to>
      <cdr:x>0.87151</cdr:x>
      <cdr:y>0.31957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9F47FE53-87C4-144C-A50E-AE9CC5A611C3}"/>
            </a:ext>
          </a:extLst>
        </cdr:cNvPr>
        <cdr:cNvSpPr txBox="1"/>
      </cdr:nvSpPr>
      <cdr:spPr>
        <a:xfrm xmlns:a="http://schemas.openxmlformats.org/drawingml/2006/main">
          <a:off x="7326807" y="1778731"/>
          <a:ext cx="228701" cy="228649"/>
        </a:xfrm>
        <a:prstGeom xmlns:a="http://schemas.openxmlformats.org/drawingml/2006/main" prst="rect">
          <a:avLst/>
        </a:prstGeom>
        <a:solidFill xmlns:a="http://schemas.openxmlformats.org/drawingml/2006/main">
          <a:srgbClr val="9BBB59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0.45984</cdr:x>
      <cdr:y>0.65667</cdr:y>
    </cdr:from>
    <cdr:to>
      <cdr:x>0.48622</cdr:x>
      <cdr:y>0.69307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9F47FE53-87C4-144C-A50E-AE9CC5A611C3}"/>
            </a:ext>
          </a:extLst>
        </cdr:cNvPr>
        <cdr:cNvSpPr txBox="1"/>
      </cdr:nvSpPr>
      <cdr:spPr>
        <a:xfrm xmlns:a="http://schemas.openxmlformats.org/drawingml/2006/main">
          <a:off x="3984702" y="4124093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72C2A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B</a:t>
          </a:r>
        </a:p>
      </cdr:txBody>
    </cdr:sp>
  </cdr:relSizeAnchor>
  <cdr:relSizeAnchor xmlns:cdr="http://schemas.openxmlformats.org/drawingml/2006/chartDrawing">
    <cdr:from>
      <cdr:x>0.52329</cdr:x>
      <cdr:y>0.58269</cdr:y>
    </cdr:from>
    <cdr:to>
      <cdr:x>0.54967</cdr:x>
      <cdr:y>0.61909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3F99B6A3-90CA-764E-BE37-672579F839DD}"/>
            </a:ext>
          </a:extLst>
        </cdr:cNvPr>
        <cdr:cNvSpPr txBox="1"/>
      </cdr:nvSpPr>
      <cdr:spPr>
        <a:xfrm xmlns:a="http://schemas.openxmlformats.org/drawingml/2006/main">
          <a:off x="4534519" y="3659459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72C2A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0.5787</cdr:x>
      <cdr:y>0.58146</cdr:y>
    </cdr:from>
    <cdr:to>
      <cdr:x>0.60508</cdr:x>
      <cdr:y>0.61785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3F99B6A3-90CA-764E-BE37-672579F839DD}"/>
            </a:ext>
          </a:extLst>
        </cdr:cNvPr>
        <cdr:cNvSpPr txBox="1"/>
      </cdr:nvSpPr>
      <cdr:spPr>
        <a:xfrm xmlns:a="http://schemas.openxmlformats.org/drawingml/2006/main">
          <a:off x="5014641" y="3651715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5E753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0.6341</cdr:x>
      <cdr:y>0.48528</cdr:y>
    </cdr:from>
    <cdr:to>
      <cdr:x>0.66048</cdr:x>
      <cdr:y>0.52168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E75E34FE-0170-194B-BC65-3B39409F6734}"/>
            </a:ext>
          </a:extLst>
        </cdr:cNvPr>
        <cdr:cNvSpPr txBox="1"/>
      </cdr:nvSpPr>
      <cdr:spPr>
        <a:xfrm xmlns:a="http://schemas.openxmlformats.org/drawingml/2006/main">
          <a:off x="5494763" y="3047691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5E753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0.81055</cdr:x>
      <cdr:y>0.15906</cdr:y>
    </cdr:from>
    <cdr:to>
      <cdr:x>0.94281</cdr:x>
      <cdr:y>0.21702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36B1C430-2808-ED40-A448-8200B47B1137}"/>
            </a:ext>
          </a:extLst>
        </cdr:cNvPr>
        <cdr:cNvSpPr txBox="1"/>
      </cdr:nvSpPr>
      <cdr:spPr>
        <a:xfrm xmlns:a="http://schemas.openxmlformats.org/drawingml/2006/main">
          <a:off x="7023719" y="998962"/>
          <a:ext cx="1146099" cy="36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 = argillic horizon </a:t>
          </a:r>
        </a:p>
      </cdr:txBody>
    </cdr:sp>
  </cdr:relSizeAnchor>
  <cdr:relSizeAnchor xmlns:cdr="http://schemas.openxmlformats.org/drawingml/2006/chartDrawing">
    <cdr:from>
      <cdr:x>0.11042</cdr:x>
      <cdr:y>0.47911</cdr:y>
    </cdr:from>
    <cdr:to>
      <cdr:x>0.1368</cdr:x>
      <cdr:y>0.51551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E75E34FE-0170-194B-BC65-3B39409F6734}"/>
            </a:ext>
          </a:extLst>
        </cdr:cNvPr>
        <cdr:cNvSpPr txBox="1"/>
      </cdr:nvSpPr>
      <cdr:spPr>
        <a:xfrm xmlns:a="http://schemas.openxmlformats.org/drawingml/2006/main">
          <a:off x="956836" y="3008971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0.2312</cdr:x>
      <cdr:y>0.31389</cdr:y>
    </cdr:from>
    <cdr:to>
      <cdr:x>0.25759</cdr:x>
      <cdr:y>0.35029</cdr:y>
    </cdr:to>
    <cdr:sp macro="" textlink="">
      <cdr:nvSpPr>
        <cdr:cNvPr id="27" name="TextBox 1">
          <a:extLst xmlns:a="http://schemas.openxmlformats.org/drawingml/2006/main">
            <a:ext uri="{FF2B5EF4-FFF2-40B4-BE49-F238E27FC236}">
              <a16:creationId xmlns:a16="http://schemas.microsoft.com/office/drawing/2014/main" id="{E41B7A19-BDA2-7241-890F-D17ED6E32326}"/>
            </a:ext>
          </a:extLst>
        </cdr:cNvPr>
        <cdr:cNvSpPr txBox="1"/>
      </cdr:nvSpPr>
      <cdr:spPr>
        <a:xfrm xmlns:a="http://schemas.openxmlformats.org/drawingml/2006/main">
          <a:off x="2005013" y="1972670"/>
          <a:ext cx="228862" cy="228763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0.50988</cdr:x>
      <cdr:y>0.49391</cdr:y>
    </cdr:from>
    <cdr:to>
      <cdr:x>0.53626</cdr:x>
      <cdr:y>0.53031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0F392CD4-CC2E-E84B-A31F-88ED34B70ED2}"/>
            </a:ext>
          </a:extLst>
        </cdr:cNvPr>
        <cdr:cNvSpPr txBox="1"/>
      </cdr:nvSpPr>
      <cdr:spPr>
        <a:xfrm xmlns:a="http://schemas.openxmlformats.org/drawingml/2006/main">
          <a:off x="4418361" y="3101897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0.41337</cdr:x>
      <cdr:y>0.58022</cdr:y>
    </cdr:from>
    <cdr:to>
      <cdr:x>0.43975</cdr:x>
      <cdr:y>0.61662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2EF80F92-A219-DB44-A0B1-1731D7F403B8}"/>
            </a:ext>
          </a:extLst>
        </cdr:cNvPr>
        <cdr:cNvSpPr txBox="1"/>
      </cdr:nvSpPr>
      <cdr:spPr>
        <a:xfrm xmlns:a="http://schemas.openxmlformats.org/drawingml/2006/main">
          <a:off x="3582019" y="3643970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72C2A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0.44643</cdr:x>
      <cdr:y>0.70599</cdr:y>
    </cdr:from>
    <cdr:to>
      <cdr:x>0.47282</cdr:x>
      <cdr:y>0.74239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4A23938A-4F48-DA47-9A6B-1DF6DA630D82}"/>
            </a:ext>
          </a:extLst>
        </cdr:cNvPr>
        <cdr:cNvSpPr txBox="1"/>
      </cdr:nvSpPr>
      <cdr:spPr>
        <a:xfrm xmlns:a="http://schemas.openxmlformats.org/drawingml/2006/main">
          <a:off x="3868544" y="4433849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0.70714</cdr:x>
      <cdr:y>0.34968</cdr:y>
    </cdr:from>
    <cdr:to>
      <cdr:x>0.73352</cdr:x>
      <cdr:y>0.38608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3C3EB182-A5D2-5F47-8195-FE9881562CEB}"/>
            </a:ext>
          </a:extLst>
        </cdr:cNvPr>
        <cdr:cNvSpPr txBox="1"/>
      </cdr:nvSpPr>
      <cdr:spPr>
        <a:xfrm xmlns:a="http://schemas.openxmlformats.org/drawingml/2006/main">
          <a:off x="6130486" y="2196542"/>
          <a:ext cx="228700" cy="228649"/>
        </a:xfrm>
        <a:prstGeom xmlns:a="http://schemas.openxmlformats.org/drawingml/2006/main" prst="rect">
          <a:avLst/>
        </a:prstGeom>
        <a:solidFill xmlns:a="http://schemas.openxmlformats.org/drawingml/2006/main">
          <a:srgbClr val="9BBB59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0.44733</cdr:x>
      <cdr:y>0.47295</cdr:y>
    </cdr:from>
    <cdr:to>
      <cdr:x>0.47371</cdr:x>
      <cdr:y>0.50935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id="{2695234F-D78B-2946-9190-AD85A7BD2BFA}"/>
            </a:ext>
          </a:extLst>
        </cdr:cNvPr>
        <cdr:cNvSpPr txBox="1"/>
      </cdr:nvSpPr>
      <cdr:spPr>
        <a:xfrm xmlns:a="http://schemas.openxmlformats.org/drawingml/2006/main">
          <a:off x="3876288" y="2970252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  <a:alpha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0.53133</cdr:x>
      <cdr:y>0.51734</cdr:y>
    </cdr:from>
    <cdr:to>
      <cdr:x>0.55771</cdr:x>
      <cdr:y>0.55374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FBE6CBC5-D1EA-F740-BE0B-0A5416FECC76}"/>
            </a:ext>
          </a:extLst>
        </cdr:cNvPr>
        <cdr:cNvSpPr txBox="1"/>
      </cdr:nvSpPr>
      <cdr:spPr>
        <a:xfrm xmlns:a="http://schemas.openxmlformats.org/drawingml/2006/main">
          <a:off x="4604215" y="3249031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5E753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0.85165</cdr:x>
      <cdr:y>0.02165</cdr:y>
    </cdr:from>
    <cdr:to>
      <cdr:x>0.96962</cdr:x>
      <cdr:y>0.07961</cdr:y>
    </cdr:to>
    <cdr:sp macro="" textlink="">
      <cdr:nvSpPr>
        <cdr:cNvPr id="38" name="TextBox 1">
          <a:extLst xmlns:a="http://schemas.openxmlformats.org/drawingml/2006/main">
            <a:ext uri="{FF2B5EF4-FFF2-40B4-BE49-F238E27FC236}">
              <a16:creationId xmlns:a16="http://schemas.microsoft.com/office/drawing/2014/main" id="{904C95F6-7F8B-AE43-BA1A-1F1F9DADEB05}"/>
            </a:ext>
          </a:extLst>
        </cdr:cNvPr>
        <cdr:cNvSpPr txBox="1"/>
      </cdr:nvSpPr>
      <cdr:spPr>
        <a:xfrm xmlns:a="http://schemas.openxmlformats.org/drawingml/2006/main">
          <a:off x="7379940" y="135982"/>
          <a:ext cx="1022195" cy="36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 = Saprolite</a:t>
          </a:r>
        </a:p>
      </cdr:txBody>
    </cdr:sp>
  </cdr:relSizeAnchor>
  <cdr:relSizeAnchor xmlns:cdr="http://schemas.openxmlformats.org/drawingml/2006/chartDrawing">
    <cdr:from>
      <cdr:x>0.75385</cdr:x>
      <cdr:y>0.08577</cdr:y>
    </cdr:from>
    <cdr:to>
      <cdr:x>0.87489</cdr:x>
      <cdr:y>0.17016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904C95F6-7F8B-AE43-BA1A-1F1F9DADEB05}"/>
            </a:ext>
          </a:extLst>
        </cdr:cNvPr>
        <cdr:cNvSpPr txBox="1"/>
      </cdr:nvSpPr>
      <cdr:spPr>
        <a:xfrm xmlns:a="http://schemas.openxmlformats.org/drawingml/2006/main">
          <a:off x="6532447" y="538664"/>
          <a:ext cx="1048834" cy="52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 = top horizon </a:t>
          </a:r>
        </a:p>
      </cdr:txBody>
    </cdr:sp>
  </cdr:relSizeAnchor>
  <cdr:relSizeAnchor xmlns:cdr="http://schemas.openxmlformats.org/drawingml/2006/chartDrawing">
    <cdr:from>
      <cdr:x>0.86685</cdr:x>
      <cdr:y>0.05919</cdr:y>
    </cdr:from>
    <cdr:to>
      <cdr:x>0.91332</cdr:x>
      <cdr:y>0.15413</cdr:y>
    </cdr:to>
    <cdr:cxnSp macro="">
      <cdr:nvCxnSpPr>
        <cdr:cNvPr id="41" name="Straight Arrow Connector 40">
          <a:extLst xmlns:a="http://schemas.openxmlformats.org/drawingml/2006/main">
            <a:ext uri="{FF2B5EF4-FFF2-40B4-BE49-F238E27FC236}">
              <a16:creationId xmlns:a16="http://schemas.microsoft.com/office/drawing/2014/main" id="{3D5B705B-5AFE-9F4C-B4DE-250BE862E14E}"/>
            </a:ext>
          </a:extLst>
        </cdr:cNvPr>
        <cdr:cNvCxnSpPr/>
      </cdr:nvCxnSpPr>
      <cdr:spPr>
        <a:xfrm xmlns:a="http://schemas.openxmlformats.org/drawingml/2006/main" flipH="1">
          <a:off x="7511585" y="371707"/>
          <a:ext cx="402684" cy="596281"/>
        </a:xfrm>
        <a:prstGeom xmlns:a="http://schemas.openxmlformats.org/drawingml/2006/main" prst="straightConnector1">
          <a:avLst/>
        </a:prstGeom>
        <a:ln xmlns:a="http://schemas.openxmlformats.org/drawingml/2006/main" w="539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0.81412</cdr:x>
      <cdr:y>0.1307</cdr:y>
    </cdr:from>
    <cdr:to>
      <cdr:x>0.83289</cdr:x>
      <cdr:y>0.1603</cdr:y>
    </cdr:to>
    <cdr:cxnSp macro="">
      <cdr:nvCxnSpPr>
        <cdr:cNvPr id="42" name="Straight Arrow Connector 41">
          <a:extLst xmlns:a="http://schemas.openxmlformats.org/drawingml/2006/main">
            <a:ext uri="{FF2B5EF4-FFF2-40B4-BE49-F238E27FC236}">
              <a16:creationId xmlns:a16="http://schemas.microsoft.com/office/drawing/2014/main" id="{E40E2C58-C9BE-974F-B4DF-3A3E3A842495}"/>
            </a:ext>
          </a:extLst>
        </cdr:cNvPr>
        <cdr:cNvCxnSpPr/>
      </cdr:nvCxnSpPr>
      <cdr:spPr>
        <a:xfrm xmlns:a="http://schemas.openxmlformats.org/drawingml/2006/main" flipH="1" flipV="1">
          <a:off x="7054695" y="820854"/>
          <a:ext cx="162622" cy="185853"/>
        </a:xfrm>
        <a:prstGeom xmlns:a="http://schemas.openxmlformats.org/drawingml/2006/main" prst="straightConnector1">
          <a:avLst/>
        </a:prstGeom>
        <a:ln xmlns:a="http://schemas.openxmlformats.org/drawingml/2006/main" w="539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0.72744</cdr:x>
      <cdr:y>0.04069</cdr:y>
    </cdr:from>
    <cdr:to>
      <cdr:x>0.7605</cdr:x>
      <cdr:y>0.18629</cdr:y>
    </cdr:to>
    <cdr:sp macro="" textlink="">
      <cdr:nvSpPr>
        <cdr:cNvPr id="48" name="TextBox 47">
          <a:extLst xmlns:a="http://schemas.openxmlformats.org/drawingml/2006/main">
            <a:ext uri="{FF2B5EF4-FFF2-40B4-BE49-F238E27FC236}">
              <a16:creationId xmlns:a16="http://schemas.microsoft.com/office/drawing/2014/main" id="{923A9D60-83F3-974D-B9B8-D5BF82C7FFE3}"/>
            </a:ext>
          </a:extLst>
        </cdr:cNvPr>
        <cdr:cNvSpPr txBox="1"/>
      </cdr:nvSpPr>
      <cdr:spPr>
        <a:xfrm xmlns:a="http://schemas.openxmlformats.org/drawingml/2006/main" rot="16200000">
          <a:off x="5989600" y="569486"/>
          <a:ext cx="914400" cy="28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solidFill>
                <a:schemeClr val="tx1"/>
              </a:solidFill>
            </a:rPr>
            <a:t>Eu*/Ce*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0.79796</cdr:x>
      <cdr:y>0.21702</cdr:y>
    </cdr:from>
    <cdr:to>
      <cdr:x>0.90349</cdr:x>
      <cdr:y>0.36261</cdr:y>
    </cdr:to>
    <cdr:sp macro="" textlink="">
      <cdr:nvSpPr>
        <cdr:cNvPr id="49" name="TextBox 48">
          <a:extLst xmlns:a="http://schemas.openxmlformats.org/drawingml/2006/main">
            <a:ext uri="{FF2B5EF4-FFF2-40B4-BE49-F238E27FC236}">
              <a16:creationId xmlns:a16="http://schemas.microsoft.com/office/drawing/2014/main" id="{165C468E-DE64-A44F-9CFB-E3DAEDC2E744}"/>
            </a:ext>
          </a:extLst>
        </cdr:cNvPr>
        <cdr:cNvSpPr txBox="1"/>
      </cdr:nvSpPr>
      <cdr:spPr>
        <a:xfrm xmlns:a="http://schemas.openxmlformats.org/drawingml/2006/main">
          <a:off x="6914686" y="136292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Depth</a:t>
          </a:r>
        </a:p>
      </cdr:txBody>
    </cdr:sp>
  </cdr:relSizeAnchor>
  <cdr:relSizeAnchor xmlns:cdr="http://schemas.openxmlformats.org/drawingml/2006/chartDrawing">
    <cdr:from>
      <cdr:x>0.75603</cdr:x>
      <cdr:y>0.03822</cdr:y>
    </cdr:from>
    <cdr:to>
      <cdr:x>0.75603</cdr:x>
      <cdr:y>0.21948</cdr:y>
    </cdr:to>
    <cdr:cxnSp macro="">
      <cdr:nvCxnSpPr>
        <cdr:cNvPr id="51" name="Straight Connector 50">
          <a:extLst xmlns:a="http://schemas.openxmlformats.org/drawingml/2006/main">
            <a:ext uri="{FF2B5EF4-FFF2-40B4-BE49-F238E27FC236}">
              <a16:creationId xmlns:a16="http://schemas.microsoft.com/office/drawing/2014/main" id="{B4C2D8C5-1E39-4A49-9EA2-5A3154EE479B}"/>
            </a:ext>
          </a:extLst>
        </cdr:cNvPr>
        <cdr:cNvCxnSpPr/>
      </cdr:nvCxnSpPr>
      <cdr:spPr>
        <a:xfrm xmlns:a="http://schemas.openxmlformats.org/drawingml/2006/main">
          <a:off x="6551341" y="240061"/>
          <a:ext cx="0" cy="113835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0.75475</cdr:x>
      <cdr:y>0.21578</cdr:y>
    </cdr:from>
    <cdr:to>
      <cdr:x>0.94459</cdr:x>
      <cdr:y>0.21771</cdr:y>
    </cdr:to>
    <cdr:cxnSp macro="">
      <cdr:nvCxnSpPr>
        <cdr:cNvPr id="53" name="Straight Connector 52">
          <a:extLst xmlns:a="http://schemas.openxmlformats.org/drawingml/2006/main">
            <a:ext uri="{FF2B5EF4-FFF2-40B4-BE49-F238E27FC236}">
              <a16:creationId xmlns:a16="http://schemas.microsoft.com/office/drawing/2014/main" id="{CB343B5A-74F2-E548-866B-EFE836C39F16}"/>
            </a:ext>
          </a:extLst>
        </cdr:cNvPr>
        <cdr:cNvCxnSpPr/>
      </cdr:nvCxnSpPr>
      <cdr:spPr>
        <a:xfrm xmlns:a="http://schemas.openxmlformats.org/drawingml/2006/main" flipH="1">
          <a:off x="6540189" y="1355183"/>
          <a:ext cx="1645116" cy="1208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397625" cy="8580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99D677-CFDC-354B-AF2A-996DFCB0F8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0.14595</cdr:x>
      <cdr:y>0.62856</cdr:y>
    </cdr:from>
    <cdr:to>
      <cdr:x>0.17233</cdr:x>
      <cdr:y>0.66496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2D53B12-1A14-1C42-B423-B4655B57816D}"/>
            </a:ext>
          </a:extLst>
        </cdr:cNvPr>
        <cdr:cNvSpPr txBox="1"/>
      </cdr:nvSpPr>
      <cdr:spPr>
        <a:xfrm xmlns:a="http://schemas.openxmlformats.org/drawingml/2006/main">
          <a:off x="1264947" y="3947492"/>
          <a:ext cx="228627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0.20265</cdr:x>
      <cdr:y>0.26606</cdr:y>
    </cdr:from>
    <cdr:to>
      <cdr:x>0.22903</cdr:x>
      <cdr:y>0.30246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BA456F-0101-D34D-8AF7-138BC51636F4}"/>
            </a:ext>
          </a:extLst>
        </cdr:cNvPr>
        <cdr:cNvSpPr txBox="1"/>
      </cdr:nvSpPr>
      <cdr:spPr>
        <a:xfrm xmlns:a="http://schemas.openxmlformats.org/drawingml/2006/main">
          <a:off x="1756299" y="1670936"/>
          <a:ext cx="228627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0.48397</cdr:x>
      <cdr:y>0.75531</cdr:y>
    </cdr:from>
    <cdr:to>
      <cdr:x>0.51035</cdr:x>
      <cdr:y>0.79171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C3BDD0D-5BBD-8245-85A5-1C87FAA53D07}"/>
            </a:ext>
          </a:extLst>
        </cdr:cNvPr>
        <cdr:cNvSpPr txBox="1"/>
      </cdr:nvSpPr>
      <cdr:spPr>
        <a:xfrm xmlns:a="http://schemas.openxmlformats.org/drawingml/2006/main">
          <a:off x="4193788" y="4743605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0.61534</cdr:x>
      <cdr:y>0.25716</cdr:y>
    </cdr:from>
    <cdr:to>
      <cdr:x>0.64172</cdr:x>
      <cdr:y>0.29356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F2BB7DF5-0BF3-D74D-B1EF-040CE54498DA}"/>
            </a:ext>
          </a:extLst>
        </cdr:cNvPr>
        <cdr:cNvSpPr txBox="1"/>
      </cdr:nvSpPr>
      <cdr:spPr>
        <a:xfrm xmlns:a="http://schemas.openxmlformats.org/drawingml/2006/main">
          <a:off x="5332141" y="1615069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0.729</cdr:x>
      <cdr:y>0.72282</cdr:y>
    </cdr:from>
    <cdr:to>
      <cdr:x>0.75538</cdr:x>
      <cdr:y>0.75922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F2BB7DF5-0BF3-D74D-B1EF-040CE54498DA}"/>
            </a:ext>
          </a:extLst>
        </cdr:cNvPr>
        <cdr:cNvSpPr txBox="1"/>
      </cdr:nvSpPr>
      <cdr:spPr>
        <a:xfrm xmlns:a="http://schemas.openxmlformats.org/drawingml/2006/main">
          <a:off x="6318005" y="4539441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9BBB59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0.79907</cdr:x>
      <cdr:y>0.63367</cdr:y>
    </cdr:from>
    <cdr:to>
      <cdr:x>0.82545</cdr:x>
      <cdr:y>0.67007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9F47FE53-87C4-144C-A50E-AE9CC5A611C3}"/>
            </a:ext>
          </a:extLst>
        </cdr:cNvPr>
        <cdr:cNvSpPr txBox="1"/>
      </cdr:nvSpPr>
      <cdr:spPr>
        <a:xfrm xmlns:a="http://schemas.openxmlformats.org/drawingml/2006/main">
          <a:off x="6927475" y="3980444"/>
          <a:ext cx="228700" cy="228649"/>
        </a:xfrm>
        <a:prstGeom xmlns:a="http://schemas.openxmlformats.org/drawingml/2006/main" prst="rect">
          <a:avLst/>
        </a:prstGeom>
        <a:solidFill xmlns:a="http://schemas.openxmlformats.org/drawingml/2006/main">
          <a:srgbClr val="9BBB59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0.43175</cdr:x>
      <cdr:y>0.65388</cdr:y>
    </cdr:from>
    <cdr:to>
      <cdr:x>0.45813</cdr:x>
      <cdr:y>0.69028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9F47FE53-87C4-144C-A50E-AE9CC5A611C3}"/>
            </a:ext>
          </a:extLst>
        </cdr:cNvPr>
        <cdr:cNvSpPr txBox="1"/>
      </cdr:nvSpPr>
      <cdr:spPr>
        <a:xfrm xmlns:a="http://schemas.openxmlformats.org/drawingml/2006/main">
          <a:off x="2762305" y="5609276"/>
          <a:ext cx="168777" cy="312257"/>
        </a:xfrm>
        <a:prstGeom xmlns:a="http://schemas.openxmlformats.org/drawingml/2006/main" prst="rect">
          <a:avLst/>
        </a:prstGeom>
        <a:solidFill xmlns:a="http://schemas.openxmlformats.org/drawingml/2006/main">
          <a:srgbClr val="772C2A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B</a:t>
          </a:r>
        </a:p>
      </cdr:txBody>
    </cdr:sp>
  </cdr:relSizeAnchor>
  <cdr:relSizeAnchor xmlns:cdr="http://schemas.openxmlformats.org/drawingml/2006/chartDrawing">
    <cdr:from>
      <cdr:x>0.64534</cdr:x>
      <cdr:y>0.42802</cdr:y>
    </cdr:from>
    <cdr:to>
      <cdr:x>0.67172</cdr:x>
      <cdr:y>0.46442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E75E34FE-0170-194B-BC65-3B39409F6734}"/>
            </a:ext>
          </a:extLst>
        </cdr:cNvPr>
        <cdr:cNvSpPr txBox="1"/>
      </cdr:nvSpPr>
      <cdr:spPr>
        <a:xfrm xmlns:a="http://schemas.openxmlformats.org/drawingml/2006/main">
          <a:off x="4128811" y="3671743"/>
          <a:ext cx="168778" cy="312257"/>
        </a:xfrm>
        <a:prstGeom xmlns:a="http://schemas.openxmlformats.org/drawingml/2006/main" prst="rect">
          <a:avLst/>
        </a:prstGeom>
        <a:solidFill xmlns:a="http://schemas.openxmlformats.org/drawingml/2006/main">
          <a:srgbClr val="5E753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0.11747</cdr:x>
      <cdr:y>0.51346</cdr:y>
    </cdr:from>
    <cdr:to>
      <cdr:x>0.14385</cdr:x>
      <cdr:y>0.54986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E75E34FE-0170-194B-BC65-3B39409F6734}"/>
            </a:ext>
          </a:extLst>
        </cdr:cNvPr>
        <cdr:cNvSpPr txBox="1"/>
      </cdr:nvSpPr>
      <cdr:spPr>
        <a:xfrm xmlns:a="http://schemas.openxmlformats.org/drawingml/2006/main">
          <a:off x="1018037" y="3224621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0.19869</cdr:x>
      <cdr:y>0.58016</cdr:y>
    </cdr:from>
    <cdr:to>
      <cdr:x>0.22508</cdr:x>
      <cdr:y>0.61656</cdr:y>
    </cdr:to>
    <cdr:sp macro="" textlink="">
      <cdr:nvSpPr>
        <cdr:cNvPr id="27" name="TextBox 1">
          <a:extLst xmlns:a="http://schemas.openxmlformats.org/drawingml/2006/main">
            <a:ext uri="{FF2B5EF4-FFF2-40B4-BE49-F238E27FC236}">
              <a16:creationId xmlns:a16="http://schemas.microsoft.com/office/drawing/2014/main" id="{E41B7A19-BDA2-7241-890F-D17ED6E32326}"/>
            </a:ext>
          </a:extLst>
        </cdr:cNvPr>
        <cdr:cNvSpPr txBox="1"/>
      </cdr:nvSpPr>
      <cdr:spPr>
        <a:xfrm xmlns:a="http://schemas.openxmlformats.org/drawingml/2006/main">
          <a:off x="1721964" y="3643518"/>
          <a:ext cx="228714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0.41524</cdr:x>
      <cdr:y>0.41123</cdr:y>
    </cdr:from>
    <cdr:to>
      <cdr:x>0.44162</cdr:x>
      <cdr:y>0.44763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2EF80F92-A219-DB44-A0B1-1731D7F403B8}"/>
            </a:ext>
          </a:extLst>
        </cdr:cNvPr>
        <cdr:cNvSpPr txBox="1"/>
      </cdr:nvSpPr>
      <cdr:spPr>
        <a:xfrm xmlns:a="http://schemas.openxmlformats.org/drawingml/2006/main">
          <a:off x="2656691" y="3527695"/>
          <a:ext cx="168778" cy="312257"/>
        </a:xfrm>
        <a:prstGeom xmlns:a="http://schemas.openxmlformats.org/drawingml/2006/main" prst="rect">
          <a:avLst/>
        </a:prstGeom>
        <a:solidFill xmlns:a="http://schemas.openxmlformats.org/drawingml/2006/main">
          <a:srgbClr val="772C2A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0.44643</cdr:x>
      <cdr:y>0.70599</cdr:y>
    </cdr:from>
    <cdr:to>
      <cdr:x>0.47282</cdr:x>
      <cdr:y>0.74239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4A23938A-4F48-DA47-9A6B-1DF6DA630D82}"/>
            </a:ext>
          </a:extLst>
        </cdr:cNvPr>
        <cdr:cNvSpPr txBox="1"/>
      </cdr:nvSpPr>
      <cdr:spPr>
        <a:xfrm xmlns:a="http://schemas.openxmlformats.org/drawingml/2006/main">
          <a:off x="3868544" y="4433849"/>
          <a:ext cx="228600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0.69869</cdr:x>
      <cdr:y>0.47944</cdr:y>
    </cdr:from>
    <cdr:to>
      <cdr:x>0.72507</cdr:x>
      <cdr:y>0.51584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3C3EB182-A5D2-5F47-8195-FE9881562CEB}"/>
            </a:ext>
          </a:extLst>
        </cdr:cNvPr>
        <cdr:cNvSpPr txBox="1"/>
      </cdr:nvSpPr>
      <cdr:spPr>
        <a:xfrm xmlns:a="http://schemas.openxmlformats.org/drawingml/2006/main">
          <a:off x="4470170" y="4112907"/>
          <a:ext cx="168778" cy="312257"/>
        </a:xfrm>
        <a:prstGeom xmlns:a="http://schemas.openxmlformats.org/drawingml/2006/main" prst="rect">
          <a:avLst/>
        </a:prstGeom>
        <a:solidFill xmlns:a="http://schemas.openxmlformats.org/drawingml/2006/main">
          <a:srgbClr val="9BBB59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0.51668</cdr:x>
      <cdr:y>0.44024</cdr:y>
    </cdr:from>
    <cdr:to>
      <cdr:x>0.54306</cdr:x>
      <cdr:y>0.47664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FBE6CBC5-D1EA-F740-BE0B-0A5416FECC76}"/>
            </a:ext>
          </a:extLst>
        </cdr:cNvPr>
        <cdr:cNvSpPr txBox="1"/>
      </cdr:nvSpPr>
      <cdr:spPr>
        <a:xfrm xmlns:a="http://schemas.openxmlformats.org/drawingml/2006/main">
          <a:off x="4477879" y="2764821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5E753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0.69925</cdr:x>
      <cdr:y>0.06699</cdr:y>
    </cdr:from>
    <cdr:to>
      <cdr:x>0.96287</cdr:x>
      <cdr:y>0.3247</cdr:y>
    </cdr:to>
    <cdr:sp macro="" textlink="">
      <cdr:nvSpPr>
        <cdr:cNvPr id="47" name="Rounded Rectangle 46">
          <a:extLst xmlns:a="http://schemas.openxmlformats.org/drawingml/2006/main">
            <a:ext uri="{FF2B5EF4-FFF2-40B4-BE49-F238E27FC236}">
              <a16:creationId xmlns:a16="http://schemas.microsoft.com/office/drawing/2014/main" id="{69B09F2E-EE65-A744-9143-CBFAD4C67534}"/>
            </a:ext>
          </a:extLst>
        </cdr:cNvPr>
        <cdr:cNvSpPr/>
      </cdr:nvSpPr>
      <cdr:spPr>
        <a:xfrm xmlns:a="http://schemas.openxmlformats.org/drawingml/2006/main">
          <a:off x="6071999" y="421639"/>
          <a:ext cx="2289177" cy="162214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alpha val="8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0.80689</cdr:x>
      <cdr:y>0.22605</cdr:y>
    </cdr:from>
    <cdr:to>
      <cdr:x>0.93915</cdr:x>
      <cdr:y>0.28401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36B1C430-2808-ED40-A448-8200B47B1137}"/>
            </a:ext>
          </a:extLst>
        </cdr:cNvPr>
        <cdr:cNvSpPr txBox="1"/>
      </cdr:nvSpPr>
      <cdr:spPr>
        <a:xfrm xmlns:a="http://schemas.openxmlformats.org/drawingml/2006/main">
          <a:off x="7006700" y="1422833"/>
          <a:ext cx="1148496" cy="36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 = argillic horizon </a:t>
          </a:r>
        </a:p>
      </cdr:txBody>
    </cdr:sp>
  </cdr:relSizeAnchor>
  <cdr:relSizeAnchor xmlns:cdr="http://schemas.openxmlformats.org/drawingml/2006/chartDrawing">
    <cdr:from>
      <cdr:x>0.84799</cdr:x>
      <cdr:y>0.08864</cdr:y>
    </cdr:from>
    <cdr:to>
      <cdr:x>0.96596</cdr:x>
      <cdr:y>0.1466</cdr:y>
    </cdr:to>
    <cdr:sp macro="" textlink="">
      <cdr:nvSpPr>
        <cdr:cNvPr id="38" name="TextBox 1">
          <a:extLst xmlns:a="http://schemas.openxmlformats.org/drawingml/2006/main">
            <a:ext uri="{FF2B5EF4-FFF2-40B4-BE49-F238E27FC236}">
              <a16:creationId xmlns:a16="http://schemas.microsoft.com/office/drawing/2014/main" id="{904C95F6-7F8B-AE43-BA1A-1F1F9DADEB05}"/>
            </a:ext>
          </a:extLst>
        </cdr:cNvPr>
        <cdr:cNvSpPr txBox="1"/>
      </cdr:nvSpPr>
      <cdr:spPr>
        <a:xfrm xmlns:a="http://schemas.openxmlformats.org/drawingml/2006/main">
          <a:off x="7363598" y="557914"/>
          <a:ext cx="1024407" cy="36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 = Saprolite</a:t>
          </a:r>
        </a:p>
      </cdr:txBody>
    </cdr:sp>
  </cdr:relSizeAnchor>
  <cdr:relSizeAnchor xmlns:cdr="http://schemas.openxmlformats.org/drawingml/2006/chartDrawing">
    <cdr:from>
      <cdr:x>0.75019</cdr:x>
      <cdr:y>0.15276</cdr:y>
    </cdr:from>
    <cdr:to>
      <cdr:x>0.87123</cdr:x>
      <cdr:y>0.23715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904C95F6-7F8B-AE43-BA1A-1F1F9DADEB05}"/>
            </a:ext>
          </a:extLst>
        </cdr:cNvPr>
        <cdr:cNvSpPr txBox="1"/>
      </cdr:nvSpPr>
      <cdr:spPr>
        <a:xfrm xmlns:a="http://schemas.openxmlformats.org/drawingml/2006/main">
          <a:off x="6514339" y="961513"/>
          <a:ext cx="1051066" cy="531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 = top horizon </a:t>
          </a:r>
        </a:p>
      </cdr:txBody>
    </cdr:sp>
  </cdr:relSizeAnchor>
  <cdr:relSizeAnchor xmlns:cdr="http://schemas.openxmlformats.org/drawingml/2006/chartDrawing">
    <cdr:from>
      <cdr:x>0.86319</cdr:x>
      <cdr:y>0.12618</cdr:y>
    </cdr:from>
    <cdr:to>
      <cdr:x>0.90966</cdr:x>
      <cdr:y>0.22112</cdr:y>
    </cdr:to>
    <cdr:cxnSp macro="">
      <cdr:nvCxnSpPr>
        <cdr:cNvPr id="41" name="Straight Arrow Connector 40">
          <a:extLst xmlns:a="http://schemas.openxmlformats.org/drawingml/2006/main">
            <a:ext uri="{FF2B5EF4-FFF2-40B4-BE49-F238E27FC236}">
              <a16:creationId xmlns:a16="http://schemas.microsoft.com/office/drawing/2014/main" id="{3D5B705B-5AFE-9F4C-B4DE-250BE862E14E}"/>
            </a:ext>
          </a:extLst>
        </cdr:cNvPr>
        <cdr:cNvCxnSpPr/>
      </cdr:nvCxnSpPr>
      <cdr:spPr>
        <a:xfrm xmlns:a="http://schemas.openxmlformats.org/drawingml/2006/main" flipH="1">
          <a:off x="7495588" y="794207"/>
          <a:ext cx="403528" cy="597594"/>
        </a:xfrm>
        <a:prstGeom xmlns:a="http://schemas.openxmlformats.org/drawingml/2006/main" prst="straightConnector1">
          <a:avLst/>
        </a:prstGeom>
        <a:ln xmlns:a="http://schemas.openxmlformats.org/drawingml/2006/main" w="539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0.81046</cdr:x>
      <cdr:y>0.19769</cdr:y>
    </cdr:from>
    <cdr:to>
      <cdr:x>0.82923</cdr:x>
      <cdr:y>0.22729</cdr:y>
    </cdr:to>
    <cdr:cxnSp macro="">
      <cdr:nvCxnSpPr>
        <cdr:cNvPr id="42" name="Straight Arrow Connector 41">
          <a:extLst xmlns:a="http://schemas.openxmlformats.org/drawingml/2006/main">
            <a:ext uri="{FF2B5EF4-FFF2-40B4-BE49-F238E27FC236}">
              <a16:creationId xmlns:a16="http://schemas.microsoft.com/office/drawing/2014/main" id="{E40E2C58-C9BE-974F-B4DF-3A3E3A842495}"/>
            </a:ext>
          </a:extLst>
        </cdr:cNvPr>
        <cdr:cNvCxnSpPr/>
      </cdr:nvCxnSpPr>
      <cdr:spPr>
        <a:xfrm xmlns:a="http://schemas.openxmlformats.org/drawingml/2006/main" flipH="1" flipV="1">
          <a:off x="7037701" y="1244323"/>
          <a:ext cx="162991" cy="186315"/>
        </a:xfrm>
        <a:prstGeom xmlns:a="http://schemas.openxmlformats.org/drawingml/2006/main" prst="straightConnector1">
          <a:avLst/>
        </a:prstGeom>
        <a:ln xmlns:a="http://schemas.openxmlformats.org/drawingml/2006/main" w="539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0.71067</cdr:x>
      <cdr:y>0.11606</cdr:y>
    </cdr:from>
    <cdr:to>
      <cdr:x>0.74373</cdr:x>
      <cdr:y>0.26166</cdr:y>
    </cdr:to>
    <cdr:sp macro="" textlink="">
      <cdr:nvSpPr>
        <cdr:cNvPr id="48" name="TextBox 47">
          <a:extLst xmlns:a="http://schemas.openxmlformats.org/drawingml/2006/main">
            <a:ext uri="{FF2B5EF4-FFF2-40B4-BE49-F238E27FC236}">
              <a16:creationId xmlns:a16="http://schemas.microsoft.com/office/drawing/2014/main" id="{923A9D60-83F3-974D-B9B8-D5BF82C7FFE3}"/>
            </a:ext>
          </a:extLst>
        </cdr:cNvPr>
        <cdr:cNvSpPr txBox="1"/>
      </cdr:nvSpPr>
      <cdr:spPr>
        <a:xfrm xmlns:a="http://schemas.openxmlformats.org/drawingml/2006/main" rot="16200000">
          <a:off x="5856467" y="1045202"/>
          <a:ext cx="916470" cy="287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solidFill>
                <a:schemeClr val="tx1"/>
              </a:solidFill>
            </a:rPr>
            <a:t>(Eu*/(Ce*)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0.7943</cdr:x>
      <cdr:y>0.28401</cdr:y>
    </cdr:from>
    <cdr:to>
      <cdr:x>0.89983</cdr:x>
      <cdr:y>0.4296</cdr:y>
    </cdr:to>
    <cdr:sp macro="" textlink="">
      <cdr:nvSpPr>
        <cdr:cNvPr id="49" name="TextBox 48">
          <a:extLst xmlns:a="http://schemas.openxmlformats.org/drawingml/2006/main">
            <a:ext uri="{FF2B5EF4-FFF2-40B4-BE49-F238E27FC236}">
              <a16:creationId xmlns:a16="http://schemas.microsoft.com/office/drawing/2014/main" id="{165C468E-DE64-A44F-9CFB-E3DAEDC2E744}"/>
            </a:ext>
          </a:extLst>
        </cdr:cNvPr>
        <cdr:cNvSpPr txBox="1"/>
      </cdr:nvSpPr>
      <cdr:spPr>
        <a:xfrm xmlns:a="http://schemas.openxmlformats.org/drawingml/2006/main">
          <a:off x="6897373" y="1787658"/>
          <a:ext cx="916383" cy="916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Depth</a:t>
          </a:r>
        </a:p>
      </cdr:txBody>
    </cdr:sp>
  </cdr:relSizeAnchor>
  <cdr:relSizeAnchor xmlns:cdr="http://schemas.openxmlformats.org/drawingml/2006/chartDrawing">
    <cdr:from>
      <cdr:x>0.75237</cdr:x>
      <cdr:y>0.10521</cdr:y>
    </cdr:from>
    <cdr:to>
      <cdr:x>0.75237</cdr:x>
      <cdr:y>0.28647</cdr:y>
    </cdr:to>
    <cdr:cxnSp macro="">
      <cdr:nvCxnSpPr>
        <cdr:cNvPr id="51" name="Straight Connector 50">
          <a:extLst xmlns:a="http://schemas.openxmlformats.org/drawingml/2006/main">
            <a:ext uri="{FF2B5EF4-FFF2-40B4-BE49-F238E27FC236}">
              <a16:creationId xmlns:a16="http://schemas.microsoft.com/office/drawing/2014/main" id="{B4C2D8C5-1E39-4A49-9EA2-5A3154EE479B}"/>
            </a:ext>
          </a:extLst>
        </cdr:cNvPr>
        <cdr:cNvCxnSpPr/>
      </cdr:nvCxnSpPr>
      <cdr:spPr>
        <a:xfrm xmlns:a="http://schemas.openxmlformats.org/drawingml/2006/main">
          <a:off x="6533269" y="662213"/>
          <a:ext cx="0" cy="114093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0.75109</cdr:x>
      <cdr:y>0.28277</cdr:y>
    </cdr:from>
    <cdr:to>
      <cdr:x>0.94093</cdr:x>
      <cdr:y>0.2847</cdr:y>
    </cdr:to>
    <cdr:cxnSp macro="">
      <cdr:nvCxnSpPr>
        <cdr:cNvPr id="53" name="Straight Connector 52">
          <a:extLst xmlns:a="http://schemas.openxmlformats.org/drawingml/2006/main">
            <a:ext uri="{FF2B5EF4-FFF2-40B4-BE49-F238E27FC236}">
              <a16:creationId xmlns:a16="http://schemas.microsoft.com/office/drawing/2014/main" id="{CB343B5A-74F2-E548-866B-EFE836C39F16}"/>
            </a:ext>
          </a:extLst>
        </cdr:cNvPr>
        <cdr:cNvCxnSpPr/>
      </cdr:nvCxnSpPr>
      <cdr:spPr>
        <a:xfrm xmlns:a="http://schemas.openxmlformats.org/drawingml/2006/main" flipH="1">
          <a:off x="6522154" y="1779853"/>
          <a:ext cx="1648499" cy="1214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0.55538</cdr:x>
      <cdr:y>0.71587</cdr:y>
    </cdr:from>
    <cdr:to>
      <cdr:x>0.58176</cdr:x>
      <cdr:y>0.75227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7EE16D4E-D00F-3343-8AA3-BD5F4F7F15A6}"/>
            </a:ext>
          </a:extLst>
        </cdr:cNvPr>
        <cdr:cNvSpPr txBox="1"/>
      </cdr:nvSpPr>
      <cdr:spPr>
        <a:xfrm xmlns:a="http://schemas.openxmlformats.org/drawingml/2006/main">
          <a:off x="4813300" y="4495800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0.49467</cdr:x>
      <cdr:y>0.63787</cdr:y>
    </cdr:from>
    <cdr:to>
      <cdr:x>0.52105</cdr:x>
      <cdr:y>0.67427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7EE16D4E-D00F-3343-8AA3-BD5F4F7F15A6}"/>
            </a:ext>
          </a:extLst>
        </cdr:cNvPr>
        <cdr:cNvSpPr txBox="1"/>
      </cdr:nvSpPr>
      <cdr:spPr>
        <a:xfrm xmlns:a="http://schemas.openxmlformats.org/drawingml/2006/main">
          <a:off x="4287157" y="4005943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0.51037</cdr:x>
      <cdr:y>0.24498</cdr:y>
    </cdr:from>
    <cdr:to>
      <cdr:x>0.53675</cdr:x>
      <cdr:y>0.28138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66BEEA71-0421-534E-95A3-FB713DB0CE56}"/>
            </a:ext>
          </a:extLst>
        </cdr:cNvPr>
        <cdr:cNvSpPr txBox="1"/>
      </cdr:nvSpPr>
      <cdr:spPr>
        <a:xfrm xmlns:a="http://schemas.openxmlformats.org/drawingml/2006/main">
          <a:off x="4423229" y="1538514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0.27332</cdr:x>
      <cdr:y>0.65017</cdr:y>
    </cdr:from>
    <cdr:to>
      <cdr:x>0.2997</cdr:x>
      <cdr:y>0.68657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CBA456F-0101-D34D-8AF7-138BC51636F4}"/>
            </a:ext>
          </a:extLst>
        </cdr:cNvPr>
        <cdr:cNvSpPr txBox="1"/>
      </cdr:nvSpPr>
      <cdr:spPr>
        <a:xfrm xmlns:a="http://schemas.openxmlformats.org/drawingml/2006/main">
          <a:off x="2368784" y="4083193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0.32341</cdr:x>
      <cdr:y>0.12034</cdr:y>
    </cdr:from>
    <cdr:to>
      <cdr:x>0.34979</cdr:x>
      <cdr:y>0.15674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E28DB57-8411-DC4A-A3F4-886BC644A627}"/>
            </a:ext>
          </a:extLst>
        </cdr:cNvPr>
        <cdr:cNvSpPr txBox="1"/>
      </cdr:nvSpPr>
      <cdr:spPr>
        <a:xfrm xmlns:a="http://schemas.openxmlformats.org/drawingml/2006/main">
          <a:off x="2802884" y="755741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0.54622</cdr:x>
      <cdr:y>0.55156</cdr:y>
    </cdr:from>
    <cdr:to>
      <cdr:x>0.5726</cdr:x>
      <cdr:y>0.58796</cdr:y>
    </cdr:to>
    <cdr:sp macro="" textlink="">
      <cdr:nvSpPr>
        <cdr:cNvPr id="32" name="TextBox 1">
          <a:extLst xmlns:a="http://schemas.openxmlformats.org/drawingml/2006/main">
            <a:ext uri="{FF2B5EF4-FFF2-40B4-BE49-F238E27FC236}">
              <a16:creationId xmlns:a16="http://schemas.microsoft.com/office/drawing/2014/main" id="{03A4F2B6-D55F-BD4A-A281-7E1BDC286FB3}"/>
            </a:ext>
          </a:extLst>
        </cdr:cNvPr>
        <cdr:cNvSpPr txBox="1"/>
      </cdr:nvSpPr>
      <cdr:spPr>
        <a:xfrm xmlns:a="http://schemas.openxmlformats.org/drawingml/2006/main">
          <a:off x="4733925" y="3463925"/>
          <a:ext cx="22862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5E7530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0.54256</cdr:x>
      <cdr:y>0.47573</cdr:y>
    </cdr:from>
    <cdr:to>
      <cdr:x>0.56894</cdr:x>
      <cdr:y>0.51213</cdr:y>
    </cdr:to>
    <cdr:sp macro="" textlink="">
      <cdr:nvSpPr>
        <cdr:cNvPr id="33" name="TextBox 1">
          <a:extLst xmlns:a="http://schemas.openxmlformats.org/drawingml/2006/main">
            <a:ext uri="{FF2B5EF4-FFF2-40B4-BE49-F238E27FC236}">
              <a16:creationId xmlns:a16="http://schemas.microsoft.com/office/drawing/2014/main" id="{F75F96D4-919A-DC48-AE31-C77D476C2A2D}"/>
            </a:ext>
          </a:extLst>
        </cdr:cNvPr>
        <cdr:cNvSpPr txBox="1"/>
      </cdr:nvSpPr>
      <cdr:spPr>
        <a:xfrm xmlns:a="http://schemas.openxmlformats.org/drawingml/2006/main">
          <a:off x="4702175" y="2987675"/>
          <a:ext cx="228627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772C2A">
            <a:alpha val="5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0.13346</cdr:x>
      <cdr:y>0.40605</cdr:y>
    </cdr:from>
    <cdr:to>
      <cdr:x>0.84826</cdr:x>
      <cdr:y>0.73644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ACCF27DF-6DE3-E844-BA87-B388EDEAD89B}"/>
            </a:ext>
          </a:extLst>
        </cdr:cNvPr>
        <cdr:cNvCxnSpPr/>
      </cdr:nvCxnSpPr>
      <cdr:spPr>
        <a:xfrm xmlns:a="http://schemas.openxmlformats.org/drawingml/2006/main">
          <a:off x="1158875" y="2555876"/>
          <a:ext cx="6207125" cy="2079625"/>
        </a:xfrm>
        <a:prstGeom xmlns:a="http://schemas.openxmlformats.org/drawingml/2006/main" prst="straightConnector1">
          <a:avLst/>
        </a:prstGeom>
        <a:ln xmlns:a="http://schemas.openxmlformats.org/drawingml/2006/main" w="73025">
          <a:solidFill>
            <a:schemeClr val="accent1">
              <a:shade val="95000"/>
              <a:satMod val="105000"/>
              <a:alpha val="34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3D5A0-D974-8649-B67D-DB9166410A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5849B0-CEC2-B048-AD39-D78E009807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E2F73C-93C0-114E-AB82-CC9050C3BA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B3781A-D2F8-384B-BFE3-07C008648E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9514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21D2B0-356F-8749-A545-CEFB5D70C1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57FA33-01B4-184E-8974-54AB8C9F3D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3E815-60E9-C244-A5DB-9CF1DD52F1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9514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B62623-2D20-154F-A039-982177CF7A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2B0ED6-7A82-A042-9026-50480B6196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D79EB5-0A1D-5C4A-9A55-4F4C920E2B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FD01A7-147F-5B48-94B9-61FA63197C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0.10604</cdr:x>
      <cdr:y>0.03567</cdr:y>
    </cdr:from>
    <cdr:to>
      <cdr:x>0.95779</cdr:x>
      <cdr:y>0.89929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33F922C-9CDB-584B-B93C-34E9B5854E76}"/>
            </a:ext>
          </a:extLst>
        </cdr:cNvPr>
        <cdr:cNvCxnSpPr/>
      </cdr:nvCxnSpPr>
      <cdr:spPr>
        <a:xfrm xmlns:a="http://schemas.openxmlformats.org/drawingml/2006/main" flipV="1">
          <a:off x="919688" y="224118"/>
          <a:ext cx="7387606" cy="542589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0.11328</cdr:x>
      <cdr:y>0.81855</cdr:y>
    </cdr:from>
    <cdr:to>
      <cdr:x>0.30865</cdr:x>
      <cdr:y>0.89719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CA79CBB-D3DB-4E41-BB8B-1F5153068753}"/>
            </a:ext>
          </a:extLst>
        </cdr:cNvPr>
        <cdr:cNvSpPr txBox="1"/>
      </cdr:nvSpPr>
      <cdr:spPr>
        <a:xfrm xmlns:a="http://schemas.openxmlformats.org/drawingml/2006/main" rot="18615202">
          <a:off x="1011045" y="6732045"/>
          <a:ext cx="674341" cy="1248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1:1</a:t>
          </a:r>
        </a:p>
      </cdr:txBody>
    </cdr:sp>
  </cdr:relSizeAnchor>
  <cdr:relSizeAnchor xmlns:cdr="http://schemas.openxmlformats.org/drawingml/2006/chartDrawing">
    <cdr:from>
      <cdr:x>0.13672</cdr:x>
      <cdr:y>0.04858</cdr:y>
    </cdr:from>
    <cdr:to>
      <cdr:x>0.27981</cdr:x>
      <cdr:y>0.15521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DD37D-B06D-1243-8FEE-4070813BBF81}"/>
            </a:ext>
          </a:extLst>
        </cdr:cNvPr>
        <cdr:cNvSpPr txBox="1"/>
      </cdr:nvSpPr>
      <cdr:spPr>
        <a:xfrm xmlns:a="http://schemas.openxmlformats.org/drawingml/2006/main">
          <a:off x="873760" y="416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chemeClr val="tx1">
                  <a:lumMod val="95000"/>
                  <a:lumOff val="5000"/>
                </a:schemeClr>
              </a:solidFill>
            </a:rPr>
            <a:t>A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3B9DBF-2C04-8443-9734-1BFDBEE822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0.12167</cdr:x>
      <cdr:y>0.04028</cdr:y>
    </cdr:from>
    <cdr:to>
      <cdr:x>0.9539</cdr:x>
      <cdr:y>0.88266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33F922C-9CDB-584B-B93C-34E9B5854E76}"/>
            </a:ext>
          </a:extLst>
        </cdr:cNvPr>
        <cdr:cNvCxnSpPr/>
      </cdr:nvCxnSpPr>
      <cdr:spPr>
        <a:xfrm xmlns:a="http://schemas.openxmlformats.org/drawingml/2006/main" flipV="1">
          <a:off x="777536" y="345440"/>
          <a:ext cx="5318464" cy="722336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0.12732</cdr:x>
      <cdr:y>0.80667</cdr:y>
    </cdr:from>
    <cdr:to>
      <cdr:x>0.32269</cdr:x>
      <cdr:y>0.88531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CA79CBB-D3DB-4E41-BB8B-1F5153068753}"/>
            </a:ext>
          </a:extLst>
        </cdr:cNvPr>
        <cdr:cNvSpPr txBox="1"/>
      </cdr:nvSpPr>
      <cdr:spPr>
        <a:xfrm xmlns:a="http://schemas.openxmlformats.org/drawingml/2006/main" rot="18453573">
          <a:off x="1100758" y="6630131"/>
          <a:ext cx="674340" cy="1248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1:1</a:t>
          </a:r>
        </a:p>
      </cdr:txBody>
    </cdr:sp>
  </cdr:relSizeAnchor>
  <cdr:relSizeAnchor xmlns:cdr="http://schemas.openxmlformats.org/drawingml/2006/chartDrawing">
    <cdr:from>
      <cdr:x>0.14467</cdr:x>
      <cdr:y>0.05213</cdr:y>
    </cdr:from>
    <cdr:to>
      <cdr:x>0.28776</cdr:x>
      <cdr:y>0.15877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E8D6324-C378-F447-92B0-7E1B4C5B279D}"/>
            </a:ext>
          </a:extLst>
        </cdr:cNvPr>
        <cdr:cNvSpPr txBox="1"/>
      </cdr:nvSpPr>
      <cdr:spPr>
        <a:xfrm xmlns:a="http://schemas.openxmlformats.org/drawingml/2006/main">
          <a:off x="924560" y="4470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/>
            <a:t>B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FC8AA-AE4F-7942-8C27-790B6B943D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0.15608</cdr:x>
      <cdr:y>0.79243</cdr:y>
    </cdr:from>
    <cdr:to>
      <cdr:x>0.35145</cdr:x>
      <cdr:y>0.87107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CA79CBB-D3DB-4E41-BB8B-1F5153068753}"/>
            </a:ext>
          </a:extLst>
        </cdr:cNvPr>
        <cdr:cNvSpPr txBox="1"/>
      </cdr:nvSpPr>
      <cdr:spPr>
        <a:xfrm xmlns:a="http://schemas.openxmlformats.org/drawingml/2006/main" rot="18719983">
          <a:off x="1284533" y="6507992"/>
          <a:ext cx="674341" cy="1248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1:1</a:t>
          </a:r>
        </a:p>
      </cdr:txBody>
    </cdr:sp>
  </cdr:relSizeAnchor>
  <cdr:relSizeAnchor xmlns:cdr="http://schemas.openxmlformats.org/drawingml/2006/chartDrawing">
    <cdr:from>
      <cdr:x>0.13831</cdr:x>
      <cdr:y>0.04265</cdr:y>
    </cdr:from>
    <cdr:to>
      <cdr:x>0.95231</cdr:x>
      <cdr:y>0.87905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0E1DC01-1671-674E-9525-8625985631AF}"/>
            </a:ext>
          </a:extLst>
        </cdr:cNvPr>
        <cdr:cNvCxnSpPr/>
      </cdr:nvCxnSpPr>
      <cdr:spPr>
        <a:xfrm xmlns:a="http://schemas.openxmlformats.org/drawingml/2006/main" flipV="1">
          <a:off x="883920" y="365760"/>
          <a:ext cx="5201920" cy="717217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0.20509</cdr:x>
      <cdr:y>0.07227</cdr:y>
    </cdr:from>
    <cdr:to>
      <cdr:x>0.34817</cdr:x>
      <cdr:y>0.17891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7ED3B7D-579A-584B-B3AA-F1D826756C55}"/>
            </a:ext>
          </a:extLst>
        </cdr:cNvPr>
        <cdr:cNvSpPr txBox="1"/>
      </cdr:nvSpPr>
      <cdr:spPr>
        <a:xfrm xmlns:a="http://schemas.openxmlformats.org/drawingml/2006/main">
          <a:off x="1310640" y="6197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0.17965</cdr:x>
      <cdr:y>0.05687</cdr:y>
    </cdr:from>
    <cdr:to>
      <cdr:x>0.32273</cdr:x>
      <cdr:y>0.16351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8C4F9EC-E324-4C4D-A054-41C22AC9B46F}"/>
            </a:ext>
          </a:extLst>
        </cdr:cNvPr>
        <cdr:cNvSpPr txBox="1"/>
      </cdr:nvSpPr>
      <cdr:spPr>
        <a:xfrm xmlns:a="http://schemas.openxmlformats.org/drawingml/2006/main">
          <a:off x="1148080" y="487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/>
            <a:t>C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F450B-3E2F-F449-8BA7-BF63C2D99D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0.10334</cdr:x>
      <cdr:y>0.03557</cdr:y>
    </cdr:from>
    <cdr:to>
      <cdr:x>0.95535</cdr:x>
      <cdr:y>0.88507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33F922C-9CDB-584B-B93C-34E9B5854E76}"/>
            </a:ext>
          </a:extLst>
        </cdr:cNvPr>
        <cdr:cNvCxnSpPr/>
      </cdr:nvCxnSpPr>
      <cdr:spPr>
        <a:xfrm xmlns:a="http://schemas.openxmlformats.org/drawingml/2006/main" flipV="1">
          <a:off x="660400" y="305022"/>
          <a:ext cx="5444928" cy="728449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0.11124</cdr:x>
      <cdr:y>0.78746</cdr:y>
    </cdr:from>
    <cdr:to>
      <cdr:x>0.21676</cdr:x>
      <cdr:y>0.93306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CA79CBB-D3DB-4E41-BB8B-1F5153068753}"/>
            </a:ext>
          </a:extLst>
        </cdr:cNvPr>
        <cdr:cNvSpPr txBox="1"/>
      </cdr:nvSpPr>
      <cdr:spPr>
        <a:xfrm xmlns:a="http://schemas.openxmlformats.org/drawingml/2006/main" rot="19245518">
          <a:off x="964795" y="4947456"/>
          <a:ext cx="915212" cy="914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1:1</a:t>
          </a:r>
        </a:p>
      </cdr:txBody>
    </cdr:sp>
  </cdr:relSizeAnchor>
  <cdr:relSizeAnchor xmlns:cdr="http://schemas.openxmlformats.org/drawingml/2006/chartDrawing">
    <cdr:from>
      <cdr:x>0.15103</cdr:x>
      <cdr:y>0.06754</cdr:y>
    </cdr:from>
    <cdr:to>
      <cdr:x>0.29412</cdr:x>
      <cdr:y>0.17417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3D3EE4C-5632-7941-B446-09D79AD52EAC}"/>
            </a:ext>
          </a:extLst>
        </cdr:cNvPr>
        <cdr:cNvSpPr txBox="1"/>
      </cdr:nvSpPr>
      <cdr:spPr>
        <a:xfrm xmlns:a="http://schemas.openxmlformats.org/drawingml/2006/main">
          <a:off x="965200" y="579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/>
            <a:t>D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9D2C0E-66C0-8B45-AAA0-4D18B9F750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0.10259</cdr:x>
      <cdr:y>0.03567</cdr:y>
    </cdr:from>
    <cdr:to>
      <cdr:x>0.95521</cdr:x>
      <cdr:y>0.8755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33F922C-9CDB-584B-B93C-34E9B5854E76}"/>
            </a:ext>
          </a:extLst>
        </cdr:cNvPr>
        <cdr:cNvCxnSpPr/>
      </cdr:nvCxnSpPr>
      <cdr:spPr>
        <a:xfrm xmlns:a="http://schemas.openxmlformats.org/drawingml/2006/main" flipV="1">
          <a:off x="889811" y="224118"/>
          <a:ext cx="7395071" cy="527644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0.12625</cdr:x>
      <cdr:y>0.76815</cdr:y>
    </cdr:from>
    <cdr:to>
      <cdr:x>0.23177</cdr:x>
      <cdr:y>0.94222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CA79CBB-D3DB-4E41-BB8B-1F5153068753}"/>
            </a:ext>
          </a:extLst>
        </cdr:cNvPr>
        <cdr:cNvSpPr txBox="1"/>
      </cdr:nvSpPr>
      <cdr:spPr>
        <a:xfrm xmlns:a="http://schemas.openxmlformats.org/drawingml/2006/main" rot="19245518">
          <a:off x="1094994" y="4826132"/>
          <a:ext cx="915212" cy="1093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1:1</a:t>
          </a:r>
        </a:p>
      </cdr:txBody>
    </cdr:sp>
  </cdr:relSizeAnchor>
  <cdr:relSizeAnchor xmlns:cdr="http://schemas.openxmlformats.org/drawingml/2006/chartDrawing">
    <cdr:from>
      <cdr:x>0.1399</cdr:x>
      <cdr:y>0.05687</cdr:y>
    </cdr:from>
    <cdr:to>
      <cdr:x>0.28299</cdr:x>
      <cdr:y>0.16351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BE86426-952B-0B42-94B8-780C622163B6}"/>
            </a:ext>
          </a:extLst>
        </cdr:cNvPr>
        <cdr:cNvSpPr txBox="1"/>
      </cdr:nvSpPr>
      <cdr:spPr>
        <a:xfrm xmlns:a="http://schemas.openxmlformats.org/drawingml/2006/main">
          <a:off x="894080" y="487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/>
            <a:t>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5A1D7-5B6F-0543-A1FC-DFE109228A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0.1399</cdr:x>
      <cdr:y>0.03436</cdr:y>
    </cdr:from>
    <cdr:to>
      <cdr:x>0.95548</cdr:x>
      <cdr:y>0.87322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33F922C-9CDB-584B-B93C-34E9B5854E76}"/>
            </a:ext>
          </a:extLst>
        </cdr:cNvPr>
        <cdr:cNvCxnSpPr/>
      </cdr:nvCxnSpPr>
      <cdr:spPr>
        <a:xfrm xmlns:a="http://schemas.openxmlformats.org/drawingml/2006/main" flipV="1">
          <a:off x="894080" y="294640"/>
          <a:ext cx="5212080" cy="719328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0.23957</cdr:x>
      <cdr:y>0.68758</cdr:y>
    </cdr:from>
    <cdr:to>
      <cdr:x>0.34509</cdr:x>
      <cdr:y>0.83318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CA79CBB-D3DB-4E41-BB8B-1F5153068753}"/>
            </a:ext>
          </a:extLst>
        </cdr:cNvPr>
        <cdr:cNvSpPr txBox="1"/>
      </cdr:nvSpPr>
      <cdr:spPr>
        <a:xfrm xmlns:a="http://schemas.openxmlformats.org/drawingml/2006/main" rot="19245518">
          <a:off x="2077914" y="4319928"/>
          <a:ext cx="915212" cy="914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1:1</a:t>
          </a:r>
        </a:p>
      </cdr:txBody>
    </cdr:sp>
  </cdr:relSizeAnchor>
  <cdr:relSizeAnchor xmlns:cdr="http://schemas.openxmlformats.org/drawingml/2006/chartDrawing">
    <cdr:from>
      <cdr:x>0.17011</cdr:x>
      <cdr:y>0.06043</cdr:y>
    </cdr:from>
    <cdr:to>
      <cdr:x>0.3132</cdr:x>
      <cdr:y>0.16706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A2F6109-9A8C-2B4F-A891-62E1726A75AE}"/>
            </a:ext>
          </a:extLst>
        </cdr:cNvPr>
        <cdr:cNvSpPr txBox="1"/>
      </cdr:nvSpPr>
      <cdr:spPr>
        <a:xfrm xmlns:a="http://schemas.openxmlformats.org/drawingml/2006/main">
          <a:off x="1087120" y="518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/>
            <a:t>F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6293304" cy="8130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A0FC54-AD13-B845-ADEC-A2B2E2321A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6293304" cy="8130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F30BA5-D3AE-A547-8CFA-87D440824E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6293304" cy="8130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C3025-132B-4B4D-866E-E1C5104DF3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569919" cy="58285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569919" cy="58285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75A5D7-DD78-E64D-A121-A4E6AF917C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569919" cy="58285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BD6171-5A37-7947-B641-EA860DE799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8C815E-0B21-F244-9B7B-7D907A7F43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EB4EB5-9728-B542-ADE3-45ADCF5BB8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0.29821</cdr:x>
      <cdr:y>0.12592</cdr:y>
    </cdr:from>
    <cdr:to>
      <cdr:x>0.31321</cdr:x>
      <cdr:y>0.97009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05024" y="1079475"/>
          <a:ext cx="95821" cy="7236647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FB67FC-08CE-CC42-9675-084D3CE7EA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0.17495</cdr:x>
      <cdr:y>0.12444</cdr:y>
    </cdr:from>
    <cdr:to>
      <cdr:x>0.18995</cdr:x>
      <cdr:y>0.96861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117600" y="1066800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73712" cy="62889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6D2E98-B14A-1A4E-92B8-B60D1718FD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8673712" cy="62889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5C293-01B6-DE43-AB7D-9CA4664A99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846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24E63-D468-4142-8169-BA29A1F153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368300</xdr:colOff>
      <xdr:row>43</xdr:row>
      <xdr:rowOff>165100</xdr:rowOff>
    </xdr:from>
    <xdr:to>
      <xdr:col>63</xdr:col>
      <xdr:colOff>162182</xdr:colOff>
      <xdr:row>69</xdr:row>
      <xdr:rowOff>132148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566351</xdr:colOff>
      <xdr:row>44</xdr:row>
      <xdr:rowOff>179860</xdr:rowOff>
    </xdr:from>
    <xdr:to>
      <xdr:col>15</xdr:col>
      <xdr:colOff>453080</xdr:colOff>
      <xdr:row>56</xdr:row>
      <xdr:rowOff>130775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351" y="7053306"/>
          <a:ext cx="9171459" cy="2216321"/>
        </a:xfrm>
        <a:prstGeom prst="rect">
          <a:avLst/>
        </a:prstGeom>
      </xdr:spPr>
    </xdr:pic>
    <xdr:clientData/>
  </xdr:twoCellAnchor>
  <xdr:twoCellAnchor>
    <xdr:from>
      <xdr:col>14</xdr:col>
      <xdr:colOff>112834</xdr:colOff>
      <xdr:row>57</xdr:row>
      <xdr:rowOff>168520</xdr:rowOff>
    </xdr:from>
    <xdr:to>
      <xdr:col>22</xdr:col>
      <xdr:colOff>249115</xdr:colOff>
      <xdr:row>106</xdr:row>
      <xdr:rowOff>55685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117230</xdr:colOff>
      <xdr:row>57</xdr:row>
      <xdr:rowOff>161193</xdr:rowOff>
    </xdr:from>
    <xdr:to>
      <xdr:col>13</xdr:col>
      <xdr:colOff>169508</xdr:colOff>
      <xdr:row>105</xdr:row>
      <xdr:rowOff>46470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58BD960-EFBB-3E4A-8B16-EA0ED6CE3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65</xdr:col>
      <xdr:colOff>88900</xdr:colOff>
      <xdr:row>21</xdr:row>
      <xdr:rowOff>101600</xdr:rowOff>
    </xdr:from>
    <xdr:to>
      <xdr:col>76</xdr:col>
      <xdr:colOff>546100</xdr:colOff>
      <xdr:row>46</xdr:row>
      <xdr:rowOff>101600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6E5F982-66C8-E24E-87E9-BDCD6F029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2332FC-9467-6647-8950-BDE49E36A1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8673712" cy="62889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41052C-C71D-1F46-BA70-73F00B752D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DEF88A-2033-914E-B57A-4280F7EC72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7A5AB3-2074-754C-A0A8-89A79D29A6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0.29821</cdr:x>
      <cdr:y>0.12444</cdr:y>
    </cdr:from>
    <cdr:to>
      <cdr:x>0.31321</cdr:x>
      <cdr:y>0.96861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04993" y="1066749"/>
          <a:ext cx="95822" cy="723664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50247B-CE1E-1C42-9B63-E894692851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0.17333</cdr:x>
      <cdr:y>0.1248</cdr:y>
    </cdr:from>
    <cdr:to>
      <cdr:x>0.18831</cdr:x>
      <cdr:y>0.96838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912771F-B8EF-A445-B296-BDF99D8E4E50}"/>
            </a:ext>
          </a:extLst>
        </cdr:cNvPr>
        <cdr:cNvCxnSpPr/>
      </cdr:nvCxnSpPr>
      <cdr:spPr>
        <a:xfrm xmlns:a="http://schemas.openxmlformats.org/drawingml/2006/main">
          <a:off x="1108974" y="1070634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9A7000-A725-9B4E-82C0-6B7166E4F4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137095</xdr:colOff>
      <xdr:row>69</xdr:row>
      <xdr:rowOff>5537</xdr:rowOff>
    </xdr:from>
    <xdr:to>
      <xdr:col>55</xdr:col>
      <xdr:colOff>652585</xdr:colOff>
      <xdr:row>90</xdr:row>
      <xdr:rowOff>162822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354532</xdr:colOff>
      <xdr:row>67</xdr:row>
      <xdr:rowOff>59907</xdr:rowOff>
    </xdr:from>
    <xdr:to>
      <xdr:col>63</xdr:col>
      <xdr:colOff>751814</xdr:colOff>
      <xdr:row>88</xdr:row>
      <xdr:rowOff>130408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48</xdr:row>
      <xdr:rowOff>38100</xdr:rowOff>
    </xdr:from>
    <xdr:to>
      <xdr:col>14</xdr:col>
      <xdr:colOff>482600</xdr:colOff>
      <xdr:row>60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353300"/>
          <a:ext cx="9182100" cy="2095500"/>
        </a:xfrm>
        <a:prstGeom prst="rect">
          <a:avLst/>
        </a:prstGeom>
      </xdr:spPr>
    </xdr:pic>
    <xdr:clientData/>
  </xdr:twoCellAnchor>
  <xdr:twoCellAnchor>
    <xdr:from>
      <xdr:col>0</xdr:col>
      <xdr:colOff>618718</xdr:colOff>
      <xdr:row>61</xdr:row>
      <xdr:rowOff>0</xdr:rowOff>
    </xdr:from>
    <xdr:to>
      <xdr:col>7</xdr:col>
      <xdr:colOff>330249</xdr:colOff>
      <xdr:row>107</xdr:row>
      <xdr:rowOff>164651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D81D3F-01F5-674C-8BE4-53852C954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79</xdr:col>
      <xdr:colOff>295641</xdr:colOff>
      <xdr:row>25</xdr:row>
      <xdr:rowOff>19866</xdr:rowOff>
    </xdr:from>
    <xdr:to>
      <xdr:col>88</xdr:col>
      <xdr:colOff>567421</xdr:colOff>
      <xdr:row>56</xdr:row>
      <xdr:rowOff>25936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AD1FD0-1229-5147-BCBC-1E1F9438E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0.12184</cdr:x>
      <cdr:y>0.19452</cdr:y>
    </cdr:from>
    <cdr:to>
      <cdr:x>0.92322</cdr:x>
      <cdr:y>0.82137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1C5A60C-E666-074E-9DFE-6484858CF640}"/>
            </a:ext>
          </a:extLst>
        </cdr:cNvPr>
        <cdr:cNvCxnSpPr/>
      </cdr:nvCxnSpPr>
      <cdr:spPr>
        <a:xfrm xmlns:a="http://schemas.openxmlformats.org/drawingml/2006/main" flipV="1">
          <a:off x="933736" y="1153330"/>
          <a:ext cx="6141640" cy="37165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DB37C7-40DC-8240-A0F8-D21C65AB3C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94174B-F0C2-FB4C-8015-6F32E4F7CA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0.3002</cdr:x>
      <cdr:y>0.12444</cdr:y>
    </cdr:from>
    <cdr:to>
      <cdr:x>0.3152</cdr:x>
      <cdr:y>0.96861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17693" y="1066749"/>
          <a:ext cx="95822" cy="723664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AB919B-3C87-3F4F-AEEA-3582E5AA5C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0.17416</cdr:x>
      <cdr:y>0.1243</cdr:y>
    </cdr:from>
    <cdr:to>
      <cdr:x>0.18914</cdr:x>
      <cdr:y>0.96788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B88E9E5-9DDB-D749-86C3-EF101FE5C86A}"/>
            </a:ext>
          </a:extLst>
        </cdr:cNvPr>
        <cdr:cNvCxnSpPr/>
      </cdr:nvCxnSpPr>
      <cdr:spPr>
        <a:xfrm xmlns:a="http://schemas.openxmlformats.org/drawingml/2006/main">
          <a:off x="1114245" y="1066321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CA1EB5-388F-CA45-8AD9-C345CCAF58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4BC041-AC4F-F947-AEDC-B6670D46F5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4B0845-7CE8-5542-BA5C-691E45FAAD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341842</xdr:colOff>
      <xdr:row>15</xdr:row>
      <xdr:rowOff>175683</xdr:rowOff>
    </xdr:from>
    <xdr:to>
      <xdr:col>75</xdr:col>
      <xdr:colOff>392642</xdr:colOff>
      <xdr:row>54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47</xdr:row>
      <xdr:rowOff>38100</xdr:rowOff>
    </xdr:from>
    <xdr:to>
      <xdr:col>15</xdr:col>
      <xdr:colOff>12700</xdr:colOff>
      <xdr:row>59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20100"/>
          <a:ext cx="9182100" cy="2095500"/>
        </a:xfrm>
        <a:prstGeom prst="rect">
          <a:avLst/>
        </a:prstGeom>
      </xdr:spPr>
    </xdr:pic>
    <xdr:clientData/>
  </xdr:twoCellAnchor>
  <xdr:twoCellAnchor>
    <xdr:from>
      <xdr:col>34</xdr:col>
      <xdr:colOff>186266</xdr:colOff>
      <xdr:row>38</xdr:row>
      <xdr:rowOff>182033</xdr:rowOff>
    </xdr:from>
    <xdr:to>
      <xdr:col>40</xdr:col>
      <xdr:colOff>160866</xdr:colOff>
      <xdr:row>78</xdr:row>
      <xdr:rowOff>44450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114300</xdr:colOff>
      <xdr:row>39</xdr:row>
      <xdr:rowOff>93133</xdr:rowOff>
    </xdr:from>
    <xdr:to>
      <xdr:col>30</xdr:col>
      <xdr:colOff>355600</xdr:colOff>
      <xdr:row>86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68C6010-E5FE-7241-8FED-FF7272435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38100</xdr:colOff>
      <xdr:row>13</xdr:row>
      <xdr:rowOff>29633</xdr:rowOff>
    </xdr:from>
    <xdr:to>
      <xdr:col>28</xdr:col>
      <xdr:colOff>342900</xdr:colOff>
      <xdr:row>27</xdr:row>
      <xdr:rowOff>46566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FB183A-0130-7842-85B0-829826EFC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8E45E-ADCF-0443-9E38-0E1224C0C2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821CC-1677-2F4A-B129-4BCBAC29E0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AB2650-30AF-3F44-B899-B07E66F118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0.29821</cdr:x>
      <cdr:y>0.13036</cdr:y>
    </cdr:from>
    <cdr:to>
      <cdr:x>0.31321</cdr:x>
      <cdr:y>0.97453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04993" y="1117549"/>
          <a:ext cx="95822" cy="723664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33AC78-511F-194E-99BD-A4CF7DCB36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0.17333</cdr:x>
      <cdr:y>0.12768</cdr:y>
    </cdr:from>
    <cdr:to>
      <cdr:x>0.18831</cdr:x>
      <cdr:y>0.97126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F765212-EFEC-2246-94C8-D3F02E3CBC8F}"/>
            </a:ext>
          </a:extLst>
        </cdr:cNvPr>
        <cdr:cNvCxnSpPr/>
      </cdr:nvCxnSpPr>
      <cdr:spPr>
        <a:xfrm xmlns:a="http://schemas.openxmlformats.org/drawingml/2006/main">
          <a:off x="1108973" y="1095315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C7A36-8B4A-8845-8A7B-CE8494E2D0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3B65D6-177B-404E-AD56-D675D8968C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165100</xdr:colOff>
      <xdr:row>37</xdr:row>
      <xdr:rowOff>187325</xdr:rowOff>
    </xdr:from>
    <xdr:to>
      <xdr:col>63</xdr:col>
      <xdr:colOff>120650</xdr:colOff>
      <xdr:row>77</xdr:row>
      <xdr:rowOff>98425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44</xdr:row>
      <xdr:rowOff>25400</xdr:rowOff>
    </xdr:from>
    <xdr:to>
      <xdr:col>14</xdr:col>
      <xdr:colOff>533400</xdr:colOff>
      <xdr:row>55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74000"/>
          <a:ext cx="9182100" cy="2095500"/>
        </a:xfrm>
        <a:prstGeom prst="rect">
          <a:avLst/>
        </a:prstGeom>
      </xdr:spPr>
    </xdr:pic>
    <xdr:clientData/>
  </xdr:twoCellAnchor>
  <xdr:twoCellAnchor>
    <xdr:from>
      <xdr:col>37</xdr:col>
      <xdr:colOff>279400</xdr:colOff>
      <xdr:row>39</xdr:row>
      <xdr:rowOff>139700</xdr:rowOff>
    </xdr:from>
    <xdr:to>
      <xdr:col>43</xdr:col>
      <xdr:colOff>41275</xdr:colOff>
      <xdr:row>79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111125</xdr:colOff>
      <xdr:row>43</xdr:row>
      <xdr:rowOff>111125</xdr:rowOff>
    </xdr:from>
    <xdr:to>
      <xdr:col>23</xdr:col>
      <xdr:colOff>269875</xdr:colOff>
      <xdr:row>90</xdr:row>
      <xdr:rowOff>111125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FE5222-AC03-3F4D-A355-5BFE4BD6C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1D02AB-C9F4-1745-B036-BF8ED5CA8B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73025</xdr:colOff>
      <xdr:row>37</xdr:row>
      <xdr:rowOff>63500</xdr:rowOff>
    </xdr:from>
    <xdr:to>
      <xdr:col>53</xdr:col>
      <xdr:colOff>387350</xdr:colOff>
      <xdr:row>57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165100</xdr:colOff>
      <xdr:row>16</xdr:row>
      <xdr:rowOff>69850</xdr:rowOff>
    </xdr:from>
    <xdr:to>
      <xdr:col>62</xdr:col>
      <xdr:colOff>165100</xdr:colOff>
      <xdr:row>55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542925</xdr:colOff>
      <xdr:row>42</xdr:row>
      <xdr:rowOff>174625</xdr:rowOff>
    </xdr:from>
    <xdr:to>
      <xdr:col>18</xdr:col>
      <xdr:colOff>447675</xdr:colOff>
      <xdr:row>81</xdr:row>
      <xdr:rowOff>130175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34</xdr:row>
      <xdr:rowOff>123825</xdr:rowOff>
    </xdr:from>
    <xdr:to>
      <xdr:col>15</xdr:col>
      <xdr:colOff>0</xdr:colOff>
      <xdr:row>46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32575"/>
          <a:ext cx="9144000" cy="224790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6C1D37-6636-6248-81C5-1B12394EE6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ECE03-3CB0-3B45-B14E-EFC522B021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821991-FD43-A74F-893F-0B54D8CFE7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6802B8-EC8F-534E-A526-FBAECA3FCB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0.3002</cdr:x>
      <cdr:y>0.12296</cdr:y>
    </cdr:from>
    <cdr:to>
      <cdr:x>0.3152</cdr:x>
      <cdr:y>0.96713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17693" y="1054049"/>
          <a:ext cx="95822" cy="723664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9395E-D911-F148-8D30-AAB62153C8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0.17509</cdr:x>
      <cdr:y>0.12324</cdr:y>
    </cdr:from>
    <cdr:to>
      <cdr:x>0.19007</cdr:x>
      <cdr:y>0.96682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6123510B-B229-BD4F-8895-F4F37B30202C}"/>
            </a:ext>
          </a:extLst>
        </cdr:cNvPr>
        <cdr:cNvCxnSpPr/>
      </cdr:nvCxnSpPr>
      <cdr:spPr>
        <a:xfrm xmlns:a="http://schemas.openxmlformats.org/drawingml/2006/main">
          <a:off x="1120236" y="1057215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FB4259-EE92-5140-B89F-977DFA6978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520700</xdr:colOff>
      <xdr:row>46</xdr:row>
      <xdr:rowOff>82550</xdr:rowOff>
    </xdr:from>
    <xdr:to>
      <xdr:col>61</xdr:col>
      <xdr:colOff>495300</xdr:colOff>
      <xdr:row>88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279400</xdr:colOff>
      <xdr:row>44</xdr:row>
      <xdr:rowOff>15875</xdr:rowOff>
    </xdr:from>
    <xdr:to>
      <xdr:col>40</xdr:col>
      <xdr:colOff>238125</xdr:colOff>
      <xdr:row>85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47</xdr:row>
      <xdr:rowOff>117475</xdr:rowOff>
    </xdr:from>
    <xdr:to>
      <xdr:col>14</xdr:col>
      <xdr:colOff>495300</xdr:colOff>
      <xdr:row>59</xdr:row>
      <xdr:rowOff>79375</xdr:rowOff>
    </xdr:to>
    <xdr:pic>
      <xdr:nvPicPr>
        <xdr:cNvPr id="5" name="Picture 4" descr="Screen Shot 2017-04-10 at 2.18.29 PM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56725"/>
          <a:ext cx="9147175" cy="2247900"/>
        </a:xfrm>
        <a:prstGeom prst="rect">
          <a:avLst/>
        </a:prstGeom>
      </xdr:spPr>
    </xdr:pic>
    <xdr:clientData/>
  </xdr:twoCellAnchor>
  <xdr:twoCellAnchor>
    <xdr:from>
      <xdr:col>29</xdr:col>
      <xdr:colOff>60325</xdr:colOff>
      <xdr:row>64</xdr:row>
      <xdr:rowOff>92075</xdr:rowOff>
    </xdr:from>
    <xdr:to>
      <xdr:col>41</xdr:col>
      <xdr:colOff>498475</xdr:colOff>
      <xdr:row>105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596900</xdr:colOff>
      <xdr:row>53</xdr:row>
      <xdr:rowOff>38100</xdr:rowOff>
    </xdr:from>
    <xdr:to>
      <xdr:col>10</xdr:col>
      <xdr:colOff>161925</xdr:colOff>
      <xdr:row>100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4EDB19-9A87-C646-AB5E-508B728BD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6B5698-A6E0-094D-8312-D57D9412E1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5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7108D0-7990-DA4E-B2DE-2C4B130BA5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0.3002</cdr:x>
      <cdr:y>0.12592</cdr:y>
    </cdr:from>
    <cdr:to>
      <cdr:x>0.3152</cdr:x>
      <cdr:y>0.97009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17693" y="1079449"/>
          <a:ext cx="95822" cy="723664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FA72E7-3076-D044-A30F-E4D677844A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0.17393</cdr:x>
      <cdr:y>0.12612</cdr:y>
    </cdr:from>
    <cdr:to>
      <cdr:x>0.18891</cdr:x>
      <cdr:y>0.96969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A82D5E65-87CB-6240-944A-F9A8924894C1}"/>
            </a:ext>
          </a:extLst>
        </cdr:cNvPr>
        <cdr:cNvCxnSpPr/>
      </cdr:nvCxnSpPr>
      <cdr:spPr>
        <a:xfrm xmlns:a="http://schemas.openxmlformats.org/drawingml/2006/main">
          <a:off x="1112807" y="1081896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42E4A4-B1E7-BB43-BA44-C889466CFE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0.xml><?xml version="1.0" encoding="utf-8"?>
<xdr:wsDr xmlns:xdr="http://schemas.openxmlformats.org/drawingml/2006/spreadsheetDrawing" xmlns:a="http://schemas.openxmlformats.org/drawingml/2006/main">
  <xdr:absoluteAnchor>
    <xdr:pos x="0" y="0"/>
    <xdr:ext cx="6381230" cy="85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679C9-AEF9-9B40-846B-1083416AE3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1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0251F5-DDAA-F849-9587-33EBD89A27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165100</xdr:colOff>
      <xdr:row>31</xdr:row>
      <xdr:rowOff>60325</xdr:rowOff>
    </xdr:from>
    <xdr:to>
      <xdr:col>65</xdr:col>
      <xdr:colOff>38100</xdr:colOff>
      <xdr:row>69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454025</xdr:colOff>
      <xdr:row>38</xdr:row>
      <xdr:rowOff>95250</xdr:rowOff>
    </xdr:from>
    <xdr:to>
      <xdr:col>40</xdr:col>
      <xdr:colOff>85725</xdr:colOff>
      <xdr:row>76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43</xdr:row>
      <xdr:rowOff>50800</xdr:rowOff>
    </xdr:from>
    <xdr:to>
      <xdr:col>14</xdr:col>
      <xdr:colOff>254000</xdr:colOff>
      <xdr:row>55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721600"/>
          <a:ext cx="9182100" cy="2095500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47</xdr:row>
      <xdr:rowOff>0</xdr:rowOff>
    </xdr:from>
    <xdr:to>
      <xdr:col>13</xdr:col>
      <xdr:colOff>301625</xdr:colOff>
      <xdr:row>94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73E49F-631E-AA49-B6E3-3126AD25B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500D82-7240-8347-9FB8-6402D9E1FE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4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DE546-5259-2348-90FA-DA0DB4C545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5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B38B43-B224-3544-91A7-1F1465FEF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6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861AB-E384-6D45-9E20-B30EDDC33B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0.3002</cdr:x>
      <cdr:y>0.12592</cdr:y>
    </cdr:from>
    <cdr:to>
      <cdr:x>0.3152</cdr:x>
      <cdr:y>0.97009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17693" y="1079449"/>
          <a:ext cx="95822" cy="723664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31132-BC52-CD42-8A3B-4002BE6DBC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0.17393</cdr:x>
      <cdr:y>0.12184</cdr:y>
    </cdr:from>
    <cdr:to>
      <cdr:x>0.18891</cdr:x>
      <cdr:y>0.96542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6660EFDB-9741-0B46-A186-A92B2B680588}"/>
            </a:ext>
          </a:extLst>
        </cdr:cNvPr>
        <cdr:cNvCxnSpPr/>
      </cdr:nvCxnSpPr>
      <cdr:spPr>
        <a:xfrm xmlns:a="http://schemas.openxmlformats.org/drawingml/2006/main">
          <a:off x="1112807" y="1045234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absoluteAnchor>
    <xdr:pos x="0" y="0"/>
    <xdr:ext cx="6381230" cy="85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1EEF35-69DA-9A48-A7AC-D672DD3FEB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225425</xdr:colOff>
      <xdr:row>41</xdr:row>
      <xdr:rowOff>184150</xdr:rowOff>
    </xdr:from>
    <xdr:to>
      <xdr:col>39</xdr:col>
      <xdr:colOff>368300</xdr:colOff>
      <xdr:row>81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44</xdr:row>
      <xdr:rowOff>50800</xdr:rowOff>
    </xdr:from>
    <xdr:to>
      <xdr:col>14</xdr:col>
      <xdr:colOff>279400</xdr:colOff>
      <xdr:row>56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99400"/>
          <a:ext cx="9182100" cy="2095500"/>
        </a:xfrm>
        <a:prstGeom prst="rect">
          <a:avLst/>
        </a:prstGeom>
      </xdr:spPr>
    </xdr:pic>
    <xdr:clientData/>
  </xdr:twoCellAnchor>
  <xdr:twoCellAnchor>
    <xdr:from>
      <xdr:col>4</xdr:col>
      <xdr:colOff>644525</xdr:colOff>
      <xdr:row>45</xdr:row>
      <xdr:rowOff>111125</xdr:rowOff>
    </xdr:from>
    <xdr:to>
      <xdr:col>12</xdr:col>
      <xdr:colOff>457200</xdr:colOff>
      <xdr:row>92</xdr:row>
      <xdr:rowOff>111125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3971028-1FB5-6C4E-BC44-C3A1E721F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absoluteAnchor>
    <xdr:pos x="0" y="0"/>
    <xdr:ext cx="6381230" cy="85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68850A-F2AE-6D44-AEEE-3A078ED62B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3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F7FEE7-260C-7448-9A37-439AB6BA63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4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528776-8494-0747-A855-B7BC289E29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0.3002</cdr:x>
      <cdr:y>0.12592</cdr:y>
    </cdr:from>
    <cdr:to>
      <cdr:x>0.3152</cdr:x>
      <cdr:y>0.97009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17693" y="1079449"/>
          <a:ext cx="95822" cy="723664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20130F-FB03-F14C-95A8-C74488B464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0.17521</cdr:x>
      <cdr:y>0.12908</cdr:y>
    </cdr:from>
    <cdr:to>
      <cdr:x>0.19019</cdr:x>
      <cdr:y>0.97265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EA8CDDC-C817-FC43-8139-173219657616}"/>
            </a:ext>
          </a:extLst>
        </cdr:cNvPr>
        <cdr:cNvCxnSpPr/>
      </cdr:nvCxnSpPr>
      <cdr:spPr>
        <a:xfrm xmlns:a="http://schemas.openxmlformats.org/drawingml/2006/main">
          <a:off x="1120954" y="1107297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38100</xdr:colOff>
      <xdr:row>40</xdr:row>
      <xdr:rowOff>95250</xdr:rowOff>
    </xdr:from>
    <xdr:to>
      <xdr:col>36</xdr:col>
      <xdr:colOff>492125</xdr:colOff>
      <xdr:row>74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39</xdr:row>
      <xdr:rowOff>76200</xdr:rowOff>
    </xdr:from>
    <xdr:to>
      <xdr:col>14</xdr:col>
      <xdr:colOff>419100</xdr:colOff>
      <xdr:row>51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35800"/>
          <a:ext cx="9182100" cy="2095500"/>
        </a:xfrm>
        <a:prstGeom prst="rect">
          <a:avLst/>
        </a:prstGeom>
      </xdr:spPr>
    </xdr:pic>
    <xdr:clientData/>
  </xdr:twoCellAnchor>
  <xdr:twoCellAnchor>
    <xdr:from>
      <xdr:col>15</xdr:col>
      <xdr:colOff>130175</xdr:colOff>
      <xdr:row>45</xdr:row>
      <xdr:rowOff>114300</xdr:rowOff>
    </xdr:from>
    <xdr:to>
      <xdr:col>28</xdr:col>
      <xdr:colOff>57150</xdr:colOff>
      <xdr:row>84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320675</xdr:colOff>
      <xdr:row>48</xdr:row>
      <xdr:rowOff>3175</xdr:rowOff>
    </xdr:from>
    <xdr:to>
      <xdr:col>13</xdr:col>
      <xdr:colOff>403225</xdr:colOff>
      <xdr:row>95</xdr:row>
      <xdr:rowOff>3175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C4FAB5-9E36-8048-A41C-760304FC1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042533-084E-704D-BE4F-9F0284D8AC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0.xml><?xml version="1.0" encoding="utf-8"?>
<xdr:wsDr xmlns:xdr="http://schemas.openxmlformats.org/drawingml/2006/spreadsheetDrawing" xmlns:a="http://schemas.openxmlformats.org/drawingml/2006/main">
  <xdr:absoluteAnchor>
    <xdr:pos x="0" y="0"/>
    <xdr:ext cx="6381230" cy="85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C06B8C-6726-424A-8047-2C17865E2C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1.xml><?xml version="1.0" encoding="utf-8"?>
<xdr:wsDr xmlns:xdr="http://schemas.openxmlformats.org/drawingml/2006/spreadsheetDrawing" xmlns:a="http://schemas.openxmlformats.org/drawingml/2006/main">
  <xdr:absoluteAnchor>
    <xdr:pos x="0" y="0"/>
    <xdr:ext cx="6388100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21C8A0-B8BC-B54F-B47F-B1BDC34090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0.29821</cdr:x>
      <cdr:y>0.1274</cdr:y>
    </cdr:from>
    <cdr:to>
      <cdr:x>0.31321</cdr:x>
      <cdr:y>0.97157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D3D4AFC-BD9C-0948-ADFA-41896B5B0DF5}"/>
            </a:ext>
          </a:extLst>
        </cdr:cNvPr>
        <cdr:cNvCxnSpPr/>
      </cdr:nvCxnSpPr>
      <cdr:spPr>
        <a:xfrm xmlns:a="http://schemas.openxmlformats.org/drawingml/2006/main">
          <a:off x="1904993" y="1092149"/>
          <a:ext cx="95822" cy="723664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FE3580-739C-E54D-A368-1725DAF601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0.17322</cdr:x>
      <cdr:y>0.12768</cdr:y>
    </cdr:from>
    <cdr:to>
      <cdr:x>0.1882</cdr:x>
      <cdr:y>0.97126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26AE13F2-1352-DD4D-89E3-85116B7346C3}"/>
            </a:ext>
          </a:extLst>
        </cdr:cNvPr>
        <cdr:cNvCxnSpPr/>
      </cdr:nvCxnSpPr>
      <cdr:spPr>
        <a:xfrm xmlns:a="http://schemas.openxmlformats.org/drawingml/2006/main">
          <a:off x="1108255" y="1095316"/>
          <a:ext cx="95849" cy="723660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absoluteAnchor>
    <xdr:pos x="0" y="0"/>
    <xdr:ext cx="6381230" cy="85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CA9F67-B6EB-6449-8DD8-403E5AB433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6.xml><?xml version="1.0" encoding="utf-8"?>
<xdr:wsDr xmlns:xdr="http://schemas.openxmlformats.org/drawingml/2006/spreadsheetDrawing" xmlns:a="http://schemas.openxmlformats.org/drawingml/2006/main">
  <xdr:absoluteAnchor>
    <xdr:pos x="0" y="0"/>
    <xdr:ext cx="8668133" cy="62811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46FB76-4344-C841-8604-7E0363BD9F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7.xml><?xml version="1.0" encoding="utf-8"?>
<xdr:wsDr xmlns:xdr="http://schemas.openxmlformats.org/drawingml/2006/spreadsheetDrawing" xmlns:a="http://schemas.openxmlformats.org/drawingml/2006/main">
  <xdr:absoluteAnchor>
    <xdr:pos x="0" y="0"/>
    <xdr:ext cx="6397925" cy="857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DB24D8-DFBE-4644-9707-9D70D2F270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460375</xdr:colOff>
      <xdr:row>46</xdr:row>
      <xdr:rowOff>79375</xdr:rowOff>
    </xdr:from>
    <xdr:to>
      <xdr:col>34</xdr:col>
      <xdr:colOff>171450</xdr:colOff>
      <xdr:row>82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40</xdr:row>
      <xdr:rowOff>0</xdr:rowOff>
    </xdr:from>
    <xdr:to>
      <xdr:col>14</xdr:col>
      <xdr:colOff>247650</xdr:colOff>
      <xdr:row>51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7874000"/>
          <a:ext cx="9169400" cy="2247900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43</xdr:row>
      <xdr:rowOff>34925</xdr:rowOff>
    </xdr:from>
    <xdr:to>
      <xdr:col>13</xdr:col>
      <xdr:colOff>196850</xdr:colOff>
      <xdr:row>90</xdr:row>
      <xdr:rowOff>34925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B123CD-27DF-F14F-9E6C-409B909F8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279400</xdr:colOff>
      <xdr:row>29</xdr:row>
      <xdr:rowOff>57150</xdr:rowOff>
    </xdr:from>
    <xdr:to>
      <xdr:col>56</xdr:col>
      <xdr:colOff>0</xdr:colOff>
      <xdr:row>49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381000</xdr:colOff>
      <xdr:row>16</xdr:row>
      <xdr:rowOff>107950</xdr:rowOff>
    </xdr:from>
    <xdr:to>
      <xdr:col>66</xdr:col>
      <xdr:colOff>609600</xdr:colOff>
      <xdr:row>51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215900</xdr:colOff>
      <xdr:row>17</xdr:row>
      <xdr:rowOff>139700</xdr:rowOff>
    </xdr:from>
    <xdr:to>
      <xdr:col>37</xdr:col>
      <xdr:colOff>444500</xdr:colOff>
      <xdr:row>52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39</xdr:row>
      <xdr:rowOff>50800</xdr:rowOff>
    </xdr:from>
    <xdr:to>
      <xdr:col>13</xdr:col>
      <xdr:colOff>63500</xdr:colOff>
      <xdr:row>51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023100"/>
          <a:ext cx="9182100" cy="2095500"/>
        </a:xfrm>
        <a:prstGeom prst="rect">
          <a:avLst/>
        </a:prstGeom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330200</xdr:colOff>
      <xdr:row>29</xdr:row>
      <xdr:rowOff>6350</xdr:rowOff>
    </xdr:from>
    <xdr:to>
      <xdr:col>55</xdr:col>
      <xdr:colOff>469900</xdr:colOff>
      <xdr:row>54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139700</xdr:colOff>
      <xdr:row>18</xdr:row>
      <xdr:rowOff>107950</xdr:rowOff>
    </xdr:from>
    <xdr:to>
      <xdr:col>65</xdr:col>
      <xdr:colOff>317500</xdr:colOff>
      <xdr:row>53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19</xdr:row>
      <xdr:rowOff>0</xdr:rowOff>
    </xdr:from>
    <xdr:to>
      <xdr:col>36</xdr:col>
      <xdr:colOff>469900</xdr:colOff>
      <xdr:row>54</xdr:row>
      <xdr:rowOff>31750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37</xdr:row>
      <xdr:rowOff>127000</xdr:rowOff>
    </xdr:from>
    <xdr:to>
      <xdr:col>12</xdr:col>
      <xdr:colOff>368300</xdr:colOff>
      <xdr:row>49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743700"/>
          <a:ext cx="9182100" cy="2095500"/>
        </a:xfrm>
        <a:prstGeom prst="rect">
          <a:avLst/>
        </a:prstGeom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absoluteAnchor>
    <xdr:pos x="0" y="0"/>
    <xdr:ext cx="6293304" cy="8130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2.xml><?xml version="1.0" encoding="utf-8"?>
<xdr:wsDr xmlns:xdr="http://schemas.openxmlformats.org/drawingml/2006/spreadsheetDrawing" xmlns:a="http://schemas.openxmlformats.org/drawingml/2006/main">
  <xdr:absoluteAnchor>
    <xdr:pos x="0" y="0"/>
    <xdr:ext cx="6293304" cy="8130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3.xml><?xml version="1.0" encoding="utf-8"?>
<xdr:wsDr xmlns:xdr="http://schemas.openxmlformats.org/drawingml/2006/spreadsheetDrawing" xmlns:a="http://schemas.openxmlformats.org/drawingml/2006/main">
  <xdr:absoluteAnchor>
    <xdr:pos x="0" y="0"/>
    <xdr:ext cx="6293304" cy="8130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4.xml><?xml version="1.0" encoding="utf-8"?>
<xdr:wsDr xmlns:xdr="http://schemas.openxmlformats.org/drawingml/2006/spreadsheetDrawing" xmlns:a="http://schemas.openxmlformats.org/drawingml/2006/main">
  <xdr:absoluteAnchor>
    <xdr:pos x="0" y="0"/>
    <xdr:ext cx="6290094" cy="8123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?? ?????"/>
      <a:font script="Hang" typeface="?? ??"/>
      <a:font script="Hans" typeface="??"/>
      <a:font script="Hant" typeface="????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AC57-E172-B442-960D-8A4161906872}">
  <dimension ref="A1:FD142"/>
  <sheetViews>
    <sheetView zoomScale="130" zoomScaleNormal="130" zoomScalePageLayoutView="150" workbookViewId="0">
      <pane xSplit="1" ySplit="6" topLeftCell="EN70" activePane="bottomRight" state="frozen"/>
      <selection activeCell="BF110" sqref="BF110"/>
      <selection pane="topRight"/>
      <selection pane="bottomLeft"/>
      <selection pane="bottomRight" activeCell="ER6" sqref="ER6"/>
    </sheetView>
  </sheetViews>
  <sheetFormatPr baseColWidth="10" defaultColWidth="8.83203125" defaultRowHeight="15" x14ac:dyDescent="0.2"/>
  <cols>
    <col min="1" max="1" width="17.1640625" style="80" customWidth="1"/>
    <col min="2" max="2" width="7.33203125" style="56" customWidth="1"/>
    <col min="3" max="3" width="7.83203125" style="56" customWidth="1"/>
    <col min="4" max="6" width="9.5" style="80" customWidth="1"/>
    <col min="7" max="7" width="9.5" style="56" customWidth="1"/>
    <col min="8" max="10" width="7.33203125" style="56" customWidth="1"/>
    <col min="11" max="11" width="7.5" style="81" customWidth="1"/>
    <col min="12" max="14" width="5" style="80" customWidth="1"/>
    <col min="15" max="15" width="7.6640625" style="55" customWidth="1"/>
    <col min="16" max="16" width="7.5" style="55" bestFit="1" customWidth="1"/>
    <col min="17" max="17" width="8" style="55" bestFit="1" customWidth="1"/>
    <col min="18" max="30" width="7.5" style="55" bestFit="1" customWidth="1"/>
    <col min="31" max="31" width="7.1640625" style="55" bestFit="1" customWidth="1"/>
    <col min="32" max="32" width="7.5" style="55" bestFit="1" customWidth="1"/>
    <col min="33" max="36" width="7.1640625" style="55" bestFit="1" customWidth="1"/>
    <col min="37" max="37" width="7.5" style="55" bestFit="1" customWidth="1"/>
    <col min="38" max="38" width="7.1640625" style="55" bestFit="1" customWidth="1"/>
    <col min="39" max="41" width="7.5" style="55" bestFit="1" customWidth="1"/>
    <col min="42" max="42" width="7.1640625" style="55" bestFit="1" customWidth="1"/>
    <col min="43" max="43" width="7.5" style="55" bestFit="1" customWidth="1"/>
    <col min="44" max="44" width="7.1640625" style="55" bestFit="1" customWidth="1"/>
    <col min="45" max="45" width="7.5" style="55" bestFit="1" customWidth="1"/>
    <col min="46" max="46" width="7.1640625" style="55" bestFit="1" customWidth="1"/>
    <col min="47" max="47" width="7.5" style="55" bestFit="1" customWidth="1"/>
    <col min="48" max="48" width="7.1640625" style="55" bestFit="1" customWidth="1"/>
    <col min="49" max="49" width="7.5" style="55" bestFit="1" customWidth="1"/>
    <col min="50" max="71" width="7" style="55" bestFit="1" customWidth="1"/>
    <col min="72" max="73" width="8.83203125" style="35"/>
    <col min="74" max="74" width="11.1640625" style="35" customWidth="1"/>
    <col min="75" max="90" width="8.83203125" style="35"/>
    <col min="91" max="91" width="10.5" style="35" customWidth="1"/>
    <col min="92" max="102" width="8.83203125" style="35"/>
    <col min="103" max="103" width="10.6640625" style="35" customWidth="1"/>
    <col min="104" max="112" width="8.83203125" style="35"/>
    <col min="113" max="113" width="10.1640625" style="35" customWidth="1"/>
    <col min="114" max="127" width="8.83203125" style="35"/>
    <col min="128" max="128" width="10.6640625" style="35" customWidth="1"/>
    <col min="129" max="145" width="8.83203125" style="35"/>
    <col min="161" max="16384" width="8.83203125" style="35"/>
  </cols>
  <sheetData>
    <row r="1" spans="1:160" x14ac:dyDescent="0.2">
      <c r="A1" s="30" t="s">
        <v>416</v>
      </c>
      <c r="B1" s="31"/>
      <c r="C1" s="31"/>
      <c r="D1" s="30"/>
      <c r="E1" s="30"/>
      <c r="F1" s="30"/>
      <c r="G1" s="31"/>
      <c r="H1" s="31"/>
      <c r="I1" s="31"/>
      <c r="J1" s="31"/>
      <c r="K1" s="87"/>
      <c r="L1" s="30"/>
      <c r="M1" s="30"/>
      <c r="N1" s="30"/>
    </row>
    <row r="2" spans="1:160" ht="17" x14ac:dyDescent="0.25">
      <c r="A2" s="30" t="s">
        <v>1</v>
      </c>
      <c r="B2" s="31"/>
      <c r="C2" s="31"/>
      <c r="D2" s="33"/>
      <c r="E2" s="33"/>
      <c r="F2" s="33"/>
      <c r="G2" s="31"/>
      <c r="H2" s="31"/>
      <c r="I2" s="31"/>
      <c r="J2" s="31"/>
      <c r="K2" s="87"/>
      <c r="L2" s="33"/>
      <c r="M2" s="33"/>
      <c r="N2" s="33"/>
      <c r="BY2" s="105" t="s">
        <v>546</v>
      </c>
      <c r="BZ2" s="105" t="s">
        <v>547</v>
      </c>
      <c r="CA2" s="56" t="s">
        <v>548</v>
      </c>
      <c r="CB2" s="56" t="s">
        <v>549</v>
      </c>
      <c r="CC2" s="56" t="s">
        <v>551</v>
      </c>
      <c r="CD2" s="56" t="s">
        <v>550</v>
      </c>
      <c r="CE2" s="56" t="s">
        <v>562</v>
      </c>
      <c r="CF2" s="56" t="s">
        <v>563</v>
      </c>
      <c r="CG2" s="56" t="s">
        <v>552</v>
      </c>
      <c r="CH2" s="56" t="s">
        <v>553</v>
      </c>
      <c r="CI2" s="56" t="s">
        <v>554</v>
      </c>
      <c r="CJ2" s="56" t="s">
        <v>555</v>
      </c>
      <c r="CK2" s="102" t="s">
        <v>557</v>
      </c>
      <c r="CL2" s="102" t="s">
        <v>556</v>
      </c>
      <c r="CM2" s="56" t="s">
        <v>558</v>
      </c>
      <c r="CN2" s="56" t="s">
        <v>559</v>
      </c>
      <c r="CO2" s="56" t="s">
        <v>560</v>
      </c>
      <c r="CP2" s="102" t="s">
        <v>568</v>
      </c>
      <c r="CQ2" s="56" t="s">
        <v>561</v>
      </c>
      <c r="CR2" s="102" t="s">
        <v>605</v>
      </c>
      <c r="CS2" s="102" t="s">
        <v>608</v>
      </c>
      <c r="CT2" s="102" t="s">
        <v>597</v>
      </c>
      <c r="CU2" s="102" t="s">
        <v>598</v>
      </c>
      <c r="CV2" s="102" t="s">
        <v>599</v>
      </c>
      <c r="CW2" s="102" t="s">
        <v>600</v>
      </c>
      <c r="CX2" s="102" t="s">
        <v>601</v>
      </c>
      <c r="CY2" s="177"/>
      <c r="CZ2" s="56" t="str">
        <f>CA2</f>
        <v>quartz</v>
      </c>
      <c r="DA2" s="56" t="str">
        <f t="shared" ref="DA2:DP3" si="0">CB2</f>
        <v>orthoclase</v>
      </c>
      <c r="DB2" s="56" t="str">
        <f t="shared" si="0"/>
        <v>albite</v>
      </c>
      <c r="DC2" s="56" t="str">
        <f t="shared" si="0"/>
        <v>anorthite</v>
      </c>
      <c r="DD2" s="56" t="str">
        <f t="shared" si="0"/>
        <v>epidote</v>
      </c>
      <c r="DE2" s="56" t="str">
        <f t="shared" si="0"/>
        <v>amphibole</v>
      </c>
      <c r="DF2" s="56" t="str">
        <f t="shared" si="0"/>
        <v>hematite</v>
      </c>
      <c r="DG2" s="56" t="str">
        <f t="shared" si="0"/>
        <v>goethite</v>
      </c>
      <c r="DH2" s="56" t="str">
        <f t="shared" si="0"/>
        <v>gibbsite</v>
      </c>
      <c r="DI2" s="56" t="str">
        <f t="shared" si="0"/>
        <v>dolomite</v>
      </c>
      <c r="DJ2" s="56" t="str">
        <f t="shared" si="0"/>
        <v>kaolin pc</v>
      </c>
      <c r="DK2" s="56" t="str">
        <f t="shared" si="0"/>
        <v>kaolin wc</v>
      </c>
      <c r="DL2" s="56" t="str">
        <f t="shared" si="0"/>
        <v>HIV</v>
      </c>
      <c r="DM2" s="56" t="str">
        <f t="shared" si="0"/>
        <v>biotite wc</v>
      </c>
      <c r="DN2" s="56" t="str">
        <f t="shared" si="0"/>
        <v>biotite pc</v>
      </c>
      <c r="DO2" s="56" t="str">
        <f t="shared" si="0"/>
        <v>phengite</v>
      </c>
      <c r="DP2" s="56" t="str">
        <f t="shared" si="0"/>
        <v>smectite</v>
      </c>
      <c r="DQ2" s="56" t="str">
        <f t="shared" ref="DQ2:DU3" si="1">CR2</f>
        <v>sillimanite</v>
      </c>
      <c r="DR2" s="56" t="str">
        <f t="shared" si="1"/>
        <v>microcline</v>
      </c>
      <c r="DS2" s="56" t="str">
        <f t="shared" si="1"/>
        <v xml:space="preserve">mineral C </v>
      </c>
      <c r="DT2" s="56" t="str">
        <f t="shared" si="1"/>
        <v>mineral D</v>
      </c>
      <c r="DU2" s="56" t="str">
        <f t="shared" si="1"/>
        <v>mineral E</v>
      </c>
      <c r="DV2" s="56" t="str">
        <f>CW2</f>
        <v>mineral F</v>
      </c>
      <c r="DW2" s="56" t="str">
        <f>CX2</f>
        <v>mineral G</v>
      </c>
      <c r="DX2" s="109"/>
      <c r="DY2" s="31" t="s">
        <v>3</v>
      </c>
      <c r="DZ2" s="31" t="s">
        <v>4</v>
      </c>
      <c r="EA2" s="31" t="s">
        <v>596</v>
      </c>
      <c r="EB2" s="31" t="s">
        <v>588</v>
      </c>
      <c r="EC2" s="31" t="s">
        <v>6</v>
      </c>
      <c r="ED2" s="31" t="s">
        <v>7</v>
      </c>
      <c r="EE2" s="31" t="s">
        <v>8</v>
      </c>
      <c r="EF2" s="31" t="s">
        <v>9</v>
      </c>
      <c r="EG2" s="31" t="s">
        <v>10</v>
      </c>
      <c r="EH2" s="31" t="s">
        <v>11</v>
      </c>
      <c r="EI2" s="31" t="s">
        <v>12</v>
      </c>
      <c r="EJ2" s="31" t="s">
        <v>570</v>
      </c>
      <c r="EK2" s="102" t="s">
        <v>571</v>
      </c>
      <c r="EL2" s="102" t="s">
        <v>14</v>
      </c>
      <c r="EM2" s="102" t="s">
        <v>467</v>
      </c>
      <c r="EN2" s="102" t="s">
        <v>603</v>
      </c>
      <c r="EO2" s="262" t="s">
        <v>5</v>
      </c>
      <c r="EP2" s="262" t="s">
        <v>5</v>
      </c>
    </row>
    <row r="3" spans="1:160" x14ac:dyDescent="0.2">
      <c r="A3" s="30" t="s">
        <v>2</v>
      </c>
      <c r="B3" s="31"/>
      <c r="C3" s="31"/>
      <c r="D3" s="30" t="s">
        <v>426</v>
      </c>
      <c r="E3" s="30" t="s">
        <v>426</v>
      </c>
      <c r="F3" s="30" t="s">
        <v>426</v>
      </c>
      <c r="G3" s="31"/>
      <c r="H3" s="31" t="s">
        <v>615</v>
      </c>
      <c r="I3" s="31"/>
      <c r="J3" s="31"/>
      <c r="K3" s="87"/>
      <c r="L3" s="30" t="s">
        <v>470</v>
      </c>
      <c r="M3" s="30" t="s">
        <v>505</v>
      </c>
      <c r="N3" s="30" t="s">
        <v>420</v>
      </c>
      <c r="O3" s="33" t="s">
        <v>3</v>
      </c>
      <c r="P3" s="33" t="s">
        <v>4</v>
      </c>
      <c r="Q3" s="33" t="s">
        <v>5</v>
      </c>
      <c r="R3" s="33" t="s">
        <v>6</v>
      </c>
      <c r="S3" s="33" t="s">
        <v>7</v>
      </c>
      <c r="T3" s="33" t="s">
        <v>8</v>
      </c>
      <c r="U3" s="33" t="s">
        <v>9</v>
      </c>
      <c r="V3" s="33" t="s">
        <v>10</v>
      </c>
      <c r="W3" s="33" t="s">
        <v>11</v>
      </c>
      <c r="X3" s="33" t="s">
        <v>12</v>
      </c>
      <c r="Y3" s="33" t="s">
        <v>13</v>
      </c>
      <c r="Z3" s="33" t="s">
        <v>14</v>
      </c>
      <c r="AA3" s="33" t="s">
        <v>15</v>
      </c>
      <c r="AB3" s="33" t="s">
        <v>16</v>
      </c>
      <c r="AC3" s="33" t="s">
        <v>17</v>
      </c>
      <c r="AD3" s="33" t="s">
        <v>18</v>
      </c>
      <c r="AE3" s="33" t="s">
        <v>19</v>
      </c>
      <c r="AF3" s="33" t="s">
        <v>20</v>
      </c>
      <c r="AG3" s="33" t="s">
        <v>21</v>
      </c>
      <c r="AH3" s="33" t="s">
        <v>22</v>
      </c>
      <c r="AI3" s="33" t="s">
        <v>23</v>
      </c>
      <c r="AJ3" s="33" t="s">
        <v>24</v>
      </c>
      <c r="AK3" s="33" t="s">
        <v>25</v>
      </c>
      <c r="AL3" s="33" t="s">
        <v>26</v>
      </c>
      <c r="AM3" s="33" t="s">
        <v>27</v>
      </c>
      <c r="AN3" s="33" t="s">
        <v>28</v>
      </c>
      <c r="AO3" s="33" t="s">
        <v>29</v>
      </c>
      <c r="AP3" s="33" t="s">
        <v>30</v>
      </c>
      <c r="AQ3" s="33" t="s">
        <v>31</v>
      </c>
      <c r="AR3" s="33" t="s">
        <v>32</v>
      </c>
      <c r="AS3" s="33" t="s">
        <v>33</v>
      </c>
      <c r="AT3" s="33" t="s">
        <v>34</v>
      </c>
      <c r="AU3" s="33" t="s">
        <v>35</v>
      </c>
      <c r="AV3" s="33" t="s">
        <v>36</v>
      </c>
      <c r="AW3" s="33" t="s">
        <v>37</v>
      </c>
      <c r="AX3" s="33" t="s">
        <v>38</v>
      </c>
      <c r="AY3" s="33" t="s">
        <v>39</v>
      </c>
      <c r="AZ3" s="33" t="s">
        <v>40</v>
      </c>
      <c r="BA3" s="33" t="s">
        <v>41</v>
      </c>
      <c r="BB3" s="33" t="s">
        <v>42</v>
      </c>
      <c r="BC3" s="33" t="s">
        <v>43</v>
      </c>
      <c r="BD3" s="33" t="s">
        <v>44</v>
      </c>
      <c r="BE3" s="33" t="s">
        <v>45</v>
      </c>
      <c r="BF3" s="33" t="s">
        <v>46</v>
      </c>
      <c r="BG3" s="33" t="s">
        <v>47</v>
      </c>
      <c r="BH3" s="33" t="s">
        <v>48</v>
      </c>
      <c r="BI3" s="33" t="s">
        <v>49</v>
      </c>
      <c r="BJ3" s="33" t="s">
        <v>50</v>
      </c>
      <c r="BK3" s="33" t="s">
        <v>51</v>
      </c>
      <c r="BL3" s="33" t="s">
        <v>52</v>
      </c>
      <c r="BM3" s="33" t="s">
        <v>53</v>
      </c>
      <c r="BN3" s="33" t="s">
        <v>54</v>
      </c>
      <c r="BO3" s="33" t="s">
        <v>55</v>
      </c>
      <c r="BP3" s="33" t="s">
        <v>56</v>
      </c>
      <c r="BQ3" s="33" t="s">
        <v>57</v>
      </c>
      <c r="BR3" s="33" t="s">
        <v>58</v>
      </c>
      <c r="BS3" s="33" t="s">
        <v>59</v>
      </c>
      <c r="BT3" s="33" t="s">
        <v>471</v>
      </c>
      <c r="BU3" s="33" t="s">
        <v>441</v>
      </c>
      <c r="BV3" s="35" t="str">
        <f>F3</f>
        <v>Depth</v>
      </c>
      <c r="BY3" s="106">
        <f>65.38+16</f>
        <v>81.38</v>
      </c>
      <c r="BZ3" s="106">
        <f>DZ4</f>
        <v>101.97999999999999</v>
      </c>
      <c r="CA3" s="34">
        <f>DY4</f>
        <v>60.05</v>
      </c>
      <c r="CB3" s="34">
        <f>0.5*EG4+0.5*DZ4+3*DY4</f>
        <v>278.22999999999996</v>
      </c>
      <c r="CC3" s="34">
        <f>0.5*EF4+0.5*DZ4+3*DY4</f>
        <v>262.13</v>
      </c>
      <c r="CD3" s="104">
        <f>EE4+DZ4+2*DY4</f>
        <v>278.15800000000002</v>
      </c>
      <c r="CE3" s="34">
        <f>EE4+1.125*EA4+0.375*DZ4+DY4*3+0.5*EJ4</f>
        <v>463.12624999999997</v>
      </c>
      <c r="CF3" s="34">
        <f>2*EE4+2*EB4+2*ED4+0.5*DZ4+7*DY4+EJ4</f>
        <v>827.69599999999991</v>
      </c>
      <c r="CG3" s="34">
        <f>EA4</f>
        <v>159.69400000000002</v>
      </c>
      <c r="CH3" s="34">
        <f>0.05*DZ4+0.45*EA4+0.5*EJ4</f>
        <v>85.961300000000008</v>
      </c>
      <c r="CI3" s="34">
        <f>0.5*DZ4+1.5*EJ4</f>
        <v>77.989999999999995</v>
      </c>
      <c r="CJ3" s="104">
        <f>EE4+ED4+2*EK4</f>
        <v>184.37799999999999</v>
      </c>
      <c r="CK3" s="34">
        <f>DZ4*1.95/2+EA4*0.05/2+2*DY4+EJ4*2</f>
        <v>259.52284999999995</v>
      </c>
      <c r="CL3" s="34">
        <f>DZ4+DY4*2+2*EJ4</f>
        <v>258.08</v>
      </c>
      <c r="CM3" s="34">
        <f>EG4*0.5*0.41+EE4*0.08+DY4*3.24+DZ4*0.5*0.76+DZ4*0.5*1.56+EA4*0.5*0.24+ED4*0.2+DZ4*0.5*1.45+EJ4*0.5*3.79+EJ4</f>
        <v>489.92071999999996</v>
      </c>
      <c r="CN3" s="34">
        <f>0.5*EG4+0.39*EB4+0.23*ED4+0.03*EH4+2.62*0.5*DZ4+3.47*DY4+EJ4</f>
        <v>447.11530000000005</v>
      </c>
      <c r="CO3" s="34">
        <f>0.47*0.5*EG4+0.01*EE4+0.87*EB4+0.56*ED4+0.11*EH4+0.5*2.03*DZ4+2.8*DY4+EJ4</f>
        <v>407.03577999999993</v>
      </c>
      <c r="CP3" s="34">
        <f>0.5*EG4+0.25*ED4+0.25*EB4+DZ4+3.5*DY4+EJ4</f>
        <v>405.52</v>
      </c>
      <c r="CQ3" s="34">
        <f>0.35*0.5*EG4+1.21*ED4+0.09*EH4+0.3*0.5*EA4+0.63*EB4+1.4*0.5*DZ4+3*DY4+EJ4</f>
        <v>411.78959999999995</v>
      </c>
      <c r="CR3" s="34">
        <f>DZ4+DY4</f>
        <v>162.02999999999997</v>
      </c>
      <c r="CS3" s="34">
        <f>0.5*EG4+0.5*DZ4+3*DY4</f>
        <v>278.22999999999996</v>
      </c>
      <c r="CT3" s="34"/>
      <c r="CU3" s="34"/>
      <c r="CV3" s="34"/>
      <c r="CW3" s="34"/>
      <c r="CX3" s="34"/>
      <c r="CY3" s="178" t="s">
        <v>592</v>
      </c>
      <c r="CZ3" s="34">
        <f>CA3</f>
        <v>60.05</v>
      </c>
      <c r="DA3" s="34">
        <f>CB3</f>
        <v>278.22999999999996</v>
      </c>
      <c r="DB3" s="34">
        <f>CC3</f>
        <v>262.13</v>
      </c>
      <c r="DC3" s="34">
        <f t="shared" si="0"/>
        <v>278.15800000000002</v>
      </c>
      <c r="DD3" s="34">
        <f t="shared" si="0"/>
        <v>463.12624999999997</v>
      </c>
      <c r="DE3" s="34">
        <f t="shared" si="0"/>
        <v>827.69599999999991</v>
      </c>
      <c r="DF3" s="34">
        <f t="shared" si="0"/>
        <v>159.69400000000002</v>
      </c>
      <c r="DG3" s="34">
        <f t="shared" si="0"/>
        <v>85.961300000000008</v>
      </c>
      <c r="DH3" s="34">
        <f t="shared" si="0"/>
        <v>77.989999999999995</v>
      </c>
      <c r="DI3" s="34">
        <f t="shared" si="0"/>
        <v>184.37799999999999</v>
      </c>
      <c r="DJ3" s="34">
        <f t="shared" si="0"/>
        <v>259.52284999999995</v>
      </c>
      <c r="DK3" s="34">
        <f t="shared" si="0"/>
        <v>258.08</v>
      </c>
      <c r="DL3" s="34">
        <f t="shared" si="0"/>
        <v>489.92071999999996</v>
      </c>
      <c r="DM3" s="34">
        <f t="shared" si="0"/>
        <v>447.11530000000005</v>
      </c>
      <c r="DN3" s="34">
        <f t="shared" si="0"/>
        <v>407.03577999999993</v>
      </c>
      <c r="DO3" s="34">
        <f t="shared" si="0"/>
        <v>405.52</v>
      </c>
      <c r="DP3" s="34">
        <f t="shared" si="0"/>
        <v>411.78959999999995</v>
      </c>
      <c r="DQ3" s="34">
        <f t="shared" si="1"/>
        <v>162.02999999999997</v>
      </c>
      <c r="DR3" s="34">
        <f>CS3</f>
        <v>278.22999999999996</v>
      </c>
      <c r="DS3" s="34"/>
      <c r="DT3" s="34"/>
      <c r="DU3" s="34"/>
      <c r="DV3" s="34"/>
      <c r="DW3" s="34"/>
      <c r="DX3" s="110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263"/>
    </row>
    <row r="4" spans="1:160" ht="129" x14ac:dyDescent="0.25">
      <c r="A4" s="30" t="s">
        <v>60</v>
      </c>
      <c r="B4" s="31"/>
      <c r="C4" s="31"/>
      <c r="D4" s="30" t="s">
        <v>425</v>
      </c>
      <c r="E4" s="30" t="s">
        <v>425</v>
      </c>
      <c r="F4" s="30" t="s">
        <v>425</v>
      </c>
      <c r="G4" s="31"/>
      <c r="H4" s="31" t="s">
        <v>614</v>
      </c>
      <c r="I4" s="31"/>
      <c r="J4" s="31"/>
      <c r="K4" s="87"/>
      <c r="L4" s="30"/>
      <c r="M4" s="30"/>
      <c r="N4" s="30"/>
      <c r="O4" s="33" t="s">
        <v>61</v>
      </c>
      <c r="P4" s="33" t="s">
        <v>61</v>
      </c>
      <c r="Q4" s="33" t="s">
        <v>61</v>
      </c>
      <c r="R4" s="33" t="s">
        <v>61</v>
      </c>
      <c r="S4" s="33" t="s">
        <v>61</v>
      </c>
      <c r="T4" s="33" t="s">
        <v>61</v>
      </c>
      <c r="U4" s="33" t="s">
        <v>61</v>
      </c>
      <c r="V4" s="33" t="s">
        <v>61</v>
      </c>
      <c r="W4" s="33" t="s">
        <v>61</v>
      </c>
      <c r="X4" s="33" t="s">
        <v>61</v>
      </c>
      <c r="Y4" s="33" t="s">
        <v>61</v>
      </c>
      <c r="Z4" s="33" t="s">
        <v>61</v>
      </c>
      <c r="AA4" s="33" t="s">
        <v>62</v>
      </c>
      <c r="AB4" s="33" t="s">
        <v>62</v>
      </c>
      <c r="AC4" s="33" t="s">
        <v>62</v>
      </c>
      <c r="AD4" s="33" t="s">
        <v>62</v>
      </c>
      <c r="AE4" s="33" t="s">
        <v>62</v>
      </c>
      <c r="AF4" s="33" t="s">
        <v>62</v>
      </c>
      <c r="AG4" s="33" t="s">
        <v>62</v>
      </c>
      <c r="AH4" s="33" t="s">
        <v>62</v>
      </c>
      <c r="AI4" s="33" t="s">
        <v>62</v>
      </c>
      <c r="AJ4" s="33" t="s">
        <v>62</v>
      </c>
      <c r="AK4" s="33" t="s">
        <v>62</v>
      </c>
      <c r="AL4" s="33" t="s">
        <v>62</v>
      </c>
      <c r="AM4" s="33" t="s">
        <v>62</v>
      </c>
      <c r="AN4" s="33" t="s">
        <v>62</v>
      </c>
      <c r="AO4" s="33" t="s">
        <v>62</v>
      </c>
      <c r="AP4" s="33" t="s">
        <v>62</v>
      </c>
      <c r="AQ4" s="33" t="s">
        <v>62</v>
      </c>
      <c r="AR4" s="33" t="s">
        <v>62</v>
      </c>
      <c r="AS4" s="33" t="s">
        <v>62</v>
      </c>
      <c r="AT4" s="33" t="s">
        <v>62</v>
      </c>
      <c r="AU4" s="33" t="s">
        <v>62</v>
      </c>
      <c r="AV4" s="33" t="s">
        <v>62</v>
      </c>
      <c r="AW4" s="33" t="s">
        <v>62</v>
      </c>
      <c r="AX4" s="33" t="s">
        <v>62</v>
      </c>
      <c r="AY4" s="33" t="s">
        <v>62</v>
      </c>
      <c r="AZ4" s="33" t="s">
        <v>62</v>
      </c>
      <c r="BA4" s="33" t="s">
        <v>62</v>
      </c>
      <c r="BB4" s="33" t="s">
        <v>62</v>
      </c>
      <c r="BC4" s="33" t="s">
        <v>62</v>
      </c>
      <c r="BD4" s="33" t="s">
        <v>62</v>
      </c>
      <c r="BE4" s="33" t="s">
        <v>62</v>
      </c>
      <c r="BF4" s="33" t="s">
        <v>62</v>
      </c>
      <c r="BG4" s="33" t="s">
        <v>62</v>
      </c>
      <c r="BH4" s="33" t="s">
        <v>62</v>
      </c>
      <c r="BI4" s="33" t="s">
        <v>62</v>
      </c>
      <c r="BJ4" s="33" t="s">
        <v>62</v>
      </c>
      <c r="BK4" s="33" t="s">
        <v>62</v>
      </c>
      <c r="BL4" s="33" t="s">
        <v>62</v>
      </c>
      <c r="BM4" s="33" t="s">
        <v>62</v>
      </c>
      <c r="BN4" s="33" t="s">
        <v>62</v>
      </c>
      <c r="BO4" s="33" t="s">
        <v>62</v>
      </c>
      <c r="BP4" s="33" t="s">
        <v>62</v>
      </c>
      <c r="BQ4" s="33" t="s">
        <v>62</v>
      </c>
      <c r="BR4" s="33" t="s">
        <v>62</v>
      </c>
      <c r="BS4" s="33" t="s">
        <v>62</v>
      </c>
      <c r="BU4" s="33" t="s">
        <v>62</v>
      </c>
      <c r="BV4" s="35" t="str">
        <f>F4</f>
        <v>cm</v>
      </c>
      <c r="BY4" s="107" t="s">
        <v>580</v>
      </c>
      <c r="BZ4" s="107" t="s">
        <v>587</v>
      </c>
      <c r="CA4" s="101" t="s">
        <v>581</v>
      </c>
      <c r="CB4" s="101" t="s">
        <v>582</v>
      </c>
      <c r="CC4" s="101" t="s">
        <v>583</v>
      </c>
      <c r="CD4" s="101" t="s">
        <v>584</v>
      </c>
      <c r="CE4" s="101" t="s">
        <v>586</v>
      </c>
      <c r="CF4" s="101" t="s">
        <v>585</v>
      </c>
      <c r="CG4" s="101" t="s">
        <v>575</v>
      </c>
      <c r="CH4" s="101" t="s">
        <v>574</v>
      </c>
      <c r="CI4" s="101" t="s">
        <v>569</v>
      </c>
      <c r="CJ4" s="101" t="s">
        <v>572</v>
      </c>
      <c r="CK4" s="101" t="s">
        <v>576</v>
      </c>
      <c r="CL4" s="101" t="s">
        <v>573</v>
      </c>
      <c r="CM4" s="101" t="s">
        <v>604</v>
      </c>
      <c r="CN4" s="101" t="s">
        <v>590</v>
      </c>
      <c r="CO4" s="101" t="s">
        <v>578</v>
      </c>
      <c r="CP4" s="101" t="s">
        <v>577</v>
      </c>
      <c r="CQ4" s="101" t="s">
        <v>579</v>
      </c>
      <c r="CR4" s="101" t="s">
        <v>606</v>
      </c>
      <c r="CS4" s="101" t="s">
        <v>582</v>
      </c>
      <c r="CT4" s="100"/>
      <c r="CU4" s="100"/>
      <c r="CV4" s="100"/>
      <c r="CW4" s="100"/>
      <c r="CX4" s="100"/>
      <c r="CY4" s="179" t="s">
        <v>589</v>
      </c>
      <c r="CZ4" s="101" t="s">
        <v>581</v>
      </c>
      <c r="DA4" s="101" t="s">
        <v>582</v>
      </c>
      <c r="DB4" s="101" t="s">
        <v>583</v>
      </c>
      <c r="DC4" s="101" t="s">
        <v>584</v>
      </c>
      <c r="DD4" s="101" t="s">
        <v>586</v>
      </c>
      <c r="DE4" s="101" t="s">
        <v>585</v>
      </c>
      <c r="DF4" s="101" t="s">
        <v>575</v>
      </c>
      <c r="DG4" s="101" t="s">
        <v>574</v>
      </c>
      <c r="DH4" s="101" t="s">
        <v>569</v>
      </c>
      <c r="DI4" s="101" t="s">
        <v>572</v>
      </c>
      <c r="DJ4" s="101" t="s">
        <v>576</v>
      </c>
      <c r="DK4" s="101" t="s">
        <v>573</v>
      </c>
      <c r="DL4" s="101" t="s">
        <v>604</v>
      </c>
      <c r="DM4" s="101" t="s">
        <v>590</v>
      </c>
      <c r="DN4" s="101" t="s">
        <v>578</v>
      </c>
      <c r="DO4" s="101" t="s">
        <v>577</v>
      </c>
      <c r="DP4" s="101" t="s">
        <v>579</v>
      </c>
      <c r="DQ4" s="101" t="s">
        <v>606</v>
      </c>
      <c r="DR4" s="34" t="str">
        <f>CS4</f>
        <v>KAlSi3O8</v>
      </c>
      <c r="DS4" s="100"/>
      <c r="DT4" s="100"/>
      <c r="DU4" s="100"/>
      <c r="DV4" s="100"/>
      <c r="DW4" s="100"/>
      <c r="DX4" s="111" t="s">
        <v>591</v>
      </c>
      <c r="DY4" s="100">
        <f>28.05+2*16</f>
        <v>60.05</v>
      </c>
      <c r="DZ4" s="100">
        <f>2*26.99+3*16</f>
        <v>101.97999999999999</v>
      </c>
      <c r="EA4" s="100">
        <f>2*55.847+3*16</f>
        <v>159.69400000000002</v>
      </c>
      <c r="EB4" s="100">
        <v>72.8</v>
      </c>
      <c r="EC4" s="100">
        <f>54.94+16</f>
        <v>70.94</v>
      </c>
      <c r="ED4" s="100">
        <f>24.3+16</f>
        <v>40.299999999999997</v>
      </c>
      <c r="EE4" s="100">
        <f>56.078</f>
        <v>56.078000000000003</v>
      </c>
      <c r="EF4" s="101">
        <f>2*22.99+16</f>
        <v>61.98</v>
      </c>
      <c r="EG4" s="100">
        <f>2*39.09+16</f>
        <v>94.18</v>
      </c>
      <c r="EH4" s="100">
        <f>47.9+2*16</f>
        <v>79.900000000000006</v>
      </c>
      <c r="EI4" s="100">
        <f>2*30.97+5*16</f>
        <v>141.94</v>
      </c>
      <c r="EJ4" s="100">
        <f>1+1+16</f>
        <v>18</v>
      </c>
      <c r="EK4" s="100">
        <f>12+2*16</f>
        <v>44</v>
      </c>
      <c r="EL4" s="100"/>
      <c r="EM4" s="100"/>
      <c r="EN4" s="100"/>
      <c r="EO4" s="264"/>
      <c r="EQ4" s="312" t="s">
        <v>629</v>
      </c>
    </row>
    <row r="5" spans="1:160" ht="14" customHeight="1" x14ac:dyDescent="0.25">
      <c r="A5" s="30" t="s">
        <v>63</v>
      </c>
      <c r="B5" s="31"/>
      <c r="C5" s="31"/>
      <c r="D5" s="30">
        <v>1</v>
      </c>
      <c r="E5" s="30">
        <v>1</v>
      </c>
      <c r="F5" s="30">
        <v>1</v>
      </c>
      <c r="G5" s="31"/>
      <c r="H5" s="31"/>
      <c r="I5" s="31"/>
      <c r="J5" s="31"/>
      <c r="K5" s="87"/>
      <c r="L5" s="30"/>
      <c r="M5" s="30"/>
      <c r="N5" s="30"/>
      <c r="O5" s="33">
        <v>0.01</v>
      </c>
      <c r="P5" s="33">
        <v>0.01</v>
      </c>
      <c r="Q5" s="33">
        <v>0.01</v>
      </c>
      <c r="R5" s="33">
        <v>1E-3</v>
      </c>
      <c r="S5" s="33">
        <v>0.01</v>
      </c>
      <c r="T5" s="33">
        <v>0.01</v>
      </c>
      <c r="U5" s="33">
        <v>0.01</v>
      </c>
      <c r="V5" s="33">
        <v>0.01</v>
      </c>
      <c r="W5" s="33">
        <v>1E-3</v>
      </c>
      <c r="X5" s="33">
        <v>0.01</v>
      </c>
      <c r="Y5" s="33"/>
      <c r="Z5" s="33">
        <v>0.01</v>
      </c>
      <c r="AA5" s="33">
        <v>1</v>
      </c>
      <c r="AB5" s="33">
        <v>1</v>
      </c>
      <c r="AC5" s="33">
        <v>5</v>
      </c>
      <c r="AD5" s="33">
        <v>20</v>
      </c>
      <c r="AE5" s="33">
        <v>1</v>
      </c>
      <c r="AF5" s="33">
        <v>20</v>
      </c>
      <c r="AG5" s="33">
        <v>10</v>
      </c>
      <c r="AH5" s="33">
        <v>30</v>
      </c>
      <c r="AI5" s="33">
        <v>1</v>
      </c>
      <c r="AJ5" s="33">
        <v>1</v>
      </c>
      <c r="AK5" s="33">
        <v>5</v>
      </c>
      <c r="AL5" s="33">
        <v>2</v>
      </c>
      <c r="AM5" s="33">
        <v>2</v>
      </c>
      <c r="AN5" s="33">
        <v>2</v>
      </c>
      <c r="AO5" s="33">
        <v>4</v>
      </c>
      <c r="AP5" s="33">
        <v>1</v>
      </c>
      <c r="AQ5" s="33">
        <v>2</v>
      </c>
      <c r="AR5" s="33">
        <v>0.5</v>
      </c>
      <c r="AS5" s="33">
        <v>0.2</v>
      </c>
      <c r="AT5" s="33">
        <v>1</v>
      </c>
      <c r="AU5" s="33">
        <v>0.5</v>
      </c>
      <c r="AV5" s="33">
        <v>0.5</v>
      </c>
      <c r="AW5" s="33">
        <v>3</v>
      </c>
      <c r="AX5" s="33">
        <v>0.4</v>
      </c>
      <c r="AY5" s="33">
        <v>0.1</v>
      </c>
      <c r="AZ5" s="33">
        <v>0.1</v>
      </c>
      <c r="BA5" s="33">
        <v>0.05</v>
      </c>
      <c r="BB5" s="33">
        <v>0.1</v>
      </c>
      <c r="BC5" s="33">
        <v>0.1</v>
      </c>
      <c r="BD5" s="33">
        <v>0.05</v>
      </c>
      <c r="BE5" s="33">
        <v>0.1</v>
      </c>
      <c r="BF5" s="33">
        <v>0.1</v>
      </c>
      <c r="BG5" s="33">
        <v>0.1</v>
      </c>
      <c r="BH5" s="33">
        <v>0.1</v>
      </c>
      <c r="BI5" s="33">
        <v>0.1</v>
      </c>
      <c r="BJ5" s="33">
        <v>0.05</v>
      </c>
      <c r="BK5" s="33">
        <v>0.1</v>
      </c>
      <c r="BL5" s="33">
        <v>0.04</v>
      </c>
      <c r="BM5" s="33">
        <v>0.2</v>
      </c>
      <c r="BN5" s="33">
        <v>0.1</v>
      </c>
      <c r="BO5" s="33">
        <v>1</v>
      </c>
      <c r="BP5" s="33">
        <v>0.1</v>
      </c>
      <c r="BQ5" s="33">
        <v>5</v>
      </c>
      <c r="BR5" s="33">
        <v>0.1</v>
      </c>
      <c r="BS5" s="33">
        <v>0.1</v>
      </c>
      <c r="BY5" s="105" t="s">
        <v>546</v>
      </c>
      <c r="BZ5" s="105" t="s">
        <v>547</v>
      </c>
      <c r="CA5" s="56" t="str">
        <f>CA2</f>
        <v>quartz</v>
      </c>
      <c r="CB5" s="56" t="str">
        <f t="shared" ref="CB5:CX5" si="2">CB2</f>
        <v>orthoclase</v>
      </c>
      <c r="CC5" s="56" t="str">
        <f t="shared" si="2"/>
        <v>albite</v>
      </c>
      <c r="CD5" s="56" t="str">
        <f t="shared" si="2"/>
        <v>anorthite</v>
      </c>
      <c r="CE5" s="56" t="str">
        <f t="shared" si="2"/>
        <v>epidote</v>
      </c>
      <c r="CF5" s="56" t="str">
        <f t="shared" si="2"/>
        <v>amphibole</v>
      </c>
      <c r="CG5" s="56" t="str">
        <f t="shared" si="2"/>
        <v>hematite</v>
      </c>
      <c r="CH5" s="56" t="str">
        <f t="shared" si="2"/>
        <v>goethite</v>
      </c>
      <c r="CI5" s="56" t="str">
        <f t="shared" si="2"/>
        <v>gibbsite</v>
      </c>
      <c r="CJ5" s="56" t="str">
        <f t="shared" si="2"/>
        <v>dolomite</v>
      </c>
      <c r="CK5" s="56" t="str">
        <f t="shared" si="2"/>
        <v>kaolin pc</v>
      </c>
      <c r="CL5" s="56" t="str">
        <f t="shared" si="2"/>
        <v>kaolin wc</v>
      </c>
      <c r="CM5" s="56" t="str">
        <f t="shared" si="2"/>
        <v>HIV</v>
      </c>
      <c r="CN5" s="56" t="str">
        <f t="shared" si="2"/>
        <v>biotite wc</v>
      </c>
      <c r="CO5" s="56" t="str">
        <f t="shared" si="2"/>
        <v>biotite pc</v>
      </c>
      <c r="CP5" s="56" t="str">
        <f t="shared" si="2"/>
        <v>phengite</v>
      </c>
      <c r="CQ5" s="56" t="str">
        <f t="shared" si="2"/>
        <v>smectite</v>
      </c>
      <c r="CR5" s="56" t="str">
        <f t="shared" si="2"/>
        <v>sillimanite</v>
      </c>
      <c r="CS5" s="56" t="str">
        <f t="shared" si="2"/>
        <v>microcline</v>
      </c>
      <c r="CT5" s="56" t="str">
        <f t="shared" si="2"/>
        <v xml:space="preserve">mineral C </v>
      </c>
      <c r="CU5" s="56" t="str">
        <f t="shared" si="2"/>
        <v>mineral D</v>
      </c>
      <c r="CV5" s="56" t="str">
        <f t="shared" si="2"/>
        <v>mineral E</v>
      </c>
      <c r="CW5" s="56" t="str">
        <f t="shared" si="2"/>
        <v>mineral F</v>
      </c>
      <c r="CX5" s="56" t="str">
        <f t="shared" si="2"/>
        <v>mineral G</v>
      </c>
      <c r="CY5" s="177" t="s">
        <v>595</v>
      </c>
      <c r="CZ5" s="56" t="str">
        <f>CZ2</f>
        <v>quartz</v>
      </c>
      <c r="DA5" s="56" t="str">
        <f t="shared" ref="DA5:DW5" si="3">DA2</f>
        <v>orthoclase</v>
      </c>
      <c r="DB5" s="56" t="str">
        <f t="shared" si="3"/>
        <v>albite</v>
      </c>
      <c r="DC5" s="56" t="str">
        <f t="shared" si="3"/>
        <v>anorthite</v>
      </c>
      <c r="DD5" s="56" t="str">
        <f t="shared" si="3"/>
        <v>epidote</v>
      </c>
      <c r="DE5" s="56" t="str">
        <f t="shared" si="3"/>
        <v>amphibole</v>
      </c>
      <c r="DF5" s="56" t="str">
        <f t="shared" si="3"/>
        <v>hematite</v>
      </c>
      <c r="DG5" s="56" t="str">
        <f t="shared" si="3"/>
        <v>goethite</v>
      </c>
      <c r="DH5" s="56" t="str">
        <f t="shared" si="3"/>
        <v>gibbsite</v>
      </c>
      <c r="DI5" s="56" t="str">
        <f t="shared" si="3"/>
        <v>dolomite</v>
      </c>
      <c r="DJ5" s="56" t="str">
        <f t="shared" si="3"/>
        <v>kaolin pc</v>
      </c>
      <c r="DK5" s="56" t="str">
        <f t="shared" si="3"/>
        <v>kaolin wc</v>
      </c>
      <c r="DL5" s="56" t="str">
        <f t="shared" si="3"/>
        <v>HIV</v>
      </c>
      <c r="DM5" s="56" t="str">
        <f t="shared" si="3"/>
        <v>biotite wc</v>
      </c>
      <c r="DN5" s="56" t="str">
        <f t="shared" si="3"/>
        <v>biotite pc</v>
      </c>
      <c r="DO5" s="56" t="str">
        <f t="shared" si="3"/>
        <v>phengite</v>
      </c>
      <c r="DP5" s="56" t="str">
        <f t="shared" si="3"/>
        <v>smectite</v>
      </c>
      <c r="DQ5" s="56" t="str">
        <f t="shared" si="3"/>
        <v>sillimanite</v>
      </c>
      <c r="DR5" s="56" t="str">
        <f t="shared" si="3"/>
        <v>microcline</v>
      </c>
      <c r="DS5" s="56" t="str">
        <f t="shared" si="3"/>
        <v xml:space="preserve">mineral C </v>
      </c>
      <c r="DT5" s="56" t="str">
        <f t="shared" si="3"/>
        <v>mineral D</v>
      </c>
      <c r="DU5" s="56" t="str">
        <f t="shared" si="3"/>
        <v>mineral E</v>
      </c>
      <c r="DV5" s="56" t="str">
        <f t="shared" si="3"/>
        <v>mineral F</v>
      </c>
      <c r="DW5" s="56" t="str">
        <f t="shared" si="3"/>
        <v>mineral G</v>
      </c>
      <c r="DX5" s="109" t="s">
        <v>593</v>
      </c>
      <c r="DY5" s="31" t="s">
        <v>3</v>
      </c>
      <c r="DZ5" s="31" t="s">
        <v>4</v>
      </c>
      <c r="EA5" s="31" t="s">
        <v>596</v>
      </c>
      <c r="EB5" s="31" t="s">
        <v>588</v>
      </c>
      <c r="EC5" s="31" t="s">
        <v>6</v>
      </c>
      <c r="ED5" s="31" t="s">
        <v>7</v>
      </c>
      <c r="EE5" s="31" t="s">
        <v>8</v>
      </c>
      <c r="EF5" s="31" t="s">
        <v>9</v>
      </c>
      <c r="EG5" s="31" t="s">
        <v>10</v>
      </c>
      <c r="EH5" s="31" t="s">
        <v>11</v>
      </c>
      <c r="EI5" s="31" t="s">
        <v>12</v>
      </c>
      <c r="EJ5" s="31" t="s">
        <v>570</v>
      </c>
      <c r="EK5" s="102" t="s">
        <v>571</v>
      </c>
      <c r="EL5" s="102" t="s">
        <v>14</v>
      </c>
      <c r="EM5" s="102" t="s">
        <v>619</v>
      </c>
      <c r="EN5" s="102" t="s">
        <v>603</v>
      </c>
      <c r="EO5" s="262" t="s">
        <v>5</v>
      </c>
      <c r="EP5" s="262" t="s">
        <v>5</v>
      </c>
    </row>
    <row r="6" spans="1:160" s="279" customFormat="1" ht="24" customHeight="1" x14ac:dyDescent="0.2">
      <c r="A6" s="277" t="s">
        <v>64</v>
      </c>
      <c r="B6" s="277" t="s">
        <v>463</v>
      </c>
      <c r="C6" s="277" t="s">
        <v>618</v>
      </c>
      <c r="D6" s="277" t="s">
        <v>423</v>
      </c>
      <c r="E6" s="277" t="s">
        <v>424</v>
      </c>
      <c r="F6" s="277" t="s">
        <v>427</v>
      </c>
      <c r="G6" s="277" t="s">
        <v>531</v>
      </c>
      <c r="H6" s="277" t="s">
        <v>613</v>
      </c>
      <c r="I6" s="277" t="s">
        <v>611</v>
      </c>
      <c r="J6" s="277" t="s">
        <v>612</v>
      </c>
      <c r="K6" s="278" t="s">
        <v>617</v>
      </c>
      <c r="L6" s="277"/>
      <c r="M6" s="277"/>
      <c r="N6" s="277"/>
      <c r="O6" s="277" t="s">
        <v>65</v>
      </c>
      <c r="P6" s="277" t="s">
        <v>65</v>
      </c>
      <c r="Q6" s="277" t="s">
        <v>65</v>
      </c>
      <c r="R6" s="277" t="s">
        <v>65</v>
      </c>
      <c r="S6" s="277" t="s">
        <v>65</v>
      </c>
      <c r="T6" s="277" t="s">
        <v>65</v>
      </c>
      <c r="U6" s="277" t="s">
        <v>65</v>
      </c>
      <c r="V6" s="277" t="s">
        <v>65</v>
      </c>
      <c r="W6" s="277" t="s">
        <v>65</v>
      </c>
      <c r="X6" s="277" t="s">
        <v>65</v>
      </c>
      <c r="Y6" s="277" t="s">
        <v>65</v>
      </c>
      <c r="Z6" s="277" t="s">
        <v>65</v>
      </c>
      <c r="AA6" s="277" t="s">
        <v>65</v>
      </c>
      <c r="AB6" s="277" t="s">
        <v>65</v>
      </c>
      <c r="AC6" s="277" t="s">
        <v>65</v>
      </c>
      <c r="AD6" s="277" t="s">
        <v>66</v>
      </c>
      <c r="AE6" s="277" t="s">
        <v>66</v>
      </c>
      <c r="AF6" s="277" t="s">
        <v>66</v>
      </c>
      <c r="AG6" s="277" t="s">
        <v>66</v>
      </c>
      <c r="AH6" s="277" t="s">
        <v>66</v>
      </c>
      <c r="AI6" s="277" t="s">
        <v>66</v>
      </c>
      <c r="AJ6" s="277" t="s">
        <v>66</v>
      </c>
      <c r="AK6" s="277" t="s">
        <v>66</v>
      </c>
      <c r="AL6" s="277" t="s">
        <v>66</v>
      </c>
      <c r="AM6" s="277" t="s">
        <v>65</v>
      </c>
      <c r="AN6" s="277" t="s">
        <v>65</v>
      </c>
      <c r="AO6" s="277" t="s">
        <v>65</v>
      </c>
      <c r="AP6" s="277" t="s">
        <v>66</v>
      </c>
      <c r="AQ6" s="277" t="s">
        <v>66</v>
      </c>
      <c r="AR6" s="277" t="s">
        <v>66</v>
      </c>
      <c r="AS6" s="277" t="s">
        <v>66</v>
      </c>
      <c r="AT6" s="277" t="s">
        <v>66</v>
      </c>
      <c r="AU6" s="277" t="s">
        <v>66</v>
      </c>
      <c r="AV6" s="277" t="s">
        <v>66</v>
      </c>
      <c r="AW6" s="277" t="s">
        <v>65</v>
      </c>
      <c r="AX6" s="277" t="s">
        <v>66</v>
      </c>
      <c r="AY6" s="277" t="s">
        <v>66</v>
      </c>
      <c r="AZ6" s="277" t="s">
        <v>66</v>
      </c>
      <c r="BA6" s="277" t="s">
        <v>66</v>
      </c>
      <c r="BB6" s="277" t="s">
        <v>66</v>
      </c>
      <c r="BC6" s="277" t="s">
        <v>66</v>
      </c>
      <c r="BD6" s="277" t="s">
        <v>66</v>
      </c>
      <c r="BE6" s="277" t="s">
        <v>66</v>
      </c>
      <c r="BF6" s="277" t="s">
        <v>66</v>
      </c>
      <c r="BG6" s="277" t="s">
        <v>66</v>
      </c>
      <c r="BH6" s="277" t="s">
        <v>66</v>
      </c>
      <c r="BI6" s="277" t="s">
        <v>66</v>
      </c>
      <c r="BJ6" s="277" t="s">
        <v>66</v>
      </c>
      <c r="BK6" s="277" t="s">
        <v>66</v>
      </c>
      <c r="BL6" s="277" t="s">
        <v>66</v>
      </c>
      <c r="BM6" s="277" t="s">
        <v>66</v>
      </c>
      <c r="BN6" s="277" t="s">
        <v>66</v>
      </c>
      <c r="BO6" s="277" t="s">
        <v>66</v>
      </c>
      <c r="BP6" s="277" t="s">
        <v>66</v>
      </c>
      <c r="BQ6" s="277" t="s">
        <v>66</v>
      </c>
      <c r="BR6" s="277" t="s">
        <v>66</v>
      </c>
      <c r="BS6" s="277" t="s">
        <v>66</v>
      </c>
      <c r="BV6" s="279" t="str">
        <f>F6</f>
        <v>Average (cm)</v>
      </c>
      <c r="BW6" s="279" t="s">
        <v>489</v>
      </c>
      <c r="BX6" s="311" t="s">
        <v>627</v>
      </c>
      <c r="BY6" s="105" t="s">
        <v>567</v>
      </c>
      <c r="BZ6" s="105" t="s">
        <v>567</v>
      </c>
      <c r="CA6" s="102" t="s">
        <v>567</v>
      </c>
      <c r="CB6" s="102" t="s">
        <v>567</v>
      </c>
      <c r="CC6" s="102" t="s">
        <v>567</v>
      </c>
      <c r="CD6" s="102" t="s">
        <v>567</v>
      </c>
      <c r="CE6" s="102" t="s">
        <v>567</v>
      </c>
      <c r="CF6" s="102" t="s">
        <v>567</v>
      </c>
      <c r="CG6" s="102" t="s">
        <v>567</v>
      </c>
      <c r="CH6" s="102" t="s">
        <v>567</v>
      </c>
      <c r="CI6" s="102" t="s">
        <v>567</v>
      </c>
      <c r="CJ6" s="102" t="s">
        <v>567</v>
      </c>
      <c r="CK6" s="102" t="s">
        <v>567</v>
      </c>
      <c r="CL6" s="102" t="s">
        <v>567</v>
      </c>
      <c r="CM6" s="102" t="s">
        <v>567</v>
      </c>
      <c r="CN6" s="102" t="s">
        <v>567</v>
      </c>
      <c r="CO6" s="102" t="s">
        <v>567</v>
      </c>
      <c r="CP6" s="102" t="s">
        <v>567</v>
      </c>
      <c r="CQ6" s="102" t="s">
        <v>567</v>
      </c>
      <c r="CR6" s="102" t="s">
        <v>567</v>
      </c>
      <c r="CS6" s="102" t="s">
        <v>567</v>
      </c>
      <c r="CT6" s="102" t="s">
        <v>567</v>
      </c>
      <c r="CU6" s="102" t="s">
        <v>567</v>
      </c>
      <c r="CV6" s="102" t="s">
        <v>567</v>
      </c>
      <c r="CW6" s="102" t="s">
        <v>567</v>
      </c>
      <c r="CX6" s="102" t="s">
        <v>567</v>
      </c>
      <c r="CY6" s="177" t="s">
        <v>567</v>
      </c>
      <c r="CZ6" s="102" t="s">
        <v>567</v>
      </c>
      <c r="DA6" s="102" t="s">
        <v>567</v>
      </c>
      <c r="DB6" s="102" t="s">
        <v>567</v>
      </c>
      <c r="DC6" s="102" t="s">
        <v>567</v>
      </c>
      <c r="DD6" s="102" t="s">
        <v>567</v>
      </c>
      <c r="DE6" s="102" t="s">
        <v>567</v>
      </c>
      <c r="DF6" s="102" t="s">
        <v>567</v>
      </c>
      <c r="DG6" s="102" t="s">
        <v>567</v>
      </c>
      <c r="DH6" s="102" t="s">
        <v>567</v>
      </c>
      <c r="DI6" s="102" t="s">
        <v>567</v>
      </c>
      <c r="DJ6" s="102" t="s">
        <v>567</v>
      </c>
      <c r="DK6" s="102" t="s">
        <v>567</v>
      </c>
      <c r="DL6" s="102" t="s">
        <v>567</v>
      </c>
      <c r="DM6" s="102" t="s">
        <v>567</v>
      </c>
      <c r="DN6" s="102" t="s">
        <v>567</v>
      </c>
      <c r="DO6" s="102" t="s">
        <v>567</v>
      </c>
      <c r="DP6" s="102" t="s">
        <v>567</v>
      </c>
      <c r="DQ6" s="102" t="s">
        <v>567</v>
      </c>
      <c r="DR6" s="102" t="s">
        <v>567</v>
      </c>
      <c r="DS6" s="102" t="s">
        <v>567</v>
      </c>
      <c r="DT6" s="102" t="s">
        <v>567</v>
      </c>
      <c r="DU6" s="102" t="s">
        <v>567</v>
      </c>
      <c r="DV6" s="102" t="s">
        <v>567</v>
      </c>
      <c r="DW6" s="102" t="s">
        <v>567</v>
      </c>
      <c r="DX6" s="109" t="s">
        <v>594</v>
      </c>
      <c r="DY6" s="31" t="s">
        <v>61</v>
      </c>
      <c r="DZ6" s="31" t="s">
        <v>61</v>
      </c>
      <c r="EA6" s="31" t="s">
        <v>61</v>
      </c>
      <c r="EB6" s="31" t="s">
        <v>61</v>
      </c>
      <c r="EC6" s="31" t="s">
        <v>61</v>
      </c>
      <c r="ED6" s="31" t="s">
        <v>61</v>
      </c>
      <c r="EE6" s="31" t="s">
        <v>61</v>
      </c>
      <c r="EF6" s="31" t="s">
        <v>61</v>
      </c>
      <c r="EG6" s="31" t="s">
        <v>61</v>
      </c>
      <c r="EH6" s="31" t="s">
        <v>61</v>
      </c>
      <c r="EI6" s="31" t="s">
        <v>61</v>
      </c>
      <c r="EJ6" s="31" t="s">
        <v>61</v>
      </c>
      <c r="EK6" s="102" t="s">
        <v>61</v>
      </c>
      <c r="EL6" s="56"/>
      <c r="EM6" s="56"/>
      <c r="EN6" s="56"/>
      <c r="EO6" s="265"/>
      <c r="EP6" s="102" t="s">
        <v>61</v>
      </c>
      <c r="EQ6" t="s">
        <v>628</v>
      </c>
      <c r="ER6" s="260" t="s">
        <v>639</v>
      </c>
      <c r="ES6" t="str">
        <f>BX6</f>
        <v>Ce/(Ce+La)</v>
      </c>
      <c r="ET6" t="str">
        <f>BV6</f>
        <v>Average (cm)</v>
      </c>
      <c r="EU6" s="260" t="s">
        <v>640</v>
      </c>
      <c r="EV6" s="326" t="s">
        <v>641</v>
      </c>
      <c r="EW6"/>
      <c r="EX6" s="260" t="s">
        <v>657</v>
      </c>
      <c r="EY6"/>
      <c r="EZ6"/>
      <c r="FA6"/>
      <c r="FB6"/>
      <c r="FC6"/>
      <c r="FD6"/>
    </row>
    <row r="7" spans="1:160" s="48" customFormat="1" ht="13" customHeight="1" x14ac:dyDescent="0.2">
      <c r="A7" s="65" t="s">
        <v>67</v>
      </c>
      <c r="B7" s="66" t="s">
        <v>421</v>
      </c>
      <c r="C7" s="274">
        <f>184.7-F7/100</f>
        <v>184.63499999999999</v>
      </c>
      <c r="D7" s="67">
        <v>0</v>
      </c>
      <c r="E7" s="67">
        <v>13</v>
      </c>
      <c r="F7" s="67">
        <f t="shared" ref="F7:F70" si="4">AVERAGE(D7:E7)</f>
        <v>6.5</v>
      </c>
      <c r="G7" s="82" t="s">
        <v>511</v>
      </c>
      <c r="H7" s="84" t="s">
        <v>616</v>
      </c>
      <c r="I7" s="85">
        <v>12.54</v>
      </c>
      <c r="J7" s="85">
        <v>20.85</v>
      </c>
      <c r="K7" s="89">
        <f>L7*L7/(N7*M7*M7*M7)</f>
        <v>3.8878467222757226E-4</v>
      </c>
      <c r="L7" s="67">
        <v>127</v>
      </c>
      <c r="M7" s="67">
        <v>87</v>
      </c>
      <c r="N7" s="67">
        <v>63</v>
      </c>
      <c r="O7" s="68">
        <v>77.02</v>
      </c>
      <c r="P7" s="68">
        <v>9.65</v>
      </c>
      <c r="Q7" s="68">
        <v>4.25</v>
      </c>
      <c r="R7" s="68">
        <v>3.5999999999999997E-2</v>
      </c>
      <c r="S7" s="68">
        <v>0.1</v>
      </c>
      <c r="T7" s="68">
        <v>0.12</v>
      </c>
      <c r="U7" s="68">
        <v>0.06</v>
      </c>
      <c r="V7" s="68">
        <v>0.28000000000000003</v>
      </c>
      <c r="W7" s="68">
        <v>0.58799999999999997</v>
      </c>
      <c r="X7" s="68">
        <v>0.09</v>
      </c>
      <c r="Y7" s="68">
        <v>7.26</v>
      </c>
      <c r="Z7" s="68">
        <v>99.46</v>
      </c>
      <c r="AA7" s="68">
        <v>8</v>
      </c>
      <c r="AB7" s="68">
        <v>0</v>
      </c>
      <c r="AC7" s="68">
        <v>61</v>
      </c>
      <c r="AD7" s="68">
        <v>40</v>
      </c>
      <c r="AE7" s="68">
        <v>9</v>
      </c>
      <c r="AF7" s="68">
        <v>0</v>
      </c>
      <c r="AG7" s="68">
        <v>30</v>
      </c>
      <c r="AH7" s="68">
        <v>0</v>
      </c>
      <c r="AI7" s="68">
        <v>12</v>
      </c>
      <c r="AJ7" s="68">
        <v>1</v>
      </c>
      <c r="AK7" s="68">
        <v>0</v>
      </c>
      <c r="AL7" s="68">
        <v>15</v>
      </c>
      <c r="AM7" s="68">
        <v>33</v>
      </c>
      <c r="AN7" s="68">
        <v>7</v>
      </c>
      <c r="AO7" s="68">
        <v>452</v>
      </c>
      <c r="AP7" s="68">
        <v>6</v>
      </c>
      <c r="AQ7" s="68" t="s">
        <v>72</v>
      </c>
      <c r="AR7" s="68">
        <v>1.2</v>
      </c>
      <c r="AS7" s="68" t="s">
        <v>73</v>
      </c>
      <c r="AT7" s="68">
        <v>12</v>
      </c>
      <c r="AU7" s="68" t="s">
        <v>74</v>
      </c>
      <c r="AV7" s="68">
        <v>1</v>
      </c>
      <c r="AW7" s="68">
        <v>131</v>
      </c>
      <c r="AX7" s="68" t="s">
        <v>75</v>
      </c>
      <c r="AY7" s="68">
        <v>7.9</v>
      </c>
      <c r="AZ7" s="68">
        <v>15.3</v>
      </c>
      <c r="BA7" s="68">
        <v>1.65</v>
      </c>
      <c r="BB7" s="68">
        <v>5.4</v>
      </c>
      <c r="BC7" s="68">
        <v>1.2</v>
      </c>
      <c r="BD7" s="68">
        <v>0.27</v>
      </c>
      <c r="BE7" s="68">
        <v>1.1000000000000001</v>
      </c>
      <c r="BF7" s="68">
        <v>0.2</v>
      </c>
      <c r="BG7" s="68">
        <v>1.2</v>
      </c>
      <c r="BH7" s="68">
        <v>0.3</v>
      </c>
      <c r="BI7" s="68">
        <v>0.8</v>
      </c>
      <c r="BJ7" s="68">
        <v>0.12</v>
      </c>
      <c r="BK7" s="68">
        <v>0.9</v>
      </c>
      <c r="BL7" s="68">
        <v>0.17</v>
      </c>
      <c r="BM7" s="68">
        <v>9.8000000000000007</v>
      </c>
      <c r="BN7" s="68">
        <v>0.7</v>
      </c>
      <c r="BO7" s="68">
        <v>0</v>
      </c>
      <c r="BP7" s="68">
        <v>0.2</v>
      </c>
      <c r="BQ7" s="68">
        <v>12</v>
      </c>
      <c r="BR7" s="68">
        <v>4.8</v>
      </c>
      <c r="BS7" s="68">
        <v>1.8</v>
      </c>
      <c r="BT7" s="69">
        <f t="shared" ref="BT7:BT70" si="5">AZ7/(AY7+AZ7)</f>
        <v>0.65948275862068961</v>
      </c>
      <c r="BU7" s="117">
        <f t="shared" ref="BU7:BU70" si="6">SUM(AY7:BL7)</f>
        <v>36.51</v>
      </c>
      <c r="BV7" s="48">
        <f t="shared" ref="BV7:BV70" si="7">F7</f>
        <v>6.5</v>
      </c>
      <c r="BW7" s="70">
        <f t="shared" ref="BW7:BW70" si="8">100*P7/(P7+T7+U7+V7)</f>
        <v>95.450049455984185</v>
      </c>
      <c r="BX7" s="69">
        <f>AZ7/(AZ7+AY7)</f>
        <v>0.65948275862068961</v>
      </c>
      <c r="BY7" s="69">
        <v>10.37</v>
      </c>
      <c r="BZ7" s="69">
        <v>1.97</v>
      </c>
      <c r="CA7" s="69">
        <v>60.55</v>
      </c>
      <c r="CB7" s="69">
        <v>1.0395999999999999</v>
      </c>
      <c r="CC7" s="69">
        <v>9.0399999999999994E-2</v>
      </c>
      <c r="CD7" s="69">
        <v>0</v>
      </c>
      <c r="CE7" s="69">
        <v>0</v>
      </c>
      <c r="CF7" s="69">
        <v>0</v>
      </c>
      <c r="CG7" s="69">
        <v>1.2</v>
      </c>
      <c r="CH7" s="69">
        <v>0.27</v>
      </c>
      <c r="CI7" s="69">
        <v>0.14000000000000001</v>
      </c>
      <c r="CJ7" s="69">
        <v>0.03</v>
      </c>
      <c r="CK7" s="69">
        <v>8.2899999999999991</v>
      </c>
      <c r="CL7" s="69">
        <v>13.78</v>
      </c>
      <c r="CM7" s="69">
        <v>1.62</v>
      </c>
      <c r="CN7" s="69">
        <v>0</v>
      </c>
      <c r="CO7" s="69">
        <v>0.02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117">
        <v>99.36999999999999</v>
      </c>
      <c r="CZ7" s="283">
        <v>0.69573710214868423</v>
      </c>
      <c r="DA7" s="283">
        <v>1.1945306216247268E-2</v>
      </c>
      <c r="DB7" s="283">
        <v>1.0387222796736754E-3</v>
      </c>
      <c r="DC7" s="283">
        <v>0</v>
      </c>
      <c r="DD7" s="283">
        <v>0</v>
      </c>
      <c r="DE7" s="283">
        <v>0</v>
      </c>
      <c r="DF7" s="283">
        <v>1.3788348845225781E-2</v>
      </c>
      <c r="DG7" s="283">
        <v>3.1023784901758012E-3</v>
      </c>
      <c r="DH7" s="283">
        <v>1.6086406986096746E-3</v>
      </c>
      <c r="DI7" s="283">
        <v>3.4470872113064456E-4</v>
      </c>
      <c r="DJ7" s="283">
        <v>9.5254509939101437E-2</v>
      </c>
      <c r="DK7" s="283">
        <v>0.15833620590600939</v>
      </c>
      <c r="DL7" s="283">
        <v>1.8614270941054806E-2</v>
      </c>
      <c r="DM7" s="283">
        <v>0</v>
      </c>
      <c r="DN7" s="283">
        <v>2.2980581408709637E-4</v>
      </c>
      <c r="DO7" s="283">
        <v>0</v>
      </c>
      <c r="DP7" s="283">
        <v>0</v>
      </c>
      <c r="DQ7" s="283">
        <v>0</v>
      </c>
      <c r="DR7" s="283">
        <v>0</v>
      </c>
      <c r="DS7" s="283">
        <v>0</v>
      </c>
      <c r="DT7" s="283">
        <v>0</v>
      </c>
      <c r="DU7" s="283">
        <v>0</v>
      </c>
      <c r="DV7" s="283">
        <v>0</v>
      </c>
      <c r="DW7" s="283">
        <v>0</v>
      </c>
      <c r="DX7" s="69">
        <v>0.99999999999999978</v>
      </c>
      <c r="DY7" s="70">
        <v>82.943701598290289</v>
      </c>
      <c r="DZ7" s="70">
        <v>11.005021800828969</v>
      </c>
      <c r="EA7" s="70">
        <v>1.857532754345401</v>
      </c>
      <c r="EB7" s="70">
        <v>3.5758480596030989E-3</v>
      </c>
      <c r="EC7" s="70">
        <v>0</v>
      </c>
      <c r="ED7" s="70">
        <v>3.9432075899351902E-2</v>
      </c>
      <c r="EE7" s="70">
        <v>2.7561094716876056E-2</v>
      </c>
      <c r="EF7" s="70">
        <v>1.2280167644713387E-2</v>
      </c>
      <c r="EG7" s="70">
        <v>0.27677754123377918</v>
      </c>
      <c r="EH7" s="70">
        <v>4.9621271624118409E-4</v>
      </c>
      <c r="EI7" s="70">
        <v>0</v>
      </c>
      <c r="EJ7" s="70">
        <v>3.8171686356796157</v>
      </c>
      <c r="EK7" s="70">
        <v>1.6452270585154805E-2</v>
      </c>
      <c r="EL7" s="70">
        <v>99.999999999999986</v>
      </c>
      <c r="EM7" s="69">
        <v>97.203419410154751</v>
      </c>
      <c r="EN7" s="69" t="s">
        <v>67</v>
      </c>
      <c r="EO7" s="287">
        <v>1.8614304287303683E-2</v>
      </c>
      <c r="EP7" s="257">
        <f>EO7*100</f>
        <v>1.8614304287303682</v>
      </c>
      <c r="EQ7" s="257">
        <f>100*(DJ7+DH7+DG7+DF7+DK7+DP7)/(DJ7+DH7+DG7+DF7+DO7+DN7+DM7+DE7+DC7+DR7+DB7+DA7+DK7+DP7)</f>
        <v>95.368505839710025</v>
      </c>
      <c r="ER7" s="324">
        <f>BD7/(BD7+BB7)</f>
        <v>4.7619047619047623E-2</v>
      </c>
      <c r="ES7" s="257">
        <f t="shared" ref="ES7:ES70" si="9">BX7</f>
        <v>0.65948275862068961</v>
      </c>
      <c r="ET7">
        <f t="shared" ref="ET7:ET70" si="10">BV7</f>
        <v>6.5</v>
      </c>
      <c r="EU7" s="324">
        <f>ER7/ES7</f>
        <v>7.2206660441954576E-2</v>
      </c>
      <c r="EV7" s="39">
        <f>C7</f>
        <v>184.63499999999999</v>
      </c>
      <c r="EW7"/>
      <c r="EX7">
        <f>AN7/BH7</f>
        <v>23.333333333333336</v>
      </c>
      <c r="EY7"/>
      <c r="EZ7"/>
      <c r="FA7"/>
      <c r="FB7"/>
      <c r="FC7"/>
      <c r="FD7"/>
    </row>
    <row r="8" spans="1:160" s="48" customFormat="1" ht="13" customHeight="1" x14ac:dyDescent="0.2">
      <c r="A8" s="65" t="s">
        <v>76</v>
      </c>
      <c r="B8" s="66" t="s">
        <v>421</v>
      </c>
      <c r="C8" s="274">
        <f t="shared" ref="C8:C15" si="11">184.7-F8/100</f>
        <v>184.23499999999999</v>
      </c>
      <c r="D8" s="67">
        <v>13</v>
      </c>
      <c r="E8" s="67">
        <v>80</v>
      </c>
      <c r="F8" s="67">
        <f t="shared" si="4"/>
        <v>46.5</v>
      </c>
      <c r="G8" s="82" t="s">
        <v>512</v>
      </c>
      <c r="H8" s="84" t="s">
        <v>610</v>
      </c>
      <c r="I8" s="85">
        <v>4</v>
      </c>
      <c r="J8" s="85">
        <v>6</v>
      </c>
      <c r="K8" s="89">
        <f t="shared" ref="K8:K25" si="12">H8*I8/J8</f>
        <v>6.666666666666667</v>
      </c>
      <c r="L8" s="67">
        <v>142</v>
      </c>
      <c r="M8" s="67">
        <v>79</v>
      </c>
      <c r="N8" s="67">
        <v>62</v>
      </c>
      <c r="O8" s="68">
        <v>52.35</v>
      </c>
      <c r="P8" s="68">
        <v>24.28</v>
      </c>
      <c r="Q8" s="68">
        <v>9.65</v>
      </c>
      <c r="R8" s="68">
        <v>2.5000000000000001E-2</v>
      </c>
      <c r="S8" s="68">
        <v>0.16</v>
      </c>
      <c r="T8" s="68">
        <v>0.05</v>
      </c>
      <c r="U8" s="68">
        <v>0.03</v>
      </c>
      <c r="V8" s="68">
        <v>0.14000000000000001</v>
      </c>
      <c r="W8" s="68">
        <v>0.85199999999999998</v>
      </c>
      <c r="X8" s="68">
        <v>0.04</v>
      </c>
      <c r="Y8" s="68">
        <v>11.96</v>
      </c>
      <c r="Z8" s="68">
        <v>99.52</v>
      </c>
      <c r="AA8" s="68">
        <v>22</v>
      </c>
      <c r="AB8" s="68">
        <v>2</v>
      </c>
      <c r="AC8" s="68">
        <v>141</v>
      </c>
      <c r="AD8" s="68">
        <v>40</v>
      </c>
      <c r="AE8" s="68">
        <v>6</v>
      </c>
      <c r="AF8" s="68">
        <v>20</v>
      </c>
      <c r="AG8" s="68">
        <v>60</v>
      </c>
      <c r="AH8" s="68">
        <v>50</v>
      </c>
      <c r="AI8" s="68">
        <v>31</v>
      </c>
      <c r="AJ8" s="68">
        <v>2</v>
      </c>
      <c r="AK8" s="68">
        <v>5</v>
      </c>
      <c r="AL8" s="68">
        <v>17</v>
      </c>
      <c r="AM8" s="68">
        <v>16</v>
      </c>
      <c r="AN8" s="68">
        <v>7</v>
      </c>
      <c r="AO8" s="68">
        <v>138</v>
      </c>
      <c r="AP8" s="68">
        <v>11</v>
      </c>
      <c r="AQ8" s="68" t="s">
        <v>72</v>
      </c>
      <c r="AR8" s="68" t="s">
        <v>74</v>
      </c>
      <c r="AS8" s="68" t="s">
        <v>73</v>
      </c>
      <c r="AT8" s="68">
        <v>23</v>
      </c>
      <c r="AU8" s="68" t="s">
        <v>74</v>
      </c>
      <c r="AV8" s="68">
        <v>1.4</v>
      </c>
      <c r="AW8" s="68">
        <v>54</v>
      </c>
      <c r="AX8" s="68">
        <v>0.7</v>
      </c>
      <c r="AY8" s="68">
        <v>11.4</v>
      </c>
      <c r="AZ8" s="68">
        <v>24.9</v>
      </c>
      <c r="BA8" s="68">
        <v>2.4900000000000002</v>
      </c>
      <c r="BB8" s="68">
        <v>8.9</v>
      </c>
      <c r="BC8" s="68">
        <v>1.7</v>
      </c>
      <c r="BD8" s="68">
        <v>0.44</v>
      </c>
      <c r="BE8" s="68">
        <v>1.4</v>
      </c>
      <c r="BF8" s="68">
        <v>0.2</v>
      </c>
      <c r="BG8" s="68">
        <v>1.4</v>
      </c>
      <c r="BH8" s="68">
        <v>0.3</v>
      </c>
      <c r="BI8" s="68">
        <v>0.9</v>
      </c>
      <c r="BJ8" s="68">
        <v>0.14000000000000001</v>
      </c>
      <c r="BK8" s="68">
        <v>0.9</v>
      </c>
      <c r="BL8" s="68">
        <v>0.16</v>
      </c>
      <c r="BM8" s="68">
        <v>3.2</v>
      </c>
      <c r="BN8" s="68">
        <v>0.7</v>
      </c>
      <c r="BO8" s="68">
        <v>2</v>
      </c>
      <c r="BP8" s="68">
        <v>0.2</v>
      </c>
      <c r="BQ8" s="68">
        <v>12</v>
      </c>
      <c r="BR8" s="68">
        <v>9</v>
      </c>
      <c r="BS8" s="68">
        <v>1.6</v>
      </c>
      <c r="BT8" s="69">
        <f t="shared" si="5"/>
        <v>0.68595041322314054</v>
      </c>
      <c r="BU8" s="117">
        <f t="shared" si="6"/>
        <v>55.22999999999999</v>
      </c>
      <c r="BV8" s="48">
        <f t="shared" si="7"/>
        <v>46.5</v>
      </c>
      <c r="BW8" s="70">
        <f t="shared" si="8"/>
        <v>99.102040816326522</v>
      </c>
      <c r="BX8" s="69">
        <f t="shared" ref="BX8:BX71" si="13">AZ8/(AZ8+AY8)</f>
        <v>0.68595041322314054</v>
      </c>
      <c r="BY8" s="69">
        <v>8.59</v>
      </c>
      <c r="BZ8" s="69">
        <v>0.63</v>
      </c>
      <c r="CA8" s="69">
        <v>19.95</v>
      </c>
      <c r="CB8" s="69">
        <v>1.2420000000000002</v>
      </c>
      <c r="CC8" s="69">
        <v>0.10800000000000001</v>
      </c>
      <c r="CD8" s="69">
        <v>0</v>
      </c>
      <c r="CE8" s="69">
        <v>0</v>
      </c>
      <c r="CF8" s="69">
        <v>0</v>
      </c>
      <c r="CG8" s="69">
        <v>2.1800000000000002</v>
      </c>
      <c r="CH8" s="69">
        <v>0.48</v>
      </c>
      <c r="CI8" s="69">
        <v>0.15</v>
      </c>
      <c r="CJ8" s="69">
        <v>0</v>
      </c>
      <c r="CK8" s="69">
        <v>25.96</v>
      </c>
      <c r="CL8" s="69">
        <v>38.17</v>
      </c>
      <c r="CM8" s="69">
        <v>2.4500000000000002</v>
      </c>
      <c r="CN8" s="69">
        <v>0</v>
      </c>
      <c r="CO8" s="69">
        <v>0.1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117">
        <v>100.01</v>
      </c>
      <c r="CZ8" s="283">
        <v>0.21973785659213568</v>
      </c>
      <c r="DA8" s="283">
        <v>1.3679920696111908E-2</v>
      </c>
      <c r="DB8" s="283">
        <v>1.1895583214010354E-3</v>
      </c>
      <c r="DC8" s="283">
        <v>0</v>
      </c>
      <c r="DD8" s="283">
        <v>0</v>
      </c>
      <c r="DE8" s="283">
        <v>0</v>
      </c>
      <c r="DF8" s="283">
        <v>2.4011455006057936E-2</v>
      </c>
      <c r="DG8" s="283">
        <v>5.2869258728934897E-3</v>
      </c>
      <c r="DH8" s="283">
        <v>1.6521643352792157E-3</v>
      </c>
      <c r="DI8" s="283">
        <v>0</v>
      </c>
      <c r="DJ8" s="283">
        <v>0.28593457429232294</v>
      </c>
      <c r="DK8" s="283">
        <v>0.42042075118405109</v>
      </c>
      <c r="DL8" s="283">
        <v>2.6985350809560524E-2</v>
      </c>
      <c r="DM8" s="283">
        <v>0</v>
      </c>
      <c r="DN8" s="283">
        <v>1.1014428901861438E-3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v>0</v>
      </c>
      <c r="DV8" s="283">
        <v>0</v>
      </c>
      <c r="DW8" s="283">
        <v>0</v>
      </c>
      <c r="DX8" s="69">
        <v>0.99999999999999989</v>
      </c>
      <c r="DY8" s="70">
        <v>56.855404981987832</v>
      </c>
      <c r="DZ8" s="70">
        <v>29.067903123349716</v>
      </c>
      <c r="EA8" s="70">
        <v>3.388542865864816</v>
      </c>
      <c r="EB8" s="70">
        <v>1.7138784922747972E-2</v>
      </c>
      <c r="EC8" s="70">
        <v>0</v>
      </c>
      <c r="ED8" s="70">
        <v>5.050225482120408E-2</v>
      </c>
      <c r="EE8" s="70">
        <v>2.486243147479247E-2</v>
      </c>
      <c r="EF8" s="70">
        <v>1.40634083776058E-2</v>
      </c>
      <c r="EG8" s="70">
        <v>0.34386402315127118</v>
      </c>
      <c r="EH8" s="70">
        <v>2.3783121871610454E-3</v>
      </c>
      <c r="EI8" s="70">
        <v>0</v>
      </c>
      <c r="EJ8" s="70">
        <v>10.235339813862856</v>
      </c>
      <c r="EK8" s="70">
        <v>0</v>
      </c>
      <c r="EL8" s="70">
        <v>100</v>
      </c>
      <c r="EM8" s="69">
        <v>98.70023478503191</v>
      </c>
      <c r="EN8" s="69" t="s">
        <v>76</v>
      </c>
      <c r="EO8" s="287">
        <v>3.4072241414306113E-2</v>
      </c>
      <c r="EP8" s="257">
        <f t="shared" ref="EP8:EP71" si="14">EO8*100</f>
        <v>3.4072241414306115</v>
      </c>
      <c r="EQ8" s="257">
        <f t="shared" ref="EQ8:EQ71" si="15">100*(DJ8+DH8+DG8+DF8+DK8+DP8)/(DJ8+DH8+DG8+DF8+DO8+DN8+DM8+DE8+DC8+DR8+DB8+DA8+DK8+DP8)</f>
        <v>97.879806989325928</v>
      </c>
      <c r="ER8" s="324">
        <f t="shared" ref="ER8:ER71" si="16">BD8/(BD8+BB8)</f>
        <v>4.7109207708779445E-2</v>
      </c>
      <c r="ES8" s="257">
        <f t="shared" si="9"/>
        <v>0.68595041322314054</v>
      </c>
      <c r="ET8">
        <f t="shared" si="10"/>
        <v>46.5</v>
      </c>
      <c r="EU8" s="324">
        <f t="shared" ref="EU8:EU71" si="17">ER8/ES8</f>
        <v>6.8677278707979669E-2</v>
      </c>
      <c r="EV8" s="39">
        <f t="shared" ref="EV8:EV71" si="18">C8</f>
        <v>184.23499999999999</v>
      </c>
      <c r="EW8"/>
      <c r="EX8">
        <f t="shared" ref="EX8:EX71" si="19">AN8/BH8</f>
        <v>23.333333333333336</v>
      </c>
      <c r="EY8"/>
      <c r="EZ8"/>
      <c r="FA8"/>
      <c r="FB8"/>
      <c r="FC8"/>
      <c r="FD8"/>
    </row>
    <row r="9" spans="1:160" s="48" customFormat="1" ht="13" customHeight="1" x14ac:dyDescent="0.2">
      <c r="A9" s="65" t="s">
        <v>77</v>
      </c>
      <c r="B9" s="66" t="s">
        <v>421</v>
      </c>
      <c r="C9" s="274">
        <f t="shared" si="11"/>
        <v>183.73499999999999</v>
      </c>
      <c r="D9" s="67">
        <v>80</v>
      </c>
      <c r="E9" s="67">
        <v>113</v>
      </c>
      <c r="F9" s="67">
        <f t="shared" si="4"/>
        <v>96.5</v>
      </c>
      <c r="G9" s="82" t="s">
        <v>512</v>
      </c>
      <c r="H9" s="84">
        <v>10</v>
      </c>
      <c r="I9" s="85">
        <v>4</v>
      </c>
      <c r="J9" s="85">
        <v>6</v>
      </c>
      <c r="K9" s="89">
        <f t="shared" si="12"/>
        <v>6.666666666666667</v>
      </c>
      <c r="L9" s="67">
        <v>142</v>
      </c>
      <c r="M9" s="67">
        <v>79</v>
      </c>
      <c r="N9" s="67">
        <v>62</v>
      </c>
      <c r="O9" s="68">
        <v>48.23</v>
      </c>
      <c r="P9" s="68">
        <v>25.46</v>
      </c>
      <c r="Q9" s="68">
        <v>11.92</v>
      </c>
      <c r="R9" s="68">
        <v>3.2000000000000001E-2</v>
      </c>
      <c r="S9" s="68">
        <v>0.19</v>
      </c>
      <c r="T9" s="68">
        <v>0.03</v>
      </c>
      <c r="U9" s="68">
        <v>0.04</v>
      </c>
      <c r="V9" s="68">
        <v>0.13</v>
      </c>
      <c r="W9" s="68">
        <v>1.079</v>
      </c>
      <c r="X9" s="68">
        <v>7.0000000000000007E-2</v>
      </c>
      <c r="Y9" s="68">
        <v>12.44</v>
      </c>
      <c r="Z9" s="68">
        <v>99.62</v>
      </c>
      <c r="AA9" s="68">
        <v>35</v>
      </c>
      <c r="AB9" s="68">
        <v>2</v>
      </c>
      <c r="AC9" s="68">
        <v>163</v>
      </c>
      <c r="AD9" s="68">
        <v>40</v>
      </c>
      <c r="AE9" s="68">
        <v>5</v>
      </c>
      <c r="AF9" s="68">
        <v>0</v>
      </c>
      <c r="AG9" s="68">
        <v>60</v>
      </c>
      <c r="AH9" s="68">
        <v>40</v>
      </c>
      <c r="AI9" s="68">
        <v>30</v>
      </c>
      <c r="AJ9" s="68">
        <v>2</v>
      </c>
      <c r="AK9" s="68">
        <v>0</v>
      </c>
      <c r="AL9" s="68">
        <v>14</v>
      </c>
      <c r="AM9" s="68">
        <v>10</v>
      </c>
      <c r="AN9" s="68">
        <v>10</v>
      </c>
      <c r="AO9" s="68">
        <v>144</v>
      </c>
      <c r="AP9" s="68">
        <v>8</v>
      </c>
      <c r="AQ9" s="68" t="s">
        <v>72</v>
      </c>
      <c r="AR9" s="68" t="s">
        <v>74</v>
      </c>
      <c r="AS9" s="68" t="s">
        <v>73</v>
      </c>
      <c r="AT9" s="68">
        <v>15</v>
      </c>
      <c r="AU9" s="68">
        <v>1.4</v>
      </c>
      <c r="AV9" s="68">
        <v>1.2</v>
      </c>
      <c r="AW9" s="68">
        <v>45</v>
      </c>
      <c r="AX9" s="68" t="s">
        <v>75</v>
      </c>
      <c r="AY9" s="68">
        <v>12.2</v>
      </c>
      <c r="AZ9" s="68">
        <v>31.7</v>
      </c>
      <c r="BA9" s="68">
        <v>3.31</v>
      </c>
      <c r="BB9" s="68">
        <v>12.8</v>
      </c>
      <c r="BC9" s="68">
        <v>2.5</v>
      </c>
      <c r="BD9" s="68">
        <v>0.65</v>
      </c>
      <c r="BE9" s="68">
        <v>2.1</v>
      </c>
      <c r="BF9" s="68">
        <v>0.3</v>
      </c>
      <c r="BG9" s="68">
        <v>1.9</v>
      </c>
      <c r="BH9" s="68">
        <v>0.4</v>
      </c>
      <c r="BI9" s="68">
        <v>1.1000000000000001</v>
      </c>
      <c r="BJ9" s="68">
        <v>0.18</v>
      </c>
      <c r="BK9" s="68">
        <v>1.3</v>
      </c>
      <c r="BL9" s="68">
        <v>0.2</v>
      </c>
      <c r="BM9" s="68">
        <v>3.6</v>
      </c>
      <c r="BN9" s="68">
        <v>0.5</v>
      </c>
      <c r="BO9" s="68">
        <v>2</v>
      </c>
      <c r="BP9" s="68">
        <v>0.2</v>
      </c>
      <c r="BQ9" s="68">
        <v>15</v>
      </c>
      <c r="BR9" s="68">
        <v>6.6</v>
      </c>
      <c r="BS9" s="68">
        <v>1.7</v>
      </c>
      <c r="BT9" s="69">
        <f t="shared" si="5"/>
        <v>0.72209567198177682</v>
      </c>
      <c r="BU9" s="117">
        <f t="shared" si="6"/>
        <v>70.640000000000015</v>
      </c>
      <c r="BV9" s="48">
        <f t="shared" si="7"/>
        <v>96.5</v>
      </c>
      <c r="BW9" s="70">
        <f t="shared" si="8"/>
        <v>99.220576773187844</v>
      </c>
      <c r="BX9" s="69">
        <f t="shared" si="13"/>
        <v>0.72209567198177682</v>
      </c>
      <c r="BY9" s="69">
        <v>9.92</v>
      </c>
      <c r="BZ9" s="69">
        <v>0.05</v>
      </c>
      <c r="CA9" s="69">
        <v>12.84</v>
      </c>
      <c r="CB9" s="69">
        <v>0.92</v>
      </c>
      <c r="CC9" s="69">
        <v>0.08</v>
      </c>
      <c r="CD9" s="69">
        <v>0</v>
      </c>
      <c r="CE9" s="69">
        <v>0</v>
      </c>
      <c r="CF9" s="69">
        <v>0</v>
      </c>
      <c r="CG9" s="69">
        <v>1.85</v>
      </c>
      <c r="CH9" s="69">
        <v>2.0299999999999998</v>
      </c>
      <c r="CI9" s="69">
        <v>0</v>
      </c>
      <c r="CJ9" s="69">
        <v>0</v>
      </c>
      <c r="CK9" s="69">
        <v>27.14</v>
      </c>
      <c r="CL9" s="69">
        <v>42.54</v>
      </c>
      <c r="CM9" s="69">
        <v>2.48</v>
      </c>
      <c r="CN9" s="69">
        <v>0</v>
      </c>
      <c r="CO9" s="69">
        <v>0.16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117">
        <v>100.01</v>
      </c>
      <c r="CZ9" s="283">
        <v>0.14260328742780984</v>
      </c>
      <c r="DA9" s="283">
        <v>1.0217681030653044E-2</v>
      </c>
      <c r="DB9" s="283">
        <v>8.8849400266548197E-4</v>
      </c>
      <c r="DC9" s="283">
        <v>0</v>
      </c>
      <c r="DD9" s="283">
        <v>0</v>
      </c>
      <c r="DE9" s="283">
        <v>0</v>
      </c>
      <c r="DF9" s="283">
        <v>2.0546423811639271E-2</v>
      </c>
      <c r="DG9" s="283">
        <v>2.2545535317636603E-2</v>
      </c>
      <c r="DH9" s="283">
        <v>0</v>
      </c>
      <c r="DI9" s="283">
        <v>0</v>
      </c>
      <c r="DJ9" s="283">
        <v>0.30142159040426475</v>
      </c>
      <c r="DK9" s="283">
        <v>0.47245668591737</v>
      </c>
      <c r="DL9" s="283">
        <v>2.754331408262994E-2</v>
      </c>
      <c r="DM9" s="283">
        <v>0</v>
      </c>
      <c r="DN9" s="283">
        <v>1.7769880053309639E-3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v>0</v>
      </c>
      <c r="DV9" s="283">
        <v>0</v>
      </c>
      <c r="DW9" s="283">
        <v>0</v>
      </c>
      <c r="DX9" s="69">
        <v>0.99999999999999978</v>
      </c>
      <c r="DY9" s="70">
        <v>52.085384571241697</v>
      </c>
      <c r="DZ9" s="70">
        <v>31.681567616614142</v>
      </c>
      <c r="EA9" s="70">
        <v>4.5108392662280981</v>
      </c>
      <c r="EB9" s="70">
        <v>2.7650471490649291E-2</v>
      </c>
      <c r="EC9" s="70">
        <v>0</v>
      </c>
      <c r="ED9" s="70">
        <v>5.5165739479221695E-2</v>
      </c>
      <c r="EE9" s="70">
        <v>2.546643352023201E-2</v>
      </c>
      <c r="EF9" s="70">
        <v>1.0504112136193218E-2</v>
      </c>
      <c r="EG9" s="70">
        <v>0.29113821399054868</v>
      </c>
      <c r="EH9" s="70">
        <v>3.8369962411790551E-3</v>
      </c>
      <c r="EI9" s="70">
        <v>0</v>
      </c>
      <c r="EJ9" s="70">
        <v>11.308446579058023</v>
      </c>
      <c r="EK9" s="70">
        <v>0</v>
      </c>
      <c r="EL9" s="70">
        <v>99.999999999999972</v>
      </c>
      <c r="EM9" s="69">
        <v>98.978062211002353</v>
      </c>
      <c r="EN9" s="69" t="s">
        <v>77</v>
      </c>
      <c r="EO9" s="287">
        <v>4.5409782801529054E-2</v>
      </c>
      <c r="EP9" s="257">
        <f t="shared" si="14"/>
        <v>4.5409782801529053</v>
      </c>
      <c r="EQ9" s="257">
        <f t="shared" si="15"/>
        <v>98.447537473233382</v>
      </c>
      <c r="ER9" s="324">
        <f t="shared" si="16"/>
        <v>4.8327137546468397E-2</v>
      </c>
      <c r="ES9" s="257">
        <f t="shared" si="9"/>
        <v>0.72209567198177682</v>
      </c>
      <c r="ET9">
        <f t="shared" si="10"/>
        <v>96.5</v>
      </c>
      <c r="EU9" s="324">
        <f t="shared" si="17"/>
        <v>6.6926225182648652E-2</v>
      </c>
      <c r="EV9" s="39">
        <f t="shared" si="18"/>
        <v>183.73499999999999</v>
      </c>
      <c r="EW9"/>
      <c r="EX9">
        <f t="shared" si="19"/>
        <v>25</v>
      </c>
      <c r="EY9"/>
      <c r="EZ9"/>
      <c r="FA9"/>
      <c r="FB9"/>
      <c r="FC9"/>
      <c r="FD9"/>
    </row>
    <row r="10" spans="1:160" s="48" customFormat="1" ht="13" customHeight="1" x14ac:dyDescent="0.2">
      <c r="A10" s="65" t="s">
        <v>78</v>
      </c>
      <c r="B10" s="66" t="s">
        <v>421</v>
      </c>
      <c r="C10" s="274">
        <f t="shared" si="11"/>
        <v>183.23499999999999</v>
      </c>
      <c r="D10" s="67">
        <v>113</v>
      </c>
      <c r="E10" s="67">
        <v>180</v>
      </c>
      <c r="F10" s="67">
        <f t="shared" si="4"/>
        <v>146.5</v>
      </c>
      <c r="G10" s="82" t="s">
        <v>507</v>
      </c>
      <c r="H10" s="84">
        <v>2.5</v>
      </c>
      <c r="I10" s="85">
        <v>4</v>
      </c>
      <c r="J10" s="85">
        <v>6</v>
      </c>
      <c r="K10" s="89">
        <f t="shared" si="12"/>
        <v>1.6666666666666667</v>
      </c>
      <c r="L10" s="67">
        <v>140</v>
      </c>
      <c r="M10" s="67">
        <v>81</v>
      </c>
      <c r="N10" s="67">
        <v>54</v>
      </c>
      <c r="O10" s="68">
        <v>49.28</v>
      </c>
      <c r="P10" s="68">
        <v>23.68</v>
      </c>
      <c r="Q10" s="68">
        <v>12.09</v>
      </c>
      <c r="R10" s="68">
        <v>3.5000000000000003E-2</v>
      </c>
      <c r="S10" s="68">
        <v>0.16</v>
      </c>
      <c r="T10" s="68">
        <v>0.02</v>
      </c>
      <c r="U10" s="68">
        <v>0.04</v>
      </c>
      <c r="V10" s="68">
        <v>0.11</v>
      </c>
      <c r="W10" s="68">
        <v>1.0820000000000001</v>
      </c>
      <c r="X10" s="68">
        <v>7.0000000000000007E-2</v>
      </c>
      <c r="Y10" s="68">
        <v>12.79</v>
      </c>
      <c r="Z10" s="68">
        <v>99.35</v>
      </c>
      <c r="AA10" s="68">
        <v>37</v>
      </c>
      <c r="AB10" s="68">
        <v>2</v>
      </c>
      <c r="AC10" s="68">
        <v>171</v>
      </c>
      <c r="AD10" s="68">
        <v>30</v>
      </c>
      <c r="AE10" s="68">
        <v>6</v>
      </c>
      <c r="AF10" s="68">
        <v>0</v>
      </c>
      <c r="AG10" s="68">
        <v>50</v>
      </c>
      <c r="AH10" s="68">
        <v>40</v>
      </c>
      <c r="AI10" s="68">
        <v>29</v>
      </c>
      <c r="AJ10" s="68">
        <v>2</v>
      </c>
      <c r="AK10" s="68">
        <v>0</v>
      </c>
      <c r="AL10" s="68">
        <v>11</v>
      </c>
      <c r="AM10" s="68">
        <v>3</v>
      </c>
      <c r="AN10" s="68">
        <v>9</v>
      </c>
      <c r="AO10" s="68">
        <v>117</v>
      </c>
      <c r="AP10" s="68">
        <v>6</v>
      </c>
      <c r="AQ10" s="68" t="s">
        <v>72</v>
      </c>
      <c r="AR10" s="68" t="s">
        <v>74</v>
      </c>
      <c r="AS10" s="68" t="s">
        <v>73</v>
      </c>
      <c r="AT10" s="68">
        <v>11</v>
      </c>
      <c r="AU10" s="68">
        <v>0.6</v>
      </c>
      <c r="AV10" s="68">
        <v>0.7</v>
      </c>
      <c r="AW10" s="68">
        <v>32</v>
      </c>
      <c r="AX10" s="68" t="s">
        <v>75</v>
      </c>
      <c r="AY10" s="68">
        <v>12.1</v>
      </c>
      <c r="AZ10" s="68">
        <v>40</v>
      </c>
      <c r="BA10" s="68">
        <v>3.65</v>
      </c>
      <c r="BB10" s="68">
        <v>14.5</v>
      </c>
      <c r="BC10" s="68">
        <v>3.1</v>
      </c>
      <c r="BD10" s="68">
        <v>0.8</v>
      </c>
      <c r="BE10" s="68">
        <v>2.5</v>
      </c>
      <c r="BF10" s="68">
        <v>0.4</v>
      </c>
      <c r="BG10" s="68">
        <v>2.4</v>
      </c>
      <c r="BH10" s="68">
        <v>0.5</v>
      </c>
      <c r="BI10" s="68">
        <v>1.4</v>
      </c>
      <c r="BJ10" s="68">
        <v>0.22</v>
      </c>
      <c r="BK10" s="68">
        <v>1.5</v>
      </c>
      <c r="BL10" s="68">
        <v>0.24</v>
      </c>
      <c r="BM10" s="68">
        <v>3</v>
      </c>
      <c r="BN10" s="68">
        <v>0.4</v>
      </c>
      <c r="BO10" s="68">
        <v>1</v>
      </c>
      <c r="BP10" s="68">
        <v>0</v>
      </c>
      <c r="BQ10" s="68">
        <v>11</v>
      </c>
      <c r="BR10" s="68">
        <v>4.3</v>
      </c>
      <c r="BS10" s="68">
        <v>1.5</v>
      </c>
      <c r="BT10" s="69">
        <f t="shared" si="5"/>
        <v>0.76775431861804222</v>
      </c>
      <c r="BU10" s="117">
        <f t="shared" si="6"/>
        <v>83.31</v>
      </c>
      <c r="BV10" s="48">
        <f t="shared" si="7"/>
        <v>146.5</v>
      </c>
      <c r="BW10" s="70">
        <f t="shared" si="8"/>
        <v>99.28721174004194</v>
      </c>
      <c r="BX10" s="69">
        <f t="shared" si="13"/>
        <v>0.76775431861804222</v>
      </c>
      <c r="BY10" s="69">
        <v>9.8699999999999992</v>
      </c>
      <c r="BZ10" s="69">
        <v>0.61</v>
      </c>
      <c r="CA10" s="69">
        <v>16.43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2.1800000000000002</v>
      </c>
      <c r="CH10" s="69">
        <v>6.38</v>
      </c>
      <c r="CI10" s="69">
        <v>0.04</v>
      </c>
      <c r="CJ10" s="69">
        <v>0</v>
      </c>
      <c r="CK10" s="69">
        <v>1.33</v>
      </c>
      <c r="CL10" s="69">
        <v>55.77</v>
      </c>
      <c r="CM10" s="69">
        <v>5.37</v>
      </c>
      <c r="CN10" s="69">
        <v>0</v>
      </c>
      <c r="CO10" s="69">
        <v>2.0299999999999998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117">
        <v>100.01</v>
      </c>
      <c r="CZ10" s="283">
        <v>0.18351390595331174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v>2.434938009605719E-2</v>
      </c>
      <c r="DG10" s="283">
        <v>7.1261029822405897E-2</v>
      </c>
      <c r="DH10" s="283">
        <v>4.4677761644141629E-4</v>
      </c>
      <c r="DI10" s="283">
        <v>0</v>
      </c>
      <c r="DJ10" s="283">
        <v>1.4855355746677092E-2</v>
      </c>
      <c r="DK10" s="283">
        <v>0.62291969172344464</v>
      </c>
      <c r="DL10" s="283">
        <v>5.9979895007260135E-2</v>
      </c>
      <c r="DM10" s="283">
        <v>0</v>
      </c>
      <c r="DN10" s="283">
        <v>2.2673964034401875E-2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v>0</v>
      </c>
      <c r="DV10" s="283">
        <v>0</v>
      </c>
      <c r="DW10" s="283">
        <v>0</v>
      </c>
      <c r="DX10" s="69">
        <v>0.99999999999999989</v>
      </c>
      <c r="DY10" s="70">
        <v>51.345624187343262</v>
      </c>
      <c r="DZ10" s="70">
        <v>28.565717621703612</v>
      </c>
      <c r="EA10" s="70">
        <v>8.6497128171199051</v>
      </c>
      <c r="EB10" s="70">
        <v>0.35281374676272376</v>
      </c>
      <c r="EC10" s="70">
        <v>0</v>
      </c>
      <c r="ED10" s="70">
        <v>0.22439201548786467</v>
      </c>
      <c r="EE10" s="70">
        <v>5.8047860130885226E-2</v>
      </c>
      <c r="EF10" s="70">
        <v>0</v>
      </c>
      <c r="EG10" s="70">
        <v>0.35965821915833307</v>
      </c>
      <c r="EH10" s="70">
        <v>4.8959202038297012E-2</v>
      </c>
      <c r="EI10" s="70">
        <v>0</v>
      </c>
      <c r="EJ10" s="70">
        <v>10.395074330255122</v>
      </c>
      <c r="EK10" s="70">
        <v>0</v>
      </c>
      <c r="EL10" s="70">
        <v>100</v>
      </c>
      <c r="EM10" s="69">
        <v>98.558810430408514</v>
      </c>
      <c r="EN10" s="69" t="s">
        <v>78</v>
      </c>
      <c r="EO10" s="287">
        <v>9.0342798010912731E-2</v>
      </c>
      <c r="EP10" s="257">
        <f t="shared" si="14"/>
        <v>9.034279801091273</v>
      </c>
      <c r="EQ10" s="257">
        <f t="shared" si="15"/>
        <v>97.00280525616418</v>
      </c>
      <c r="ER10" s="324">
        <f t="shared" si="16"/>
        <v>5.2287581699346407E-2</v>
      </c>
      <c r="ES10" s="257">
        <f t="shared" si="9"/>
        <v>0.76775431861804222</v>
      </c>
      <c r="ET10">
        <f t="shared" si="10"/>
        <v>146.5</v>
      </c>
      <c r="EU10" s="324">
        <f t="shared" si="17"/>
        <v>6.8104575163398698E-2</v>
      </c>
      <c r="EV10" s="39">
        <f t="shared" si="18"/>
        <v>183.23499999999999</v>
      </c>
      <c r="EW10"/>
      <c r="EX10">
        <f t="shared" si="19"/>
        <v>18</v>
      </c>
      <c r="EY10"/>
      <c r="EZ10"/>
      <c r="FA10"/>
      <c r="FB10"/>
      <c r="FC10"/>
      <c r="FD10"/>
    </row>
    <row r="11" spans="1:160" s="48" customFormat="1" ht="13" customHeight="1" x14ac:dyDescent="0.2">
      <c r="A11" s="65" t="s">
        <v>80</v>
      </c>
      <c r="B11" s="66" t="s">
        <v>421</v>
      </c>
      <c r="C11" s="274">
        <f t="shared" si="11"/>
        <v>181.7</v>
      </c>
      <c r="D11" s="67">
        <v>200</v>
      </c>
      <c r="E11" s="67">
        <v>400</v>
      </c>
      <c r="F11" s="67">
        <f t="shared" si="4"/>
        <v>300</v>
      </c>
      <c r="G11" s="82" t="s">
        <v>513</v>
      </c>
      <c r="H11" s="84">
        <v>7.5</v>
      </c>
      <c r="I11" s="85">
        <v>4</v>
      </c>
      <c r="J11" s="85">
        <v>6</v>
      </c>
      <c r="K11" s="89">
        <f t="shared" si="12"/>
        <v>5</v>
      </c>
      <c r="L11" s="67">
        <v>132</v>
      </c>
      <c r="M11" s="67">
        <v>86</v>
      </c>
      <c r="N11" s="67">
        <v>40</v>
      </c>
      <c r="O11" s="68">
        <v>58.34</v>
      </c>
      <c r="P11" s="68">
        <v>19.72</v>
      </c>
      <c r="Q11" s="68">
        <v>7.78</v>
      </c>
      <c r="R11" s="68">
        <v>0.17100000000000001</v>
      </c>
      <c r="S11" s="68">
        <v>1.8</v>
      </c>
      <c r="T11" s="68">
        <v>0.03</v>
      </c>
      <c r="U11" s="68">
        <v>0.05</v>
      </c>
      <c r="V11" s="68">
        <v>1.45</v>
      </c>
      <c r="W11" s="68">
        <v>0.89700000000000002</v>
      </c>
      <c r="X11" s="68">
        <v>0.09</v>
      </c>
      <c r="Y11" s="68">
        <v>8.86</v>
      </c>
      <c r="Z11" s="68">
        <v>99.19</v>
      </c>
      <c r="AA11" s="68">
        <v>20</v>
      </c>
      <c r="AB11" s="68">
        <v>3</v>
      </c>
      <c r="AC11" s="68">
        <v>123</v>
      </c>
      <c r="AD11" s="68">
        <v>50</v>
      </c>
      <c r="AE11" s="68">
        <v>45</v>
      </c>
      <c r="AF11" s="68">
        <v>60</v>
      </c>
      <c r="AG11" s="68">
        <v>50</v>
      </c>
      <c r="AH11" s="68">
        <v>110</v>
      </c>
      <c r="AI11" s="68">
        <v>26</v>
      </c>
      <c r="AJ11" s="68">
        <v>2</v>
      </c>
      <c r="AK11" s="68">
        <v>0</v>
      </c>
      <c r="AL11" s="68">
        <v>116</v>
      </c>
      <c r="AM11" s="68">
        <v>31</v>
      </c>
      <c r="AN11" s="68">
        <v>31</v>
      </c>
      <c r="AO11" s="68">
        <v>270</v>
      </c>
      <c r="AP11" s="68">
        <v>12</v>
      </c>
      <c r="AQ11" s="68" t="s">
        <v>72</v>
      </c>
      <c r="AR11" s="68">
        <v>0.5</v>
      </c>
      <c r="AS11" s="68" t="s">
        <v>73</v>
      </c>
      <c r="AT11" s="68">
        <v>17</v>
      </c>
      <c r="AU11" s="68">
        <v>1.9</v>
      </c>
      <c r="AV11" s="68">
        <v>2.5</v>
      </c>
      <c r="AW11" s="68">
        <v>449</v>
      </c>
      <c r="AX11" s="68">
        <v>0.4</v>
      </c>
      <c r="AY11" s="68">
        <v>39.5</v>
      </c>
      <c r="AZ11" s="68">
        <v>87.6</v>
      </c>
      <c r="BA11" s="68">
        <v>10.8</v>
      </c>
      <c r="BB11" s="68">
        <v>43.7</v>
      </c>
      <c r="BC11" s="68">
        <v>8.9</v>
      </c>
      <c r="BD11" s="68">
        <v>2.16</v>
      </c>
      <c r="BE11" s="68">
        <v>7.2</v>
      </c>
      <c r="BF11" s="68">
        <v>1</v>
      </c>
      <c r="BG11" s="68">
        <v>5.9</v>
      </c>
      <c r="BH11" s="68">
        <v>1.1000000000000001</v>
      </c>
      <c r="BI11" s="68">
        <v>3.3</v>
      </c>
      <c r="BJ11" s="68">
        <v>0.49</v>
      </c>
      <c r="BK11" s="68">
        <v>3.4</v>
      </c>
      <c r="BL11" s="68">
        <v>0.54</v>
      </c>
      <c r="BM11" s="68">
        <v>6.4</v>
      </c>
      <c r="BN11" s="68">
        <v>0.7</v>
      </c>
      <c r="BO11" s="68">
        <v>3</v>
      </c>
      <c r="BP11" s="68">
        <v>0.6</v>
      </c>
      <c r="BQ11" s="68">
        <v>12</v>
      </c>
      <c r="BR11" s="68">
        <v>10.199999999999999</v>
      </c>
      <c r="BS11" s="68">
        <v>2.4</v>
      </c>
      <c r="BT11" s="69">
        <f t="shared" si="5"/>
        <v>0.68922108575924468</v>
      </c>
      <c r="BU11" s="117">
        <f t="shared" si="6"/>
        <v>215.59000000000003</v>
      </c>
      <c r="BV11" s="48">
        <f t="shared" si="7"/>
        <v>300</v>
      </c>
      <c r="BW11" s="70">
        <f t="shared" si="8"/>
        <v>92.8</v>
      </c>
      <c r="BX11" s="69">
        <f t="shared" si="13"/>
        <v>0.68922108575924468</v>
      </c>
      <c r="BY11" s="69">
        <v>8.6199999999999992</v>
      </c>
      <c r="BZ11" s="69">
        <v>0</v>
      </c>
      <c r="CA11" s="69">
        <v>33.590000000000003</v>
      </c>
      <c r="CB11" s="69">
        <v>0.36800000000000005</v>
      </c>
      <c r="CC11" s="69">
        <v>3.2000000000000001E-2</v>
      </c>
      <c r="CD11" s="69">
        <v>0</v>
      </c>
      <c r="CE11" s="69">
        <v>0</v>
      </c>
      <c r="CF11" s="69">
        <v>0</v>
      </c>
      <c r="CG11" s="69">
        <v>0</v>
      </c>
      <c r="CH11" s="69">
        <v>0.57999999999999996</v>
      </c>
      <c r="CI11" s="69">
        <v>0.14000000000000001</v>
      </c>
      <c r="CJ11" s="69">
        <v>0</v>
      </c>
      <c r="CK11" s="69">
        <v>24.36</v>
      </c>
      <c r="CL11" s="69">
        <v>13.29</v>
      </c>
      <c r="CM11" s="69">
        <v>0</v>
      </c>
      <c r="CN11" s="69">
        <v>0</v>
      </c>
      <c r="CO11" s="69">
        <v>19.03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117">
        <v>100.00999999999999</v>
      </c>
      <c r="CZ11" s="283">
        <v>0.36754568333515708</v>
      </c>
      <c r="DA11" s="283">
        <v>4.026698763540869E-3</v>
      </c>
      <c r="DB11" s="283">
        <v>3.501477185687712E-4</v>
      </c>
      <c r="DC11" s="283">
        <v>0</v>
      </c>
      <c r="DD11" s="283">
        <v>0</v>
      </c>
      <c r="DE11" s="283">
        <v>0</v>
      </c>
      <c r="DF11" s="283">
        <v>0</v>
      </c>
      <c r="DG11" s="283">
        <v>6.3464273990589777E-3</v>
      </c>
      <c r="DH11" s="283">
        <v>1.531896268738374E-3</v>
      </c>
      <c r="DI11" s="283">
        <v>0</v>
      </c>
      <c r="DJ11" s="283">
        <v>0.26654995076047705</v>
      </c>
      <c r="DK11" s="283">
        <v>0.14542072436809278</v>
      </c>
      <c r="DL11" s="283">
        <v>0</v>
      </c>
      <c r="DM11" s="283">
        <v>0</v>
      </c>
      <c r="DN11" s="283">
        <v>0.20822847138636613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v>0</v>
      </c>
      <c r="DV11" s="283">
        <v>0</v>
      </c>
      <c r="DW11" s="283">
        <v>0</v>
      </c>
      <c r="DX11" s="69">
        <v>1</v>
      </c>
      <c r="DY11" s="70">
        <v>64.743429565681581</v>
      </c>
      <c r="DZ11" s="70">
        <v>21.47224368457066</v>
      </c>
      <c r="EA11" s="70">
        <v>0.9405964742290357</v>
      </c>
      <c r="EB11" s="70">
        <v>3.2400980728836388</v>
      </c>
      <c r="EC11" s="70">
        <v>0</v>
      </c>
      <c r="ED11" s="70">
        <v>1.1545177041309518</v>
      </c>
      <c r="EE11" s="70">
        <v>2.8687984673987737E-2</v>
      </c>
      <c r="EF11" s="70">
        <v>4.1395787580384615E-3</v>
      </c>
      <c r="EG11" s="70">
        <v>1.2003797310694575</v>
      </c>
      <c r="EH11" s="70">
        <v>0.44962141534947431</v>
      </c>
      <c r="EI11" s="70">
        <v>0</v>
      </c>
      <c r="EJ11" s="70">
        <v>6.7662857886531924</v>
      </c>
      <c r="EK11" s="70">
        <v>0</v>
      </c>
      <c r="EL11" s="70">
        <v>100</v>
      </c>
      <c r="EM11" s="69">
        <v>94.568672977963999</v>
      </c>
      <c r="EN11" s="69" t="s">
        <v>80</v>
      </c>
      <c r="EO11" s="287">
        <v>4.4723033736722026E-2</v>
      </c>
      <c r="EP11" s="257">
        <f t="shared" si="14"/>
        <v>4.4723033736722027</v>
      </c>
      <c r="EQ11" s="257">
        <f t="shared" si="15"/>
        <v>66.384083044982688</v>
      </c>
      <c r="ER11" s="324">
        <f t="shared" si="16"/>
        <v>4.7099869167030094E-2</v>
      </c>
      <c r="ES11" s="257">
        <f t="shared" si="9"/>
        <v>0.68922108575924468</v>
      </c>
      <c r="ET11">
        <f t="shared" si="10"/>
        <v>300</v>
      </c>
      <c r="EU11" s="324">
        <f t="shared" si="17"/>
        <v>6.8337823871341616E-2</v>
      </c>
      <c r="EV11" s="39">
        <f t="shared" si="18"/>
        <v>181.7</v>
      </c>
      <c r="EW11"/>
      <c r="EX11">
        <f t="shared" si="19"/>
        <v>28.18181818181818</v>
      </c>
      <c r="EY11"/>
      <c r="EZ11"/>
      <c r="FA11"/>
      <c r="FB11"/>
      <c r="FC11"/>
      <c r="FD11"/>
    </row>
    <row r="12" spans="1:160" s="48" customFormat="1" ht="13" customHeight="1" x14ac:dyDescent="0.2">
      <c r="A12" s="65" t="s">
        <v>81</v>
      </c>
      <c r="B12" s="66" t="s">
        <v>421</v>
      </c>
      <c r="C12" s="274">
        <f t="shared" si="11"/>
        <v>180.2</v>
      </c>
      <c r="D12" s="67">
        <v>400</v>
      </c>
      <c r="E12" s="67">
        <v>500</v>
      </c>
      <c r="F12" s="67">
        <f t="shared" si="4"/>
        <v>450</v>
      </c>
      <c r="G12" s="82" t="s">
        <v>513</v>
      </c>
      <c r="H12" s="84">
        <v>7.5</v>
      </c>
      <c r="I12" s="85">
        <v>4</v>
      </c>
      <c r="J12" s="85">
        <v>6</v>
      </c>
      <c r="K12" s="89">
        <f t="shared" si="12"/>
        <v>5</v>
      </c>
      <c r="L12" s="67">
        <v>132</v>
      </c>
      <c r="M12" s="67">
        <v>86</v>
      </c>
      <c r="N12" s="67">
        <v>40</v>
      </c>
      <c r="O12" s="68">
        <v>60.74</v>
      </c>
      <c r="P12" s="68">
        <v>18.87</v>
      </c>
      <c r="Q12" s="68">
        <v>6.65</v>
      </c>
      <c r="R12" s="68">
        <v>0.17</v>
      </c>
      <c r="S12" s="68">
        <v>1.9</v>
      </c>
      <c r="T12" s="68">
        <v>0.05</v>
      </c>
      <c r="U12" s="68">
        <v>0.04</v>
      </c>
      <c r="V12" s="68">
        <v>1.57</v>
      </c>
      <c r="W12" s="68">
        <v>0.77700000000000002</v>
      </c>
      <c r="X12" s="68">
        <v>0.05</v>
      </c>
      <c r="Y12" s="68">
        <v>8.94</v>
      </c>
      <c r="Z12" s="68">
        <v>99.76</v>
      </c>
      <c r="AA12" s="68">
        <v>13</v>
      </c>
      <c r="AB12" s="68">
        <v>2</v>
      </c>
      <c r="AC12" s="68">
        <v>121</v>
      </c>
      <c r="AD12" s="68">
        <v>30</v>
      </c>
      <c r="AE12" s="68">
        <v>46</v>
      </c>
      <c r="AF12" s="68">
        <v>40</v>
      </c>
      <c r="AG12" s="68">
        <v>40</v>
      </c>
      <c r="AH12" s="68">
        <v>100</v>
      </c>
      <c r="AI12" s="68">
        <v>26</v>
      </c>
      <c r="AJ12" s="68">
        <v>2</v>
      </c>
      <c r="AK12" s="68">
        <v>0</v>
      </c>
      <c r="AL12" s="68">
        <v>139</v>
      </c>
      <c r="AM12" s="68">
        <v>8</v>
      </c>
      <c r="AN12" s="68">
        <v>48</v>
      </c>
      <c r="AO12" s="68">
        <v>210</v>
      </c>
      <c r="AP12" s="68">
        <v>13</v>
      </c>
      <c r="AQ12" s="68" t="s">
        <v>72</v>
      </c>
      <c r="AR12" s="68" t="s">
        <v>74</v>
      </c>
      <c r="AS12" s="68" t="s">
        <v>73</v>
      </c>
      <c r="AT12" s="68">
        <v>6</v>
      </c>
      <c r="AU12" s="68">
        <v>0.9</v>
      </c>
      <c r="AV12" s="68">
        <v>3.4</v>
      </c>
      <c r="AW12" s="68">
        <v>348</v>
      </c>
      <c r="AX12" s="68" t="s">
        <v>75</v>
      </c>
      <c r="AY12" s="68">
        <v>54.4</v>
      </c>
      <c r="AZ12" s="68">
        <v>61.6</v>
      </c>
      <c r="BA12" s="68">
        <v>13</v>
      </c>
      <c r="BB12" s="68">
        <v>49.3</v>
      </c>
      <c r="BC12" s="68">
        <v>9.9</v>
      </c>
      <c r="BD12" s="68">
        <v>2.46</v>
      </c>
      <c r="BE12" s="68">
        <v>9.1</v>
      </c>
      <c r="BF12" s="68">
        <v>1.3</v>
      </c>
      <c r="BG12" s="68">
        <v>8.1</v>
      </c>
      <c r="BH12" s="68">
        <v>1.6</v>
      </c>
      <c r="BI12" s="68">
        <v>4.5999999999999996</v>
      </c>
      <c r="BJ12" s="68">
        <v>0.7</v>
      </c>
      <c r="BK12" s="68">
        <v>4.7</v>
      </c>
      <c r="BL12" s="68">
        <v>0.72</v>
      </c>
      <c r="BM12" s="68">
        <v>5</v>
      </c>
      <c r="BN12" s="68">
        <v>0.7</v>
      </c>
      <c r="BO12" s="68">
        <v>1</v>
      </c>
      <c r="BP12" s="68">
        <v>0.8</v>
      </c>
      <c r="BQ12" s="68">
        <v>15</v>
      </c>
      <c r="BR12" s="68">
        <v>15.8</v>
      </c>
      <c r="BS12" s="68">
        <v>1.3</v>
      </c>
      <c r="BT12" s="69">
        <f t="shared" si="5"/>
        <v>0.53103448275862075</v>
      </c>
      <c r="BU12" s="117">
        <f t="shared" si="6"/>
        <v>221.48</v>
      </c>
      <c r="BV12" s="48">
        <f t="shared" si="7"/>
        <v>450</v>
      </c>
      <c r="BW12" s="70">
        <f t="shared" si="8"/>
        <v>91.914271797369693</v>
      </c>
      <c r="BX12" s="69">
        <f t="shared" si="13"/>
        <v>0.53103448275862075</v>
      </c>
      <c r="BY12" s="69">
        <v>8.33</v>
      </c>
      <c r="BZ12" s="69">
        <v>0.41</v>
      </c>
      <c r="CA12" s="69">
        <v>25.41</v>
      </c>
      <c r="CB12" s="69">
        <v>0.77280000000000004</v>
      </c>
      <c r="CC12" s="69">
        <v>6.7199999999999996E-2</v>
      </c>
      <c r="CD12" s="69">
        <v>0</v>
      </c>
      <c r="CE12" s="69">
        <v>0</v>
      </c>
      <c r="CF12" s="69">
        <v>0</v>
      </c>
      <c r="CG12" s="69">
        <v>0.1</v>
      </c>
      <c r="CH12" s="69">
        <v>0.21</v>
      </c>
      <c r="CI12" s="69">
        <v>0</v>
      </c>
      <c r="CJ12" s="69">
        <v>0</v>
      </c>
      <c r="CK12" s="69">
        <v>30.81</v>
      </c>
      <c r="CL12" s="69">
        <v>14.95</v>
      </c>
      <c r="CM12" s="69">
        <v>0.34</v>
      </c>
      <c r="CN12" s="69">
        <v>0</v>
      </c>
      <c r="CO12" s="69">
        <v>18.579999999999998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117">
        <v>99.98</v>
      </c>
      <c r="CZ12" s="283">
        <v>0.27849627356422618</v>
      </c>
      <c r="DA12" s="283">
        <v>8.4699693117053915E-3</v>
      </c>
      <c r="DB12" s="283">
        <v>7.3651907058307751E-4</v>
      </c>
      <c r="DC12" s="283">
        <v>0</v>
      </c>
      <c r="DD12" s="283">
        <v>0</v>
      </c>
      <c r="DE12" s="283">
        <v>0</v>
      </c>
      <c r="DF12" s="283">
        <v>1.0960105217010083E-3</v>
      </c>
      <c r="DG12" s="283">
        <v>2.3016220955721172E-3</v>
      </c>
      <c r="DH12" s="283">
        <v>0</v>
      </c>
      <c r="DI12" s="283">
        <v>0</v>
      </c>
      <c r="DJ12" s="283">
        <v>0.33768084173608059</v>
      </c>
      <c r="DK12" s="283">
        <v>0.16385357299430073</v>
      </c>
      <c r="DL12" s="283">
        <v>3.7264357737834281E-3</v>
      </c>
      <c r="DM12" s="283">
        <v>0</v>
      </c>
      <c r="DN12" s="283">
        <v>0.20363875493204731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v>0</v>
      </c>
      <c r="DV12" s="283">
        <v>0</v>
      </c>
      <c r="DW12" s="283">
        <v>0</v>
      </c>
      <c r="DX12" s="69">
        <v>0.99999999999999978</v>
      </c>
      <c r="DY12" s="70">
        <v>60.260662777754547</v>
      </c>
      <c r="DZ12" s="70">
        <v>24.920135857403178</v>
      </c>
      <c r="EA12" s="70">
        <v>0.83605778183137602</v>
      </c>
      <c r="EB12" s="70">
        <v>3.1686806949443489</v>
      </c>
      <c r="EC12" s="70">
        <v>0</v>
      </c>
      <c r="ED12" s="70">
        <v>1.1352007311864603</v>
      </c>
      <c r="EE12" s="70">
        <v>3.1467976359030349E-2</v>
      </c>
      <c r="EF12" s="70">
        <v>8.7074070107845628E-3</v>
      </c>
      <c r="EG12" s="70">
        <v>1.2653103416300469</v>
      </c>
      <c r="EH12" s="70">
        <v>0.43971097997767283</v>
      </c>
      <c r="EI12" s="70">
        <v>0</v>
      </c>
      <c r="EJ12" s="70">
        <v>7.9340654519025637</v>
      </c>
      <c r="EK12" s="70">
        <v>0</v>
      </c>
      <c r="EL12" s="70">
        <v>100.00000000000003</v>
      </c>
      <c r="EM12" s="69">
        <v>95.022098062011906</v>
      </c>
      <c r="EN12" s="69" t="s">
        <v>81</v>
      </c>
      <c r="EO12" s="287">
        <v>4.2899197393207161E-2</v>
      </c>
      <c r="EP12" s="257">
        <f t="shared" si="14"/>
        <v>4.289919739320716</v>
      </c>
      <c r="EQ12" s="257">
        <f t="shared" si="15"/>
        <v>70.346617804244929</v>
      </c>
      <c r="ER12" s="324">
        <f t="shared" si="16"/>
        <v>4.7527047913446675E-2</v>
      </c>
      <c r="ES12" s="257">
        <f t="shared" si="9"/>
        <v>0.53103448275862075</v>
      </c>
      <c r="ET12">
        <f t="shared" si="10"/>
        <v>450</v>
      </c>
      <c r="EU12" s="324">
        <f t="shared" si="17"/>
        <v>8.949898633051645E-2</v>
      </c>
      <c r="EV12" s="39">
        <f t="shared" si="18"/>
        <v>180.2</v>
      </c>
      <c r="EW12"/>
      <c r="EX12">
        <f t="shared" si="19"/>
        <v>30</v>
      </c>
      <c r="EY12"/>
      <c r="EZ12"/>
      <c r="FA12"/>
      <c r="FB12"/>
      <c r="FC12"/>
      <c r="FD12"/>
    </row>
    <row r="13" spans="1:160" s="48" customFormat="1" ht="13" customHeight="1" x14ac:dyDescent="0.2">
      <c r="A13" s="65" t="s">
        <v>82</v>
      </c>
      <c r="B13" s="66" t="s">
        <v>421</v>
      </c>
      <c r="C13" s="274">
        <f t="shared" si="11"/>
        <v>179.2</v>
      </c>
      <c r="D13" s="67">
        <v>500</v>
      </c>
      <c r="E13" s="67">
        <v>600</v>
      </c>
      <c r="F13" s="67">
        <f t="shared" si="4"/>
        <v>550</v>
      </c>
      <c r="G13" s="82" t="s">
        <v>514</v>
      </c>
      <c r="H13" s="84">
        <v>7.5</v>
      </c>
      <c r="I13" s="85">
        <v>4</v>
      </c>
      <c r="J13" s="85">
        <v>4</v>
      </c>
      <c r="K13" s="89">
        <f t="shared" si="12"/>
        <v>7.5</v>
      </c>
      <c r="L13" s="67">
        <v>124</v>
      </c>
      <c r="M13" s="67">
        <v>89</v>
      </c>
      <c r="N13" s="67">
        <v>58</v>
      </c>
      <c r="O13" s="68">
        <v>59.67</v>
      </c>
      <c r="P13" s="68">
        <v>19</v>
      </c>
      <c r="Q13" s="68">
        <v>7.72</v>
      </c>
      <c r="R13" s="68">
        <v>0.17199999999999999</v>
      </c>
      <c r="S13" s="68">
        <v>1.81</v>
      </c>
      <c r="T13" s="68">
        <v>0.04</v>
      </c>
      <c r="U13" s="68">
        <v>0.05</v>
      </c>
      <c r="V13" s="68">
        <v>1.32</v>
      </c>
      <c r="W13" s="68">
        <v>0.81</v>
      </c>
      <c r="X13" s="68">
        <v>0.06</v>
      </c>
      <c r="Y13" s="68">
        <v>9.01</v>
      </c>
      <c r="Z13" s="68">
        <v>99.65</v>
      </c>
      <c r="AA13" s="68">
        <v>21</v>
      </c>
      <c r="AB13" s="68">
        <v>2</v>
      </c>
      <c r="AC13" s="68">
        <v>128</v>
      </c>
      <c r="AD13" s="68">
        <v>30</v>
      </c>
      <c r="AE13" s="68">
        <v>33</v>
      </c>
      <c r="AF13" s="68">
        <v>40</v>
      </c>
      <c r="AG13" s="68">
        <v>40</v>
      </c>
      <c r="AH13" s="68">
        <v>110</v>
      </c>
      <c r="AI13" s="68">
        <v>25</v>
      </c>
      <c r="AJ13" s="68">
        <v>2</v>
      </c>
      <c r="AK13" s="68">
        <v>0</v>
      </c>
      <c r="AL13" s="68">
        <v>110</v>
      </c>
      <c r="AM13" s="68">
        <v>4</v>
      </c>
      <c r="AN13" s="68">
        <v>48</v>
      </c>
      <c r="AO13" s="68">
        <v>124</v>
      </c>
      <c r="AP13" s="68">
        <v>10</v>
      </c>
      <c r="AQ13" s="68" t="s">
        <v>72</v>
      </c>
      <c r="AR13" s="68" t="s">
        <v>74</v>
      </c>
      <c r="AS13" s="68" t="s">
        <v>73</v>
      </c>
      <c r="AT13" s="68">
        <v>5</v>
      </c>
      <c r="AU13" s="68" t="s">
        <v>74</v>
      </c>
      <c r="AV13" s="68">
        <v>2.6</v>
      </c>
      <c r="AW13" s="68">
        <v>249</v>
      </c>
      <c r="AX13" s="68" t="s">
        <v>75</v>
      </c>
      <c r="AY13" s="68">
        <v>42.4</v>
      </c>
      <c r="AZ13" s="68">
        <v>54.2</v>
      </c>
      <c r="BA13" s="68">
        <v>10</v>
      </c>
      <c r="BB13" s="68">
        <v>38.299999999999997</v>
      </c>
      <c r="BC13" s="68">
        <v>7.9</v>
      </c>
      <c r="BD13" s="68">
        <v>2.17</v>
      </c>
      <c r="BE13" s="68">
        <v>8.1</v>
      </c>
      <c r="BF13" s="68">
        <v>1.3</v>
      </c>
      <c r="BG13" s="68">
        <v>8.1999999999999993</v>
      </c>
      <c r="BH13" s="68">
        <v>1.6</v>
      </c>
      <c r="BI13" s="68">
        <v>4.7</v>
      </c>
      <c r="BJ13" s="68">
        <v>0.69</v>
      </c>
      <c r="BK13" s="68">
        <v>4.5999999999999996</v>
      </c>
      <c r="BL13" s="68">
        <v>0.74</v>
      </c>
      <c r="BM13" s="68">
        <v>3.1</v>
      </c>
      <c r="BN13" s="68">
        <v>0.5</v>
      </c>
      <c r="BO13" s="68">
        <v>0</v>
      </c>
      <c r="BP13" s="68">
        <v>0.7</v>
      </c>
      <c r="BQ13" s="68">
        <v>11</v>
      </c>
      <c r="BR13" s="68">
        <v>7.3</v>
      </c>
      <c r="BS13" s="68">
        <v>0.8</v>
      </c>
      <c r="BT13" s="69">
        <f t="shared" si="5"/>
        <v>0.56107660455486552</v>
      </c>
      <c r="BU13" s="117">
        <f t="shared" si="6"/>
        <v>184.89999999999995</v>
      </c>
      <c r="BV13" s="48">
        <f t="shared" si="7"/>
        <v>550</v>
      </c>
      <c r="BW13" s="70">
        <f t="shared" si="8"/>
        <v>93.091621754042137</v>
      </c>
      <c r="BX13" s="69">
        <f t="shared" si="13"/>
        <v>0.56107660455486552</v>
      </c>
      <c r="BY13" s="69">
        <v>9.5399999999999991</v>
      </c>
      <c r="BZ13" s="69">
        <v>7.0000000000000007E-2</v>
      </c>
      <c r="CA13" s="69">
        <v>29.43</v>
      </c>
      <c r="CB13" s="69">
        <v>0.31280000000000002</v>
      </c>
      <c r="CC13" s="69">
        <v>2.7200000000000002E-2</v>
      </c>
      <c r="CD13" s="69">
        <v>0</v>
      </c>
      <c r="CE13" s="69">
        <v>0</v>
      </c>
      <c r="CF13" s="69">
        <v>0</v>
      </c>
      <c r="CG13" s="69">
        <v>0</v>
      </c>
      <c r="CH13" s="69">
        <v>0.31</v>
      </c>
      <c r="CI13" s="69">
        <v>0</v>
      </c>
      <c r="CJ13" s="69">
        <v>0</v>
      </c>
      <c r="CK13" s="69">
        <v>26.8</v>
      </c>
      <c r="CL13" s="69">
        <v>14.31</v>
      </c>
      <c r="CM13" s="69">
        <v>0.34</v>
      </c>
      <c r="CN13" s="69">
        <v>0</v>
      </c>
      <c r="CO13" s="69">
        <v>18.86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117">
        <v>100.00000000000001</v>
      </c>
      <c r="CZ13" s="283">
        <v>0.32558911384002653</v>
      </c>
      <c r="DA13" s="283">
        <v>3.4605597964376591E-3</v>
      </c>
      <c r="DB13" s="283">
        <v>3.0091824316849213E-4</v>
      </c>
      <c r="DC13" s="283">
        <v>0</v>
      </c>
      <c r="DD13" s="283">
        <v>0</v>
      </c>
      <c r="DE13" s="283">
        <v>0</v>
      </c>
      <c r="DF13" s="283">
        <v>0</v>
      </c>
      <c r="DG13" s="283">
        <v>3.4295829184644317E-3</v>
      </c>
      <c r="DH13" s="283">
        <v>0</v>
      </c>
      <c r="DI13" s="283">
        <v>0</v>
      </c>
      <c r="DJ13" s="283">
        <v>0.29649297488660253</v>
      </c>
      <c r="DK13" s="283">
        <v>0.15831397278460008</v>
      </c>
      <c r="DL13" s="283">
        <v>3.7614780396061512E-3</v>
      </c>
      <c r="DM13" s="283">
        <v>0</v>
      </c>
      <c r="DN13" s="283">
        <v>0.20865139949109415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v>0</v>
      </c>
      <c r="DV13" s="283">
        <v>0</v>
      </c>
      <c r="DW13" s="283">
        <v>0</v>
      </c>
      <c r="DX13" s="69">
        <v>1.0000000000000002</v>
      </c>
      <c r="DY13" s="70">
        <v>62.660262536203206</v>
      </c>
      <c r="DZ13" s="70">
        <v>23.158475505563445</v>
      </c>
      <c r="EA13" s="70">
        <v>0.75752851394809972</v>
      </c>
      <c r="EB13" s="70">
        <v>3.2466789622691006</v>
      </c>
      <c r="EC13" s="70">
        <v>0</v>
      </c>
      <c r="ED13" s="70">
        <v>1.1630508675238223</v>
      </c>
      <c r="EE13" s="70">
        <v>3.2190665241459492E-2</v>
      </c>
      <c r="EF13" s="70">
        <v>3.5575692808116469E-3</v>
      </c>
      <c r="EG13" s="70">
        <v>1.2079208722090915</v>
      </c>
      <c r="EH13" s="70">
        <v>0.4505346311636847</v>
      </c>
      <c r="EI13" s="70">
        <v>0</v>
      </c>
      <c r="EJ13" s="70">
        <v>7.3197998765972825</v>
      </c>
      <c r="EK13" s="70">
        <v>0</v>
      </c>
      <c r="EL13" s="70">
        <v>100</v>
      </c>
      <c r="EM13" s="69">
        <v>94.903443420687083</v>
      </c>
      <c r="EN13" s="69" t="s">
        <v>82</v>
      </c>
      <c r="EO13" s="287">
        <v>4.2964085828214198E-2</v>
      </c>
      <c r="EP13" s="257">
        <f t="shared" si="14"/>
        <v>4.29640858282142</v>
      </c>
      <c r="EQ13" s="257">
        <f t="shared" si="15"/>
        <v>68.327284724513362</v>
      </c>
      <c r="ER13" s="324">
        <f t="shared" si="16"/>
        <v>5.361996540647393E-2</v>
      </c>
      <c r="ES13" s="257">
        <f t="shared" si="9"/>
        <v>0.56107660455486552</v>
      </c>
      <c r="ET13">
        <f t="shared" si="10"/>
        <v>550</v>
      </c>
      <c r="EU13" s="324">
        <f t="shared" si="17"/>
        <v>9.5566211407110344E-2</v>
      </c>
      <c r="EV13" s="39">
        <f t="shared" si="18"/>
        <v>179.2</v>
      </c>
      <c r="EW13"/>
      <c r="EX13">
        <f t="shared" si="19"/>
        <v>30</v>
      </c>
      <c r="EY13"/>
      <c r="EZ13"/>
      <c r="FA13"/>
      <c r="FB13"/>
      <c r="FC13"/>
      <c r="FD13"/>
    </row>
    <row r="14" spans="1:160" s="48" customFormat="1" ht="13" customHeight="1" x14ac:dyDescent="0.2">
      <c r="A14" s="65" t="s">
        <v>83</v>
      </c>
      <c r="B14" s="66" t="s">
        <v>421</v>
      </c>
      <c r="C14" s="274">
        <f t="shared" si="11"/>
        <v>178.2</v>
      </c>
      <c r="D14" s="67">
        <v>600</v>
      </c>
      <c r="E14" s="67">
        <v>700</v>
      </c>
      <c r="F14" s="67">
        <f t="shared" si="4"/>
        <v>650</v>
      </c>
      <c r="G14" s="82" t="s">
        <v>515</v>
      </c>
      <c r="H14" s="84">
        <v>10</v>
      </c>
      <c r="I14" s="85">
        <v>4</v>
      </c>
      <c r="J14" s="85">
        <v>4</v>
      </c>
      <c r="K14" s="89">
        <f t="shared" si="12"/>
        <v>10</v>
      </c>
      <c r="L14" s="67">
        <v>120</v>
      </c>
      <c r="M14" s="67">
        <v>91</v>
      </c>
      <c r="N14" s="67">
        <v>54</v>
      </c>
      <c r="O14" s="68">
        <v>58.26</v>
      </c>
      <c r="P14" s="68">
        <v>19.8</v>
      </c>
      <c r="Q14" s="68">
        <v>8.69</v>
      </c>
      <c r="R14" s="68">
        <v>0.19600000000000001</v>
      </c>
      <c r="S14" s="68">
        <v>1.74</v>
      </c>
      <c r="T14" s="68">
        <v>0.1</v>
      </c>
      <c r="U14" s="68">
        <v>0.06</v>
      </c>
      <c r="V14" s="68">
        <v>1.35</v>
      </c>
      <c r="W14" s="68">
        <v>0.82399999999999995</v>
      </c>
      <c r="X14" s="68">
        <v>0.06</v>
      </c>
      <c r="Y14" s="68">
        <v>9.25</v>
      </c>
      <c r="Z14" s="68">
        <v>100.3</v>
      </c>
      <c r="AA14" s="68">
        <v>23</v>
      </c>
      <c r="AB14" s="68">
        <v>3</v>
      </c>
      <c r="AC14" s="68">
        <v>146</v>
      </c>
      <c r="AD14" s="68">
        <v>30</v>
      </c>
      <c r="AE14" s="68">
        <v>37</v>
      </c>
      <c r="AF14" s="68">
        <v>40</v>
      </c>
      <c r="AG14" s="68">
        <v>30</v>
      </c>
      <c r="AH14" s="68">
        <v>130</v>
      </c>
      <c r="AI14" s="68">
        <v>25</v>
      </c>
      <c r="AJ14" s="68">
        <v>2</v>
      </c>
      <c r="AK14" s="68">
        <v>0</v>
      </c>
      <c r="AL14" s="68">
        <v>130</v>
      </c>
      <c r="AM14" s="68">
        <v>10</v>
      </c>
      <c r="AN14" s="68">
        <v>30</v>
      </c>
      <c r="AO14" s="68">
        <v>141</v>
      </c>
      <c r="AP14" s="68">
        <v>9</v>
      </c>
      <c r="AQ14" s="68" t="s">
        <v>72</v>
      </c>
      <c r="AR14" s="68" t="s">
        <v>74</v>
      </c>
      <c r="AS14" s="68" t="s">
        <v>73</v>
      </c>
      <c r="AT14" s="68">
        <v>5</v>
      </c>
      <c r="AU14" s="68" t="s">
        <v>74</v>
      </c>
      <c r="AV14" s="68">
        <v>2.5</v>
      </c>
      <c r="AW14" s="68">
        <v>266</v>
      </c>
      <c r="AX14" s="68" t="s">
        <v>75</v>
      </c>
      <c r="AY14" s="68">
        <v>27.1</v>
      </c>
      <c r="AZ14" s="68">
        <v>68.400000000000006</v>
      </c>
      <c r="BA14" s="68">
        <v>6.68</v>
      </c>
      <c r="BB14" s="68">
        <v>25.8</v>
      </c>
      <c r="BC14" s="68">
        <v>5.3</v>
      </c>
      <c r="BD14" s="68">
        <v>1.42</v>
      </c>
      <c r="BE14" s="68">
        <v>5.5</v>
      </c>
      <c r="BF14" s="68">
        <v>0.9</v>
      </c>
      <c r="BG14" s="68">
        <v>5.3</v>
      </c>
      <c r="BH14" s="68">
        <v>1.1000000000000001</v>
      </c>
      <c r="BI14" s="68">
        <v>3.1</v>
      </c>
      <c r="BJ14" s="68">
        <v>0.46</v>
      </c>
      <c r="BK14" s="68">
        <v>3.1</v>
      </c>
      <c r="BL14" s="68">
        <v>0.49</v>
      </c>
      <c r="BM14" s="68">
        <v>3.6</v>
      </c>
      <c r="BN14" s="68">
        <v>0.5</v>
      </c>
      <c r="BO14" s="68">
        <v>0</v>
      </c>
      <c r="BP14" s="68">
        <v>0.7</v>
      </c>
      <c r="BQ14" s="68">
        <v>14</v>
      </c>
      <c r="BR14" s="68">
        <v>10.6</v>
      </c>
      <c r="BS14" s="68">
        <v>1</v>
      </c>
      <c r="BT14" s="69">
        <f t="shared" si="5"/>
        <v>0.71623036649214666</v>
      </c>
      <c r="BU14" s="117">
        <f t="shared" si="6"/>
        <v>154.65</v>
      </c>
      <c r="BV14" s="48">
        <f t="shared" si="7"/>
        <v>650</v>
      </c>
      <c r="BW14" s="70">
        <f t="shared" si="8"/>
        <v>92.914124824026274</v>
      </c>
      <c r="BX14" s="69">
        <f t="shared" si="13"/>
        <v>0.71623036649214666</v>
      </c>
      <c r="BY14" s="69">
        <v>9.14</v>
      </c>
      <c r="BZ14" s="69">
        <v>0.49</v>
      </c>
      <c r="CA14" s="69">
        <v>30.82</v>
      </c>
      <c r="CB14" s="69">
        <v>7.3599999999999999E-2</v>
      </c>
      <c r="CC14" s="69">
        <v>6.4000000000000003E-3</v>
      </c>
      <c r="CD14" s="69">
        <v>0</v>
      </c>
      <c r="CE14" s="69">
        <v>0</v>
      </c>
      <c r="CF14" s="69">
        <v>0</v>
      </c>
      <c r="CG14" s="69">
        <v>0</v>
      </c>
      <c r="CH14" s="69">
        <v>1.34</v>
      </c>
      <c r="CI14" s="69">
        <v>0</v>
      </c>
      <c r="CJ14" s="69">
        <v>0</v>
      </c>
      <c r="CK14" s="69">
        <v>24.33</v>
      </c>
      <c r="CL14" s="69">
        <v>15.53</v>
      </c>
      <c r="CM14" s="69">
        <v>0.25</v>
      </c>
      <c r="CN14" s="69">
        <v>0</v>
      </c>
      <c r="CO14" s="69">
        <v>17.7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117">
        <v>99.68</v>
      </c>
      <c r="CZ14" s="283">
        <v>0.3422543031649084</v>
      </c>
      <c r="DA14" s="283">
        <v>8.173237090505275E-4</v>
      </c>
      <c r="DB14" s="283">
        <v>7.1071626873958922E-5</v>
      </c>
      <c r="DC14" s="283">
        <v>0</v>
      </c>
      <c r="DD14" s="283">
        <v>0</v>
      </c>
      <c r="DE14" s="283">
        <v>0</v>
      </c>
      <c r="DF14" s="283">
        <v>0</v>
      </c>
      <c r="DG14" s="283">
        <v>1.4880621876735148E-2</v>
      </c>
      <c r="DH14" s="283">
        <v>0</v>
      </c>
      <c r="DI14" s="283">
        <v>0</v>
      </c>
      <c r="DJ14" s="283">
        <v>0.27018323153803442</v>
      </c>
      <c r="DK14" s="283">
        <v>0.17245974458634092</v>
      </c>
      <c r="DL14" s="283">
        <v>2.7762354247640201E-3</v>
      </c>
      <c r="DM14" s="283">
        <v>0</v>
      </c>
      <c r="DN14" s="283">
        <v>0.19655746807329261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v>0</v>
      </c>
      <c r="DV14" s="283">
        <v>0</v>
      </c>
      <c r="DW14" s="283">
        <v>0</v>
      </c>
      <c r="DX14" s="69">
        <v>1</v>
      </c>
      <c r="DY14" s="70">
        <v>63.041876258913717</v>
      </c>
      <c r="DZ14" s="70">
        <v>22.378247301607512</v>
      </c>
      <c r="EA14" s="70">
        <v>1.6704902538684527</v>
      </c>
      <c r="EB14" s="70">
        <v>3.058493726986375</v>
      </c>
      <c r="EC14" s="70">
        <v>0</v>
      </c>
      <c r="ED14" s="70">
        <v>1.094375472580928</v>
      </c>
      <c r="EE14" s="70">
        <v>2.9622270192760689E-2</v>
      </c>
      <c r="EF14" s="70">
        <v>8.4023565285315949E-4</v>
      </c>
      <c r="EG14" s="70">
        <v>1.0935418942404751</v>
      </c>
      <c r="EH14" s="70">
        <v>0.42442057228879709</v>
      </c>
      <c r="EI14" s="70">
        <v>0</v>
      </c>
      <c r="EJ14" s="70">
        <v>7.2080920136681357</v>
      </c>
      <c r="EK14" s="70">
        <v>0</v>
      </c>
      <c r="EL14" s="70">
        <v>100.00000000000003</v>
      </c>
      <c r="EM14" s="69">
        <v>95.21746080182993</v>
      </c>
      <c r="EN14" s="69" t="s">
        <v>83</v>
      </c>
      <c r="EO14" s="287">
        <v>5.0042484162836014E-2</v>
      </c>
      <c r="EP14" s="257">
        <f t="shared" si="14"/>
        <v>5.004248416283601</v>
      </c>
      <c r="EQ14" s="257">
        <f t="shared" si="15"/>
        <v>69.854187860291617</v>
      </c>
      <c r="ER14" s="324">
        <f t="shared" si="16"/>
        <v>5.2167523879500369E-2</v>
      </c>
      <c r="ES14" s="257">
        <f t="shared" si="9"/>
        <v>0.71623036649214666</v>
      </c>
      <c r="ET14">
        <f t="shared" si="10"/>
        <v>650</v>
      </c>
      <c r="EU14" s="324">
        <f t="shared" si="17"/>
        <v>7.2836235825910589E-2</v>
      </c>
      <c r="EV14" s="39">
        <f t="shared" si="18"/>
        <v>178.2</v>
      </c>
      <c r="EW14"/>
      <c r="EX14">
        <f t="shared" si="19"/>
        <v>27.27272727272727</v>
      </c>
      <c r="EY14"/>
      <c r="EZ14"/>
      <c r="FA14"/>
      <c r="FB14"/>
      <c r="FC14"/>
      <c r="FD14"/>
    </row>
    <row r="15" spans="1:160" s="48" customFormat="1" ht="13" customHeight="1" x14ac:dyDescent="0.2">
      <c r="A15" s="65" t="s">
        <v>84</v>
      </c>
      <c r="B15" s="66" t="s">
        <v>421</v>
      </c>
      <c r="C15" s="274">
        <f t="shared" si="11"/>
        <v>177.2</v>
      </c>
      <c r="D15" s="67">
        <v>700</v>
      </c>
      <c r="E15" s="67">
        <v>800</v>
      </c>
      <c r="F15" s="67">
        <f t="shared" si="4"/>
        <v>750</v>
      </c>
      <c r="G15" s="82" t="s">
        <v>516</v>
      </c>
      <c r="H15" s="84">
        <v>10</v>
      </c>
      <c r="I15" s="85">
        <v>5</v>
      </c>
      <c r="J15" s="85">
        <v>4</v>
      </c>
      <c r="K15" s="89">
        <f t="shared" si="12"/>
        <v>12.5</v>
      </c>
      <c r="L15" s="67">
        <v>146</v>
      </c>
      <c r="M15" s="67">
        <v>116</v>
      </c>
      <c r="N15" s="67">
        <v>79</v>
      </c>
      <c r="O15" s="68">
        <v>65.959999999999994</v>
      </c>
      <c r="P15" s="68">
        <v>17.55</v>
      </c>
      <c r="Q15" s="68">
        <v>4.63</v>
      </c>
      <c r="R15" s="68">
        <v>0.1</v>
      </c>
      <c r="S15" s="68">
        <v>1.43</v>
      </c>
      <c r="T15" s="68">
        <v>0.15</v>
      </c>
      <c r="U15" s="68">
        <v>0.12</v>
      </c>
      <c r="V15" s="68">
        <v>1.26</v>
      </c>
      <c r="W15" s="68">
        <v>0.49399999999999999</v>
      </c>
      <c r="X15" s="68">
        <v>0.04</v>
      </c>
      <c r="Y15" s="68">
        <v>7.7</v>
      </c>
      <c r="Z15" s="68">
        <v>99.43</v>
      </c>
      <c r="AA15" s="68">
        <v>9</v>
      </c>
      <c r="AB15" s="68">
        <v>3</v>
      </c>
      <c r="AC15" s="68">
        <v>80</v>
      </c>
      <c r="AD15" s="68">
        <v>0</v>
      </c>
      <c r="AE15" s="68">
        <v>23</v>
      </c>
      <c r="AF15" s="68">
        <v>30</v>
      </c>
      <c r="AG15" s="68">
        <v>20</v>
      </c>
      <c r="AH15" s="68">
        <v>120</v>
      </c>
      <c r="AI15" s="68">
        <v>22</v>
      </c>
      <c r="AJ15" s="68">
        <v>2</v>
      </c>
      <c r="AK15" s="68">
        <v>0</v>
      </c>
      <c r="AL15" s="68">
        <v>166</v>
      </c>
      <c r="AM15" s="68">
        <v>19</v>
      </c>
      <c r="AN15" s="68">
        <v>23</v>
      </c>
      <c r="AO15" s="68">
        <v>169</v>
      </c>
      <c r="AP15" s="68">
        <v>6</v>
      </c>
      <c r="AQ15" s="68" t="s">
        <v>72</v>
      </c>
      <c r="AR15" s="68" t="s">
        <v>74</v>
      </c>
      <c r="AS15" s="68" t="s">
        <v>73</v>
      </c>
      <c r="AT15" s="68">
        <v>3</v>
      </c>
      <c r="AU15" s="68" t="s">
        <v>74</v>
      </c>
      <c r="AV15" s="68">
        <v>1.5</v>
      </c>
      <c r="AW15" s="68">
        <v>295</v>
      </c>
      <c r="AX15" s="68" t="s">
        <v>75</v>
      </c>
      <c r="AY15" s="68">
        <v>29.8</v>
      </c>
      <c r="AZ15" s="68">
        <v>69.900000000000006</v>
      </c>
      <c r="BA15" s="68">
        <v>6.77</v>
      </c>
      <c r="BB15" s="68">
        <v>25.1</v>
      </c>
      <c r="BC15" s="68">
        <v>4.8</v>
      </c>
      <c r="BD15" s="68">
        <v>1.2</v>
      </c>
      <c r="BE15" s="68">
        <v>4.5999999999999996</v>
      </c>
      <c r="BF15" s="68">
        <v>0.7</v>
      </c>
      <c r="BG15" s="68">
        <v>4.2</v>
      </c>
      <c r="BH15" s="68">
        <v>0.8</v>
      </c>
      <c r="BI15" s="68">
        <v>2.4</v>
      </c>
      <c r="BJ15" s="68">
        <v>0.34</v>
      </c>
      <c r="BK15" s="68">
        <v>2.4</v>
      </c>
      <c r="BL15" s="68">
        <v>0.38</v>
      </c>
      <c r="BM15" s="68">
        <v>4.0999999999999996</v>
      </c>
      <c r="BN15" s="68">
        <v>0.3</v>
      </c>
      <c r="BO15" s="68">
        <v>0</v>
      </c>
      <c r="BP15" s="68">
        <v>0.6</v>
      </c>
      <c r="BQ15" s="68">
        <v>10</v>
      </c>
      <c r="BR15" s="68">
        <v>17.2</v>
      </c>
      <c r="BS15" s="68">
        <v>0.7</v>
      </c>
      <c r="BT15" s="69">
        <f t="shared" si="5"/>
        <v>0.70110330992978942</v>
      </c>
      <c r="BU15" s="117">
        <f t="shared" si="6"/>
        <v>153.38999999999999</v>
      </c>
      <c r="BV15" s="48">
        <f t="shared" si="7"/>
        <v>750</v>
      </c>
      <c r="BW15" s="70">
        <f t="shared" si="8"/>
        <v>91.981132075471692</v>
      </c>
      <c r="BX15" s="69">
        <f t="shared" si="13"/>
        <v>0.70110330992978942</v>
      </c>
      <c r="BY15" s="69">
        <v>10.38</v>
      </c>
      <c r="BZ15" s="69">
        <v>0.56000000000000005</v>
      </c>
      <c r="CA15" s="69">
        <v>33.01</v>
      </c>
      <c r="CB15" s="69">
        <v>2.76E-2</v>
      </c>
      <c r="CC15" s="69">
        <v>2.3999999999999998E-3</v>
      </c>
      <c r="CD15" s="69">
        <v>0</v>
      </c>
      <c r="CE15" s="69">
        <v>0</v>
      </c>
      <c r="CF15" s="69">
        <v>0</v>
      </c>
      <c r="CG15" s="69">
        <v>0</v>
      </c>
      <c r="CH15" s="69">
        <v>0.05</v>
      </c>
      <c r="CI15" s="69">
        <v>0</v>
      </c>
      <c r="CJ15" s="69">
        <v>0</v>
      </c>
      <c r="CK15" s="69">
        <v>23.04</v>
      </c>
      <c r="CL15" s="69">
        <v>12.83</v>
      </c>
      <c r="CM15" s="69">
        <v>0.18</v>
      </c>
      <c r="CN15" s="69">
        <v>0</v>
      </c>
      <c r="CO15" s="69">
        <v>19.920000000000002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117">
        <v>100</v>
      </c>
      <c r="CZ15" s="283">
        <v>0.3706490006737031</v>
      </c>
      <c r="DA15" s="283">
        <v>3.0990343588591958E-4</v>
      </c>
      <c r="DB15" s="283">
        <v>2.6948124859645179E-5</v>
      </c>
      <c r="DC15" s="283">
        <v>0</v>
      </c>
      <c r="DD15" s="283">
        <v>0</v>
      </c>
      <c r="DE15" s="283">
        <v>0</v>
      </c>
      <c r="DF15" s="283">
        <v>0</v>
      </c>
      <c r="DG15" s="283">
        <v>5.6141926790927469E-4</v>
      </c>
      <c r="DH15" s="283">
        <v>0</v>
      </c>
      <c r="DI15" s="283">
        <v>0</v>
      </c>
      <c r="DJ15" s="283">
        <v>0.25870199865259375</v>
      </c>
      <c r="DK15" s="283">
        <v>0.14406018414551988</v>
      </c>
      <c r="DL15" s="283">
        <v>2.0211093644733886E-3</v>
      </c>
      <c r="DM15" s="283">
        <v>0</v>
      </c>
      <c r="DN15" s="283">
        <v>0.22366943633505504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v>0</v>
      </c>
      <c r="DV15" s="283">
        <v>0</v>
      </c>
      <c r="DW15" s="283">
        <v>0</v>
      </c>
      <c r="DX15" s="69">
        <v>1</v>
      </c>
      <c r="DY15" s="70">
        <v>65.082502346267958</v>
      </c>
      <c r="DZ15" s="70">
        <v>21.380899937241107</v>
      </c>
      <c r="EA15" s="70">
        <v>0.45281160285646954</v>
      </c>
      <c r="EB15" s="70">
        <v>3.4803641634936975</v>
      </c>
      <c r="EC15" s="70">
        <v>0</v>
      </c>
      <c r="ED15" s="70">
        <v>1.2434548160553038</v>
      </c>
      <c r="EE15" s="70">
        <v>3.2666056916019898E-2</v>
      </c>
      <c r="EF15" s="70">
        <v>3.1859092412177324E-4</v>
      </c>
      <c r="EG15" s="70">
        <v>1.2293975926516061</v>
      </c>
      <c r="EH15" s="70">
        <v>0.48296262209400831</v>
      </c>
      <c r="EI15" s="70">
        <v>0</v>
      </c>
      <c r="EJ15" s="70">
        <v>6.6146222714997149</v>
      </c>
      <c r="EK15" s="70">
        <v>0</v>
      </c>
      <c r="EL15" s="70">
        <v>100</v>
      </c>
      <c r="EM15" s="69">
        <v>94.424914945708878</v>
      </c>
      <c r="EN15" s="69" t="s">
        <v>84</v>
      </c>
      <c r="EO15" s="287">
        <v>4.2464085410646002E-2</v>
      </c>
      <c r="EP15" s="257">
        <f t="shared" si="14"/>
        <v>4.2464085410646</v>
      </c>
      <c r="EQ15" s="257">
        <f t="shared" si="15"/>
        <v>64.29210667621264</v>
      </c>
      <c r="ER15" s="324">
        <f t="shared" si="16"/>
        <v>4.5627376425855508E-2</v>
      </c>
      <c r="ES15" s="257">
        <f t="shared" si="9"/>
        <v>0.70110330992978942</v>
      </c>
      <c r="ET15">
        <f t="shared" si="10"/>
        <v>750</v>
      </c>
      <c r="EU15" s="324">
        <f t="shared" si="17"/>
        <v>6.5079390982228813E-2</v>
      </c>
      <c r="EV15" s="39">
        <f t="shared" si="18"/>
        <v>177.2</v>
      </c>
      <c r="EW15"/>
      <c r="EX15">
        <f t="shared" si="19"/>
        <v>28.75</v>
      </c>
      <c r="EY15"/>
      <c r="EZ15"/>
      <c r="FA15"/>
      <c r="FB15"/>
      <c r="FC15"/>
      <c r="FD15"/>
    </row>
    <row r="16" spans="1:160" s="48" customFormat="1" ht="13" customHeight="1" x14ac:dyDescent="0.2">
      <c r="A16" s="65" t="s">
        <v>140</v>
      </c>
      <c r="B16" s="66" t="s">
        <v>421</v>
      </c>
      <c r="C16" s="274">
        <f>177.9-F16/100</f>
        <v>177.85</v>
      </c>
      <c r="D16" s="67">
        <v>0</v>
      </c>
      <c r="E16" s="67">
        <v>10</v>
      </c>
      <c r="F16" s="67">
        <f t="shared" si="4"/>
        <v>5</v>
      </c>
      <c r="G16" s="82" t="s">
        <v>514</v>
      </c>
      <c r="H16" s="84">
        <v>7.5</v>
      </c>
      <c r="I16" s="85">
        <v>4</v>
      </c>
      <c r="J16" s="85">
        <v>4</v>
      </c>
      <c r="K16" s="89">
        <f t="shared" si="12"/>
        <v>7.5</v>
      </c>
      <c r="L16" s="67">
        <v>124</v>
      </c>
      <c r="M16" s="67">
        <v>89</v>
      </c>
      <c r="N16" s="67">
        <v>58</v>
      </c>
      <c r="O16" s="68">
        <v>81.3</v>
      </c>
      <c r="P16" s="68">
        <v>7.84</v>
      </c>
      <c r="Q16" s="68">
        <v>2.64</v>
      </c>
      <c r="R16" s="68">
        <v>4.7E-2</v>
      </c>
      <c r="S16" s="68">
        <v>0.13</v>
      </c>
      <c r="T16" s="68">
        <v>0.15</v>
      </c>
      <c r="U16" s="68">
        <v>7.0000000000000007E-2</v>
      </c>
      <c r="V16" s="68">
        <v>0.61</v>
      </c>
      <c r="W16" s="68">
        <v>0.38100000000000001</v>
      </c>
      <c r="X16" s="68">
        <v>0.13</v>
      </c>
      <c r="Y16" s="68">
        <v>6.34</v>
      </c>
      <c r="Z16" s="68">
        <v>99.64</v>
      </c>
      <c r="AA16" s="68">
        <v>4</v>
      </c>
      <c r="AB16" s="68">
        <v>0</v>
      </c>
      <c r="AC16" s="68">
        <v>41</v>
      </c>
      <c r="AD16" s="68">
        <v>20</v>
      </c>
      <c r="AE16" s="68">
        <v>4</v>
      </c>
      <c r="AF16" s="68">
        <v>0</v>
      </c>
      <c r="AG16" s="68">
        <v>20</v>
      </c>
      <c r="AH16" s="68">
        <v>0</v>
      </c>
      <c r="AI16" s="68">
        <v>9</v>
      </c>
      <c r="AJ16" s="68">
        <v>0</v>
      </c>
      <c r="AK16" s="68">
        <v>0</v>
      </c>
      <c r="AL16" s="68">
        <v>29</v>
      </c>
      <c r="AM16" s="68">
        <v>26</v>
      </c>
      <c r="AN16" s="68">
        <v>10</v>
      </c>
      <c r="AO16" s="68">
        <v>326</v>
      </c>
      <c r="AP16" s="68">
        <v>5</v>
      </c>
      <c r="AQ16" s="68" t="s">
        <v>72</v>
      </c>
      <c r="AR16" s="68">
        <v>1.1000000000000001</v>
      </c>
      <c r="AS16" s="68" t="s">
        <v>73</v>
      </c>
      <c r="AT16" s="68">
        <v>1</v>
      </c>
      <c r="AU16" s="68">
        <v>0.5</v>
      </c>
      <c r="AV16" s="68">
        <v>1.2</v>
      </c>
      <c r="AW16" s="68">
        <v>181</v>
      </c>
      <c r="AX16" s="68" t="s">
        <v>75</v>
      </c>
      <c r="AY16" s="68">
        <v>12.3</v>
      </c>
      <c r="AZ16" s="68">
        <v>33.700000000000003</v>
      </c>
      <c r="BA16" s="68">
        <v>3.07</v>
      </c>
      <c r="BB16" s="68">
        <v>11.6</v>
      </c>
      <c r="BC16" s="68">
        <v>2.2000000000000002</v>
      </c>
      <c r="BD16" s="68">
        <v>0.55000000000000004</v>
      </c>
      <c r="BE16" s="68">
        <v>2</v>
      </c>
      <c r="BF16" s="68">
        <v>0.3</v>
      </c>
      <c r="BG16" s="68">
        <v>1.9</v>
      </c>
      <c r="BH16" s="68">
        <v>0.4</v>
      </c>
      <c r="BI16" s="68">
        <v>1.1000000000000001</v>
      </c>
      <c r="BJ16" s="68">
        <v>0.17</v>
      </c>
      <c r="BK16" s="68">
        <v>1.2</v>
      </c>
      <c r="BL16" s="68">
        <v>0.2</v>
      </c>
      <c r="BM16" s="68">
        <v>7.3</v>
      </c>
      <c r="BN16" s="68">
        <v>0.4</v>
      </c>
      <c r="BO16" s="68">
        <v>0</v>
      </c>
      <c r="BP16" s="68">
        <v>0</v>
      </c>
      <c r="BQ16" s="68">
        <v>787</v>
      </c>
      <c r="BR16" s="68">
        <v>5.8</v>
      </c>
      <c r="BS16" s="68">
        <v>2</v>
      </c>
      <c r="BT16" s="69">
        <f t="shared" si="5"/>
        <v>0.73260869565217401</v>
      </c>
      <c r="BU16" s="117">
        <f t="shared" si="6"/>
        <v>70.690000000000012</v>
      </c>
      <c r="BV16" s="48">
        <f t="shared" si="7"/>
        <v>5</v>
      </c>
      <c r="BW16" s="70">
        <f t="shared" si="8"/>
        <v>90.426758938869668</v>
      </c>
      <c r="BX16" s="69">
        <f t="shared" si="13"/>
        <v>0.73260869565217401</v>
      </c>
      <c r="BY16" s="69">
        <v>9.59</v>
      </c>
      <c r="BZ16" s="69">
        <v>1.64</v>
      </c>
      <c r="CA16" s="69">
        <v>69.790000000000006</v>
      </c>
      <c r="CB16" s="69">
        <v>1.7756000000000001</v>
      </c>
      <c r="CC16" s="69">
        <v>0.15440000000000001</v>
      </c>
      <c r="CD16" s="69">
        <v>0</v>
      </c>
      <c r="CE16" s="69">
        <v>0</v>
      </c>
      <c r="CF16" s="69">
        <v>0</v>
      </c>
      <c r="CG16" s="69">
        <v>0.74</v>
      </c>
      <c r="CH16" s="69">
        <v>0.32</v>
      </c>
      <c r="CI16" s="69">
        <v>0.22</v>
      </c>
      <c r="CJ16" s="69">
        <v>0.01</v>
      </c>
      <c r="CK16" s="69">
        <v>4.95</v>
      </c>
      <c r="CL16" s="69">
        <v>9.35</v>
      </c>
      <c r="CM16" s="69">
        <v>1.44</v>
      </c>
      <c r="CN16" s="69">
        <v>0</v>
      </c>
      <c r="CO16" s="69">
        <v>0.02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117">
        <v>99.999999999999986</v>
      </c>
      <c r="CZ16" s="283">
        <v>0.78618902782471578</v>
      </c>
      <c r="DA16" s="283">
        <v>2.0002253013405434E-2</v>
      </c>
      <c r="DB16" s="283">
        <v>1.7393263489917769E-3</v>
      </c>
      <c r="DC16" s="283">
        <v>0</v>
      </c>
      <c r="DD16" s="283">
        <v>0</v>
      </c>
      <c r="DE16" s="283">
        <v>0</v>
      </c>
      <c r="DF16" s="283">
        <v>8.3361496000901227E-3</v>
      </c>
      <c r="DG16" s="283">
        <v>3.6048214486876207E-3</v>
      </c>
      <c r="DH16" s="283">
        <v>2.478314745972739E-3</v>
      </c>
      <c r="DI16" s="283">
        <v>1.1265067027148815E-4</v>
      </c>
      <c r="DJ16" s="283">
        <v>5.576208178438663E-2</v>
      </c>
      <c r="DK16" s="283">
        <v>0.1053283767038414</v>
      </c>
      <c r="DL16" s="283">
        <v>1.6221696519094293E-2</v>
      </c>
      <c r="DM16" s="283">
        <v>0</v>
      </c>
      <c r="DN16" s="283">
        <v>2.2530134054297629E-4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v>0</v>
      </c>
      <c r="DV16" s="283">
        <v>0</v>
      </c>
      <c r="DW16" s="283">
        <v>0</v>
      </c>
      <c r="DX16" s="69">
        <v>1</v>
      </c>
      <c r="DY16" s="70">
        <v>88.169146657594567</v>
      </c>
      <c r="DZ16" s="70">
        <v>7.5244891007406585</v>
      </c>
      <c r="EA16" s="70">
        <v>1.2842048278390807</v>
      </c>
      <c r="EB16" s="70">
        <v>3.5057570871607278E-3</v>
      </c>
      <c r="EC16" s="70">
        <v>0</v>
      </c>
      <c r="ED16" s="70">
        <v>3.0398767498228205E-2</v>
      </c>
      <c r="EE16" s="70">
        <v>1.8311602124697884E-2</v>
      </c>
      <c r="EF16" s="70">
        <v>2.0562973927156437E-2</v>
      </c>
      <c r="EG16" s="70">
        <v>0.40368692684997287</v>
      </c>
      <c r="EH16" s="70">
        <v>4.8648634329695022E-4</v>
      </c>
      <c r="EI16" s="70">
        <v>0</v>
      </c>
      <c r="EJ16" s="70">
        <v>2.5398303046400748</v>
      </c>
      <c r="EK16" s="70">
        <v>5.3765953551350807E-3</v>
      </c>
      <c r="EL16" s="70">
        <v>100.00000000000004</v>
      </c>
      <c r="EM16" s="69">
        <v>94.445102398377003</v>
      </c>
      <c r="EN16" s="69" t="s">
        <v>140</v>
      </c>
      <c r="EO16" s="287">
        <v>1.2880261030640858E-2</v>
      </c>
      <c r="EP16" s="257">
        <f t="shared" si="14"/>
        <v>1.2880261030640858</v>
      </c>
      <c r="EQ16" s="257">
        <f t="shared" si="15"/>
        <v>88.876212207644031</v>
      </c>
      <c r="ER16" s="324">
        <f t="shared" si="16"/>
        <v>4.5267489711934158E-2</v>
      </c>
      <c r="ES16" s="257">
        <f t="shared" si="9"/>
        <v>0.73260869565217401</v>
      </c>
      <c r="ET16">
        <f t="shared" si="10"/>
        <v>5</v>
      </c>
      <c r="EU16" s="324">
        <f t="shared" si="17"/>
        <v>6.1789451832313678E-2</v>
      </c>
      <c r="EV16" s="39">
        <f t="shared" si="18"/>
        <v>177.85</v>
      </c>
      <c r="EW16"/>
      <c r="EX16">
        <f t="shared" si="19"/>
        <v>25</v>
      </c>
      <c r="EY16"/>
      <c r="EZ16"/>
      <c r="FA16"/>
      <c r="FB16"/>
      <c r="FC16"/>
      <c r="FD16"/>
    </row>
    <row r="17" spans="1:160" s="48" customFormat="1" ht="13" customHeight="1" x14ac:dyDescent="0.2">
      <c r="A17" s="65" t="s">
        <v>141</v>
      </c>
      <c r="B17" s="66" t="s">
        <v>421</v>
      </c>
      <c r="C17" s="274">
        <f t="shared" ref="C17:C26" si="20">177.9-F17/100</f>
        <v>177.76000000000002</v>
      </c>
      <c r="D17" s="67">
        <v>10</v>
      </c>
      <c r="E17" s="67">
        <v>18</v>
      </c>
      <c r="F17" s="67">
        <f t="shared" si="4"/>
        <v>14</v>
      </c>
      <c r="G17" s="82" t="s">
        <v>506</v>
      </c>
      <c r="H17" s="84">
        <v>5</v>
      </c>
      <c r="I17" s="85">
        <v>4</v>
      </c>
      <c r="J17" s="85">
        <v>6</v>
      </c>
      <c r="K17" s="89">
        <f t="shared" si="12"/>
        <v>3.3333333333333335</v>
      </c>
      <c r="L17" s="67">
        <v>136</v>
      </c>
      <c r="M17" s="67">
        <v>83</v>
      </c>
      <c r="N17" s="67">
        <v>47</v>
      </c>
      <c r="O17" s="68">
        <v>81.63</v>
      </c>
      <c r="P17" s="68">
        <v>7.87</v>
      </c>
      <c r="Q17" s="68">
        <v>2.64</v>
      </c>
      <c r="R17" s="68">
        <v>5.5E-2</v>
      </c>
      <c r="S17" s="68">
        <v>0.13</v>
      </c>
      <c r="T17" s="68">
        <v>0.12</v>
      </c>
      <c r="U17" s="68">
        <v>0.12</v>
      </c>
      <c r="V17" s="68">
        <v>0.62</v>
      </c>
      <c r="W17" s="68">
        <v>0.36499999999999999</v>
      </c>
      <c r="X17" s="68">
        <v>0.1</v>
      </c>
      <c r="Y17" s="68">
        <v>5.75</v>
      </c>
      <c r="Z17" s="68">
        <v>99.4</v>
      </c>
      <c r="AA17" s="68">
        <v>4</v>
      </c>
      <c r="AB17" s="68">
        <v>0</v>
      </c>
      <c r="AC17" s="68">
        <v>43</v>
      </c>
      <c r="AD17" s="68">
        <v>30</v>
      </c>
      <c r="AE17" s="68">
        <v>5</v>
      </c>
      <c r="AF17" s="68">
        <v>0</v>
      </c>
      <c r="AG17" s="68">
        <v>40</v>
      </c>
      <c r="AH17" s="68">
        <v>0</v>
      </c>
      <c r="AI17" s="68">
        <v>10</v>
      </c>
      <c r="AJ17" s="68">
        <v>0</v>
      </c>
      <c r="AK17" s="68">
        <v>0</v>
      </c>
      <c r="AL17" s="68">
        <v>31</v>
      </c>
      <c r="AM17" s="68">
        <v>26</v>
      </c>
      <c r="AN17" s="68">
        <v>10</v>
      </c>
      <c r="AO17" s="68">
        <v>368</v>
      </c>
      <c r="AP17" s="68">
        <v>5</v>
      </c>
      <c r="AQ17" s="68" t="s">
        <v>72</v>
      </c>
      <c r="AR17" s="68">
        <v>1.5</v>
      </c>
      <c r="AS17" s="68" t="s">
        <v>73</v>
      </c>
      <c r="AT17" s="68">
        <v>1</v>
      </c>
      <c r="AU17" s="68">
        <v>1.5</v>
      </c>
      <c r="AV17" s="68">
        <v>1.2</v>
      </c>
      <c r="AW17" s="68">
        <v>180</v>
      </c>
      <c r="AX17" s="68" t="s">
        <v>75</v>
      </c>
      <c r="AY17" s="68">
        <v>13.6</v>
      </c>
      <c r="AZ17" s="68">
        <v>37.200000000000003</v>
      </c>
      <c r="BA17" s="68">
        <v>3.34</v>
      </c>
      <c r="BB17" s="68">
        <v>12.4</v>
      </c>
      <c r="BC17" s="68">
        <v>2.5</v>
      </c>
      <c r="BD17" s="68">
        <v>0.56000000000000005</v>
      </c>
      <c r="BE17" s="68">
        <v>2.2000000000000002</v>
      </c>
      <c r="BF17" s="68">
        <v>0.3</v>
      </c>
      <c r="BG17" s="68">
        <v>1.9</v>
      </c>
      <c r="BH17" s="68">
        <v>0.4</v>
      </c>
      <c r="BI17" s="68">
        <v>1.2</v>
      </c>
      <c r="BJ17" s="68">
        <v>0.19</v>
      </c>
      <c r="BK17" s="68">
        <v>1.3</v>
      </c>
      <c r="BL17" s="68">
        <v>0.21</v>
      </c>
      <c r="BM17" s="68">
        <v>8.6</v>
      </c>
      <c r="BN17" s="68">
        <v>0.4</v>
      </c>
      <c r="BO17" s="68">
        <v>0</v>
      </c>
      <c r="BP17" s="68">
        <v>0</v>
      </c>
      <c r="BQ17" s="68">
        <v>2110</v>
      </c>
      <c r="BR17" s="68">
        <v>6</v>
      </c>
      <c r="BS17" s="68">
        <v>2.1</v>
      </c>
      <c r="BT17" s="69">
        <f t="shared" si="5"/>
        <v>0.73228346456692917</v>
      </c>
      <c r="BU17" s="117">
        <f t="shared" si="6"/>
        <v>77.300000000000011</v>
      </c>
      <c r="BV17" s="48">
        <f t="shared" si="7"/>
        <v>14</v>
      </c>
      <c r="BW17" s="70">
        <f t="shared" si="8"/>
        <v>90.148911798396355</v>
      </c>
      <c r="BX17" s="69">
        <f t="shared" si="13"/>
        <v>0.73228346456692917</v>
      </c>
      <c r="BY17" s="69">
        <v>10.24</v>
      </c>
      <c r="BZ17" s="69">
        <v>2.02</v>
      </c>
      <c r="CA17" s="69">
        <v>67.44</v>
      </c>
      <c r="CB17" s="69">
        <v>2.6036000000000001</v>
      </c>
      <c r="CC17" s="69">
        <v>0.22640000000000002</v>
      </c>
      <c r="CD17" s="69">
        <v>0</v>
      </c>
      <c r="CE17" s="69">
        <v>0</v>
      </c>
      <c r="CF17" s="69">
        <v>0</v>
      </c>
      <c r="CG17" s="69">
        <v>0.82</v>
      </c>
      <c r="CH17" s="69">
        <v>0.27</v>
      </c>
      <c r="CI17" s="69">
        <v>0.14000000000000001</v>
      </c>
      <c r="CJ17" s="69">
        <v>0</v>
      </c>
      <c r="CK17" s="69">
        <v>5.54</v>
      </c>
      <c r="CL17" s="69">
        <v>9.41</v>
      </c>
      <c r="CM17" s="69">
        <v>1.28</v>
      </c>
      <c r="CN17" s="69">
        <v>0</v>
      </c>
      <c r="CO17" s="69">
        <v>0.02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117">
        <v>100.00999999999999</v>
      </c>
      <c r="CZ17" s="283">
        <v>0.76854700854700864</v>
      </c>
      <c r="DA17" s="283">
        <v>2.9670655270655277E-2</v>
      </c>
      <c r="DB17" s="283">
        <v>2.5800569800569807E-3</v>
      </c>
      <c r="DC17" s="283">
        <v>0</v>
      </c>
      <c r="DD17" s="283">
        <v>0</v>
      </c>
      <c r="DE17" s="283">
        <v>0</v>
      </c>
      <c r="DF17" s="283">
        <v>9.3447293447293453E-3</v>
      </c>
      <c r="DG17" s="283">
        <v>3.0769230769230778E-3</v>
      </c>
      <c r="DH17" s="283">
        <v>1.5954415954415959E-3</v>
      </c>
      <c r="DI17" s="283">
        <v>0</v>
      </c>
      <c r="DJ17" s="283">
        <v>6.3133903133903144E-2</v>
      </c>
      <c r="DK17" s="283">
        <v>0.10723646723646725</v>
      </c>
      <c r="DL17" s="283">
        <v>1.458689458689459E-2</v>
      </c>
      <c r="DM17" s="283">
        <v>0</v>
      </c>
      <c r="DN17" s="283">
        <v>2.2792022792022797E-4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v>0</v>
      </c>
      <c r="DV17" s="283">
        <v>0</v>
      </c>
      <c r="DW17" s="283">
        <v>0</v>
      </c>
      <c r="DX17" s="69">
        <v>1</v>
      </c>
      <c r="DY17" s="70">
        <v>87.453867417357799</v>
      </c>
      <c r="DZ17" s="70">
        <v>7.9509323221552419</v>
      </c>
      <c r="EA17" s="70">
        <v>1.3458771726302976</v>
      </c>
      <c r="EB17" s="70">
        <v>3.5465077678319972E-3</v>
      </c>
      <c r="EC17" s="70">
        <v>0</v>
      </c>
      <c r="ED17" s="70">
        <v>2.5261534058853761E-2</v>
      </c>
      <c r="EE17" s="70">
        <v>1.3388727412107396E-2</v>
      </c>
      <c r="EF17" s="70">
        <v>3.0502409419740525E-2</v>
      </c>
      <c r="EG17" s="70">
        <v>0.56089492728463564</v>
      </c>
      <c r="EH17" s="70">
        <v>4.9214122728741044E-4</v>
      </c>
      <c r="EI17" s="70">
        <v>0</v>
      </c>
      <c r="EJ17" s="70">
        <v>2.6152368406862183</v>
      </c>
      <c r="EK17" s="70">
        <v>0</v>
      </c>
      <c r="EL17" s="70">
        <v>100.00000000000003</v>
      </c>
      <c r="EM17" s="69">
        <v>92.931206512279473</v>
      </c>
      <c r="EN17" s="69" t="s">
        <v>141</v>
      </c>
      <c r="EO17" s="287">
        <v>1.3497428660972345E-2</v>
      </c>
      <c r="EP17" s="257">
        <f t="shared" si="14"/>
        <v>1.3497428660972346</v>
      </c>
      <c r="EQ17" s="257">
        <f t="shared" si="15"/>
        <v>85.023646873357848</v>
      </c>
      <c r="ER17" s="324">
        <f t="shared" si="16"/>
        <v>4.3209876543209881E-2</v>
      </c>
      <c r="ES17" s="257">
        <f t="shared" si="9"/>
        <v>0.73228346456692917</v>
      </c>
      <c r="ET17">
        <f t="shared" si="10"/>
        <v>14</v>
      </c>
      <c r="EU17" s="324">
        <f t="shared" si="17"/>
        <v>5.9007035709544672E-2</v>
      </c>
      <c r="EV17" s="39">
        <f t="shared" si="18"/>
        <v>177.76000000000002</v>
      </c>
      <c r="EW17"/>
      <c r="EX17">
        <f t="shared" si="19"/>
        <v>25</v>
      </c>
      <c r="EY17"/>
      <c r="EZ17"/>
      <c r="FA17"/>
      <c r="FB17"/>
      <c r="FC17"/>
      <c r="FD17"/>
    </row>
    <row r="18" spans="1:160" s="48" customFormat="1" ht="13" customHeight="1" x14ac:dyDescent="0.2">
      <c r="A18" s="65" t="s">
        <v>142</v>
      </c>
      <c r="B18" s="66" t="s">
        <v>421</v>
      </c>
      <c r="C18" s="274">
        <f t="shared" si="20"/>
        <v>177.52</v>
      </c>
      <c r="D18" s="67">
        <v>18</v>
      </c>
      <c r="E18" s="67">
        <v>58</v>
      </c>
      <c r="F18" s="67">
        <f t="shared" si="4"/>
        <v>38</v>
      </c>
      <c r="G18" s="82" t="s">
        <v>517</v>
      </c>
      <c r="H18" s="84">
        <v>5</v>
      </c>
      <c r="I18" s="85">
        <v>5</v>
      </c>
      <c r="J18" s="85">
        <v>6</v>
      </c>
      <c r="K18" s="89">
        <f t="shared" si="12"/>
        <v>4.166666666666667</v>
      </c>
      <c r="L18" s="67">
        <v>164</v>
      </c>
      <c r="M18" s="67">
        <v>109</v>
      </c>
      <c r="N18" s="67">
        <v>70</v>
      </c>
      <c r="O18" s="68">
        <v>66.11</v>
      </c>
      <c r="P18" s="68">
        <v>17.010000000000002</v>
      </c>
      <c r="Q18" s="68">
        <v>5.59</v>
      </c>
      <c r="R18" s="68">
        <v>2.8000000000000001E-2</v>
      </c>
      <c r="S18" s="68">
        <v>0.15</v>
      </c>
      <c r="T18" s="68">
        <v>0.06</v>
      </c>
      <c r="U18" s="68">
        <v>0.06</v>
      </c>
      <c r="V18" s="68">
        <v>0.51</v>
      </c>
      <c r="W18" s="68">
        <v>0.629</v>
      </c>
      <c r="X18" s="68">
        <v>0.05</v>
      </c>
      <c r="Y18" s="68">
        <v>8.7100000000000009</v>
      </c>
      <c r="Z18" s="68">
        <v>98.91</v>
      </c>
      <c r="AA18" s="68">
        <v>11</v>
      </c>
      <c r="AB18" s="68">
        <v>1</v>
      </c>
      <c r="AC18" s="68">
        <v>94</v>
      </c>
      <c r="AD18" s="68">
        <v>30</v>
      </c>
      <c r="AE18" s="68">
        <v>5</v>
      </c>
      <c r="AF18" s="68">
        <v>0</v>
      </c>
      <c r="AG18" s="68">
        <v>30</v>
      </c>
      <c r="AH18" s="68">
        <v>40</v>
      </c>
      <c r="AI18" s="68">
        <v>20</v>
      </c>
      <c r="AJ18" s="68">
        <v>0</v>
      </c>
      <c r="AK18" s="68">
        <v>0</v>
      </c>
      <c r="AL18" s="68">
        <v>38</v>
      </c>
      <c r="AM18" s="68">
        <v>21</v>
      </c>
      <c r="AN18" s="68">
        <v>7</v>
      </c>
      <c r="AO18" s="68">
        <v>303</v>
      </c>
      <c r="AP18" s="68">
        <v>9</v>
      </c>
      <c r="AQ18" s="68" t="s">
        <v>72</v>
      </c>
      <c r="AR18" s="68">
        <v>0.9</v>
      </c>
      <c r="AS18" s="68" t="s">
        <v>73</v>
      </c>
      <c r="AT18" s="68">
        <v>2</v>
      </c>
      <c r="AU18" s="68" t="s">
        <v>74</v>
      </c>
      <c r="AV18" s="68">
        <v>2.2000000000000002</v>
      </c>
      <c r="AW18" s="68">
        <v>153</v>
      </c>
      <c r="AX18" s="68" t="s">
        <v>75</v>
      </c>
      <c r="AY18" s="68">
        <v>10.3</v>
      </c>
      <c r="AZ18" s="68">
        <v>26.1</v>
      </c>
      <c r="BA18" s="68">
        <v>2.42</v>
      </c>
      <c r="BB18" s="68">
        <v>9.3000000000000007</v>
      </c>
      <c r="BC18" s="68">
        <v>1.8</v>
      </c>
      <c r="BD18" s="68">
        <v>0.39</v>
      </c>
      <c r="BE18" s="68">
        <v>1.6</v>
      </c>
      <c r="BF18" s="68">
        <v>0.2</v>
      </c>
      <c r="BG18" s="68">
        <v>1.5</v>
      </c>
      <c r="BH18" s="68">
        <v>0.3</v>
      </c>
      <c r="BI18" s="68">
        <v>1</v>
      </c>
      <c r="BJ18" s="68">
        <v>0.15</v>
      </c>
      <c r="BK18" s="68">
        <v>1.1000000000000001</v>
      </c>
      <c r="BL18" s="68">
        <v>0.17</v>
      </c>
      <c r="BM18" s="68">
        <v>6.9</v>
      </c>
      <c r="BN18" s="68">
        <v>0.6</v>
      </c>
      <c r="BO18" s="68">
        <v>0</v>
      </c>
      <c r="BP18" s="68">
        <v>0.1</v>
      </c>
      <c r="BQ18" s="68">
        <v>36</v>
      </c>
      <c r="BR18" s="68">
        <v>9.9</v>
      </c>
      <c r="BS18" s="68">
        <v>2.1</v>
      </c>
      <c r="BT18" s="69">
        <f t="shared" si="5"/>
        <v>0.71703296703296693</v>
      </c>
      <c r="BU18" s="117">
        <f t="shared" si="6"/>
        <v>56.330000000000005</v>
      </c>
      <c r="BV18" s="48">
        <f t="shared" si="7"/>
        <v>38</v>
      </c>
      <c r="BW18" s="70">
        <f t="shared" si="8"/>
        <v>96.428571428571445</v>
      </c>
      <c r="BX18" s="69">
        <f t="shared" si="13"/>
        <v>0.71703296703296693</v>
      </c>
      <c r="BY18" s="69">
        <v>9.25</v>
      </c>
      <c r="BZ18" s="69">
        <v>1.81</v>
      </c>
      <c r="CA18" s="69">
        <v>43.18</v>
      </c>
      <c r="CB18" s="69">
        <v>1.978</v>
      </c>
      <c r="CC18" s="69">
        <v>0.17199999999999999</v>
      </c>
      <c r="CD18" s="69">
        <v>0</v>
      </c>
      <c r="CE18" s="69">
        <v>0</v>
      </c>
      <c r="CF18" s="69">
        <v>0</v>
      </c>
      <c r="CG18" s="69">
        <v>1.04</v>
      </c>
      <c r="CH18" s="69">
        <v>0.35</v>
      </c>
      <c r="CI18" s="69">
        <v>0</v>
      </c>
      <c r="CJ18" s="69">
        <v>0</v>
      </c>
      <c r="CK18" s="69">
        <v>13.84</v>
      </c>
      <c r="CL18" s="69">
        <v>24.66</v>
      </c>
      <c r="CM18" s="69">
        <v>3.44</v>
      </c>
      <c r="CN18" s="69">
        <v>0</v>
      </c>
      <c r="CO18" s="69">
        <v>0.27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117">
        <v>99.99</v>
      </c>
      <c r="CZ18" s="283">
        <v>0.48555043292477235</v>
      </c>
      <c r="DA18" s="283">
        <v>2.2242212976498373E-2</v>
      </c>
      <c r="DB18" s="283">
        <v>1.9341054762172494E-3</v>
      </c>
      <c r="DC18" s="283">
        <v>0</v>
      </c>
      <c r="DD18" s="283">
        <v>0</v>
      </c>
      <c r="DE18" s="283">
        <v>0</v>
      </c>
      <c r="DF18" s="283">
        <v>1.1694591251546161E-2</v>
      </c>
      <c r="DG18" s="283">
        <v>3.9356797481164959E-3</v>
      </c>
      <c r="DH18" s="283">
        <v>0</v>
      </c>
      <c r="DI18" s="283">
        <v>0</v>
      </c>
      <c r="DJ18" s="283">
        <v>0.15562802203980661</v>
      </c>
      <c r="DK18" s="283">
        <v>0.27729675025300798</v>
      </c>
      <c r="DL18" s="283">
        <v>3.868210952434499E-2</v>
      </c>
      <c r="DM18" s="283">
        <v>0</v>
      </c>
      <c r="DN18" s="283">
        <v>3.0360958056898689E-3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v>0</v>
      </c>
      <c r="DV18" s="283">
        <v>0</v>
      </c>
      <c r="DW18" s="283">
        <v>0</v>
      </c>
      <c r="DX18" s="69">
        <v>1</v>
      </c>
      <c r="DY18" s="70">
        <v>71.89601913370889</v>
      </c>
      <c r="DZ18" s="70">
        <v>18.983480815718035</v>
      </c>
      <c r="EA18" s="70">
        <v>1.8891902849051136</v>
      </c>
      <c r="EB18" s="70">
        <v>4.7242570161565058E-2</v>
      </c>
      <c r="EC18" s="70">
        <v>0</v>
      </c>
      <c r="ED18" s="70">
        <v>8.0471978932889293E-2</v>
      </c>
      <c r="EE18" s="70">
        <v>3.5839779667344848E-2</v>
      </c>
      <c r="EF18" s="70">
        <v>2.2865726436490506E-2</v>
      </c>
      <c r="EG18" s="70">
        <v>0.5453938867193836</v>
      </c>
      <c r="EH18" s="70">
        <v>6.5557494813375528E-3</v>
      </c>
      <c r="EI18" s="70">
        <v>0</v>
      </c>
      <c r="EJ18" s="70">
        <v>6.4929400742689696</v>
      </c>
      <c r="EK18" s="70">
        <v>0</v>
      </c>
      <c r="EL18" s="70">
        <v>100.00000000000003</v>
      </c>
      <c r="EM18" s="69">
        <v>96.915905964945068</v>
      </c>
      <c r="EN18" s="69" t="s">
        <v>142</v>
      </c>
      <c r="EO18" s="287">
        <v>1.9406846863812197E-2</v>
      </c>
      <c r="EP18" s="257">
        <f t="shared" si="14"/>
        <v>1.9406846863812197</v>
      </c>
      <c r="EQ18" s="257">
        <f t="shared" si="15"/>
        <v>94.280311982982752</v>
      </c>
      <c r="ER18" s="324">
        <f t="shared" si="16"/>
        <v>4.0247678018575844E-2</v>
      </c>
      <c r="ES18" s="257">
        <f t="shared" si="9"/>
        <v>0.71703296703296693</v>
      </c>
      <c r="ET18">
        <f t="shared" si="10"/>
        <v>38</v>
      </c>
      <c r="EU18" s="324">
        <f t="shared" si="17"/>
        <v>5.61308612979372E-2</v>
      </c>
      <c r="EV18" s="39">
        <f t="shared" si="18"/>
        <v>177.52</v>
      </c>
      <c r="EW18"/>
      <c r="EX18">
        <f t="shared" si="19"/>
        <v>23.333333333333336</v>
      </c>
      <c r="EY18"/>
      <c r="EZ18"/>
      <c r="FA18"/>
      <c r="FB18"/>
      <c r="FC18"/>
      <c r="FD18"/>
    </row>
    <row r="19" spans="1:160" s="48" customFormat="1" ht="13" customHeight="1" x14ac:dyDescent="0.2">
      <c r="A19" s="65" t="s">
        <v>143</v>
      </c>
      <c r="B19" s="66" t="s">
        <v>421</v>
      </c>
      <c r="C19" s="274">
        <f t="shared" si="20"/>
        <v>177.18</v>
      </c>
      <c r="D19" s="67">
        <v>58</v>
      </c>
      <c r="E19" s="67">
        <v>86</v>
      </c>
      <c r="F19" s="67">
        <f t="shared" si="4"/>
        <v>72</v>
      </c>
      <c r="G19" s="82" t="s">
        <v>518</v>
      </c>
      <c r="H19" s="84">
        <v>2.5</v>
      </c>
      <c r="I19" s="85">
        <v>4</v>
      </c>
      <c r="J19" s="85">
        <v>8</v>
      </c>
      <c r="K19" s="89">
        <f t="shared" si="12"/>
        <v>1.25</v>
      </c>
      <c r="L19" s="67">
        <v>150</v>
      </c>
      <c r="M19" s="67">
        <v>75</v>
      </c>
      <c r="N19" s="67">
        <v>38</v>
      </c>
      <c r="O19" s="68">
        <v>51.28</v>
      </c>
      <c r="P19" s="68">
        <v>25</v>
      </c>
      <c r="Q19" s="68">
        <v>9.64</v>
      </c>
      <c r="R19" s="68">
        <v>1.7999999999999999E-2</v>
      </c>
      <c r="S19" s="68">
        <v>0.13</v>
      </c>
      <c r="T19" s="68">
        <v>7.0000000000000007E-2</v>
      </c>
      <c r="U19" s="68">
        <v>0.04</v>
      </c>
      <c r="V19" s="68">
        <v>0.19</v>
      </c>
      <c r="W19" s="68">
        <v>0.91200000000000003</v>
      </c>
      <c r="X19" s="68">
        <v>0.05</v>
      </c>
      <c r="Y19" s="68">
        <v>12.17</v>
      </c>
      <c r="Z19" s="68">
        <v>99.49</v>
      </c>
      <c r="AA19" s="68">
        <v>21</v>
      </c>
      <c r="AB19" s="68">
        <v>2</v>
      </c>
      <c r="AC19" s="68">
        <v>158</v>
      </c>
      <c r="AD19" s="68">
        <v>30</v>
      </c>
      <c r="AE19" s="68">
        <v>4</v>
      </c>
      <c r="AF19" s="68">
        <v>0</v>
      </c>
      <c r="AG19" s="68">
        <v>40</v>
      </c>
      <c r="AH19" s="68">
        <v>40</v>
      </c>
      <c r="AI19" s="68">
        <v>28</v>
      </c>
      <c r="AJ19" s="68">
        <v>1</v>
      </c>
      <c r="AK19" s="68">
        <v>0</v>
      </c>
      <c r="AL19" s="68">
        <v>25</v>
      </c>
      <c r="AM19" s="68">
        <v>10</v>
      </c>
      <c r="AN19" s="68">
        <v>3</v>
      </c>
      <c r="AO19" s="68">
        <v>165</v>
      </c>
      <c r="AP19" s="68">
        <v>9</v>
      </c>
      <c r="AQ19" s="68" t="s">
        <v>72</v>
      </c>
      <c r="AR19" s="68" t="s">
        <v>74</v>
      </c>
      <c r="AS19" s="68" t="s">
        <v>73</v>
      </c>
      <c r="AT19" s="68">
        <v>2</v>
      </c>
      <c r="AU19" s="68" t="s">
        <v>74</v>
      </c>
      <c r="AV19" s="68">
        <v>1.8</v>
      </c>
      <c r="AW19" s="68">
        <v>48</v>
      </c>
      <c r="AX19" s="68" t="s">
        <v>75</v>
      </c>
      <c r="AY19" s="68">
        <v>6.3</v>
      </c>
      <c r="AZ19" s="68">
        <v>13.6</v>
      </c>
      <c r="BA19" s="68">
        <v>1.35</v>
      </c>
      <c r="BB19" s="68">
        <v>4.8</v>
      </c>
      <c r="BC19" s="68">
        <v>1</v>
      </c>
      <c r="BD19" s="68">
        <v>0.23</v>
      </c>
      <c r="BE19" s="68">
        <v>0.7</v>
      </c>
      <c r="BF19" s="68">
        <v>0.1</v>
      </c>
      <c r="BG19" s="68">
        <v>0.8</v>
      </c>
      <c r="BH19" s="68">
        <v>0.2</v>
      </c>
      <c r="BI19" s="68">
        <v>0.5</v>
      </c>
      <c r="BJ19" s="68">
        <v>0.09</v>
      </c>
      <c r="BK19" s="68">
        <v>0.7</v>
      </c>
      <c r="BL19" s="68">
        <v>0.11</v>
      </c>
      <c r="BM19" s="68">
        <v>4</v>
      </c>
      <c r="BN19" s="68">
        <v>0.6</v>
      </c>
      <c r="BO19" s="68">
        <v>0</v>
      </c>
      <c r="BP19" s="68">
        <v>0</v>
      </c>
      <c r="BQ19" s="68">
        <v>247</v>
      </c>
      <c r="BR19" s="68">
        <v>9.3000000000000007</v>
      </c>
      <c r="BS19" s="68">
        <v>1.7</v>
      </c>
      <c r="BT19" s="69">
        <f t="shared" si="5"/>
        <v>0.68341708542713575</v>
      </c>
      <c r="BU19" s="117">
        <f t="shared" si="6"/>
        <v>30.48</v>
      </c>
      <c r="BV19" s="48">
        <f t="shared" si="7"/>
        <v>72</v>
      </c>
      <c r="BW19" s="70">
        <f t="shared" si="8"/>
        <v>98.814229249011859</v>
      </c>
      <c r="BX19" s="69">
        <f t="shared" si="13"/>
        <v>0.68341708542713575</v>
      </c>
      <c r="BY19" s="69">
        <v>9.5</v>
      </c>
      <c r="BZ19" s="69">
        <v>0.81</v>
      </c>
      <c r="CA19" s="69">
        <v>21.59</v>
      </c>
      <c r="CB19" s="69">
        <v>1.4536000000000002</v>
      </c>
      <c r="CC19" s="69">
        <v>0.12640000000000001</v>
      </c>
      <c r="CD19" s="69">
        <v>0</v>
      </c>
      <c r="CE19" s="69">
        <v>0</v>
      </c>
      <c r="CF19" s="69">
        <v>0</v>
      </c>
      <c r="CG19" s="69">
        <v>1.38</v>
      </c>
      <c r="CH19" s="69">
        <v>1.93</v>
      </c>
      <c r="CI19" s="69">
        <v>0</v>
      </c>
      <c r="CJ19" s="69">
        <v>0</v>
      </c>
      <c r="CK19" s="69">
        <v>22.83</v>
      </c>
      <c r="CL19" s="69">
        <v>37.01</v>
      </c>
      <c r="CM19" s="69">
        <v>3.22</v>
      </c>
      <c r="CN19" s="69">
        <v>0</v>
      </c>
      <c r="CO19" s="69">
        <v>0.15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117">
        <v>100</v>
      </c>
      <c r="CZ19" s="283">
        <v>0.24071802876574869</v>
      </c>
      <c r="DA19" s="283">
        <v>1.6206934998327576E-2</v>
      </c>
      <c r="DB19" s="283">
        <v>1.4092986955067455E-3</v>
      </c>
      <c r="DC19" s="283">
        <v>0</v>
      </c>
      <c r="DD19" s="283">
        <v>0</v>
      </c>
      <c r="DE19" s="283">
        <v>0</v>
      </c>
      <c r="DF19" s="283">
        <v>1.5386330694614784E-2</v>
      </c>
      <c r="DG19" s="283">
        <v>2.1518563942468504E-2</v>
      </c>
      <c r="DH19" s="283">
        <v>0</v>
      </c>
      <c r="DI19" s="283">
        <v>0</v>
      </c>
      <c r="DJ19" s="283">
        <v>0.25454342736090979</v>
      </c>
      <c r="DK19" s="283">
        <v>0.41264355000557473</v>
      </c>
      <c r="DL19" s="283">
        <v>3.5901438287434501E-2</v>
      </c>
      <c r="DM19" s="283">
        <v>0</v>
      </c>
      <c r="DN19" s="283">
        <v>1.6724272494146504E-3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v>0</v>
      </c>
      <c r="DV19" s="283">
        <v>0</v>
      </c>
      <c r="DW19" s="283">
        <v>0</v>
      </c>
      <c r="DX19" s="69">
        <v>1</v>
      </c>
      <c r="DY19" s="70">
        <v>57.695200209684025</v>
      </c>
      <c r="DZ19" s="70">
        <v>27.961118393728015</v>
      </c>
      <c r="EA19" s="70">
        <v>3.8695549472126971</v>
      </c>
      <c r="EB19" s="70">
        <v>2.602347446431523E-2</v>
      </c>
      <c r="EC19" s="70">
        <v>0</v>
      </c>
      <c r="ED19" s="70">
        <v>6.8336491126252494E-2</v>
      </c>
      <c r="EE19" s="70">
        <v>3.3105623704593801E-2</v>
      </c>
      <c r="EF19" s="70">
        <v>1.6661262188133383E-2</v>
      </c>
      <c r="EG19" s="70">
        <v>0.42487474873091607</v>
      </c>
      <c r="EH19" s="70">
        <v>3.611221375945222E-3</v>
      </c>
      <c r="EI19" s="70">
        <v>0</v>
      </c>
      <c r="EJ19" s="70">
        <v>9.9015136277850893</v>
      </c>
      <c r="EK19" s="70">
        <v>0</v>
      </c>
      <c r="EL19" s="70">
        <v>99.999999999999986</v>
      </c>
      <c r="EM19" s="69">
        <v>98.33082838598159</v>
      </c>
      <c r="EN19" s="69" t="s">
        <v>143</v>
      </c>
      <c r="EO19" s="287">
        <v>3.8979205343788008E-2</v>
      </c>
      <c r="EP19" s="257">
        <f t="shared" si="14"/>
        <v>3.8979205343788008</v>
      </c>
      <c r="EQ19" s="257">
        <f t="shared" si="15"/>
        <v>97.333538840937109</v>
      </c>
      <c r="ER19" s="324">
        <f t="shared" si="16"/>
        <v>4.5725646123260438E-2</v>
      </c>
      <c r="ES19" s="257">
        <f t="shared" si="9"/>
        <v>0.68341708542713575</v>
      </c>
      <c r="ET19">
        <f t="shared" si="10"/>
        <v>72</v>
      </c>
      <c r="EU19" s="324">
        <f t="shared" si="17"/>
        <v>6.6907379253888427E-2</v>
      </c>
      <c r="EV19" s="39">
        <f t="shared" si="18"/>
        <v>177.18</v>
      </c>
      <c r="EW19"/>
      <c r="EX19">
        <f t="shared" si="19"/>
        <v>15</v>
      </c>
      <c r="EY19"/>
      <c r="EZ19"/>
      <c r="FA19"/>
      <c r="FB19"/>
      <c r="FC19"/>
      <c r="FD19"/>
    </row>
    <row r="20" spans="1:160" s="48" customFormat="1" ht="13" customHeight="1" x14ac:dyDescent="0.2">
      <c r="A20" s="65" t="s">
        <v>144</v>
      </c>
      <c r="B20" s="66" t="s">
        <v>421</v>
      </c>
      <c r="C20" s="274">
        <f t="shared" si="20"/>
        <v>176.79500000000002</v>
      </c>
      <c r="D20" s="67">
        <v>86</v>
      </c>
      <c r="E20" s="67">
        <v>135</v>
      </c>
      <c r="F20" s="67">
        <f t="shared" si="4"/>
        <v>110.5</v>
      </c>
      <c r="G20" s="82" t="s">
        <v>518</v>
      </c>
      <c r="H20" s="84">
        <v>2.5</v>
      </c>
      <c r="I20" s="85">
        <v>4</v>
      </c>
      <c r="J20" s="85">
        <v>8</v>
      </c>
      <c r="K20" s="89">
        <f t="shared" si="12"/>
        <v>1.25</v>
      </c>
      <c r="L20" s="67">
        <v>150</v>
      </c>
      <c r="M20" s="67">
        <v>75</v>
      </c>
      <c r="N20" s="67">
        <v>38</v>
      </c>
      <c r="O20" s="68">
        <v>51.66</v>
      </c>
      <c r="P20" s="68">
        <v>24.13</v>
      </c>
      <c r="Q20" s="68">
        <v>10.25</v>
      </c>
      <c r="R20" s="68">
        <v>2.1000000000000001E-2</v>
      </c>
      <c r="S20" s="68">
        <v>0.09</v>
      </c>
      <c r="T20" s="68">
        <v>0.01</v>
      </c>
      <c r="U20" s="68">
        <v>0.03</v>
      </c>
      <c r="V20" s="68">
        <v>0.1</v>
      </c>
      <c r="W20" s="68">
        <v>0.95899999999999996</v>
      </c>
      <c r="X20" s="68">
        <v>0.06</v>
      </c>
      <c r="Y20" s="68">
        <v>12</v>
      </c>
      <c r="Z20" s="68">
        <v>99.31</v>
      </c>
      <c r="AA20" s="68">
        <v>27</v>
      </c>
      <c r="AB20" s="68">
        <v>2</v>
      </c>
      <c r="AC20" s="68">
        <v>175</v>
      </c>
      <c r="AD20" s="68">
        <v>30</v>
      </c>
      <c r="AE20" s="68">
        <v>3</v>
      </c>
      <c r="AF20" s="68">
        <v>0</v>
      </c>
      <c r="AG20" s="68">
        <v>40</v>
      </c>
      <c r="AH20" s="68">
        <v>40</v>
      </c>
      <c r="AI20" s="68">
        <v>27</v>
      </c>
      <c r="AJ20" s="68">
        <v>1</v>
      </c>
      <c r="AK20" s="68">
        <v>0</v>
      </c>
      <c r="AL20" s="68">
        <v>14</v>
      </c>
      <c r="AM20" s="68">
        <v>4</v>
      </c>
      <c r="AN20" s="68" t="s">
        <v>72</v>
      </c>
      <c r="AO20" s="68">
        <v>182</v>
      </c>
      <c r="AP20" s="68">
        <v>9</v>
      </c>
      <c r="AQ20" s="68" t="s">
        <v>72</v>
      </c>
      <c r="AR20" s="68">
        <v>0.5</v>
      </c>
      <c r="AS20" s="68" t="s">
        <v>73</v>
      </c>
      <c r="AT20" s="68">
        <v>2</v>
      </c>
      <c r="AU20" s="68" t="s">
        <v>74</v>
      </c>
      <c r="AV20" s="68">
        <v>1.1000000000000001</v>
      </c>
      <c r="AW20" s="68">
        <v>23</v>
      </c>
      <c r="AX20" s="68" t="s">
        <v>75</v>
      </c>
      <c r="AY20" s="68">
        <v>6</v>
      </c>
      <c r="AZ20" s="68">
        <v>15.8</v>
      </c>
      <c r="BA20" s="68">
        <v>1.52</v>
      </c>
      <c r="BB20" s="68">
        <v>5.8</v>
      </c>
      <c r="BC20" s="68">
        <v>1.2</v>
      </c>
      <c r="BD20" s="68">
        <v>0.32</v>
      </c>
      <c r="BE20" s="68">
        <v>0.9</v>
      </c>
      <c r="BF20" s="68">
        <v>0.2</v>
      </c>
      <c r="BG20" s="68">
        <v>1</v>
      </c>
      <c r="BH20" s="68">
        <v>0.2</v>
      </c>
      <c r="BI20" s="68">
        <v>0.6</v>
      </c>
      <c r="BJ20" s="68">
        <v>0.11</v>
      </c>
      <c r="BK20" s="68">
        <v>0.9</v>
      </c>
      <c r="BL20" s="68">
        <v>0.14000000000000001</v>
      </c>
      <c r="BM20" s="68">
        <v>4.4000000000000004</v>
      </c>
      <c r="BN20" s="68">
        <v>0.6</v>
      </c>
      <c r="BO20" s="68">
        <v>0</v>
      </c>
      <c r="BP20" s="68">
        <v>0</v>
      </c>
      <c r="BQ20" s="68">
        <v>28</v>
      </c>
      <c r="BR20" s="68">
        <v>6.5</v>
      </c>
      <c r="BS20" s="68">
        <v>1.4</v>
      </c>
      <c r="BT20" s="69">
        <f t="shared" si="5"/>
        <v>0.72477064220183485</v>
      </c>
      <c r="BU20" s="117">
        <f t="shared" si="6"/>
        <v>34.69</v>
      </c>
      <c r="BV20" s="48">
        <f t="shared" si="7"/>
        <v>110.5</v>
      </c>
      <c r="BW20" s="70">
        <f t="shared" si="8"/>
        <v>99.423156159868142</v>
      </c>
      <c r="BX20" s="69">
        <f t="shared" si="13"/>
        <v>0.72477064220183485</v>
      </c>
      <c r="BY20" s="69">
        <v>9.07</v>
      </c>
      <c r="BZ20" s="69">
        <v>0.38</v>
      </c>
      <c r="CA20" s="69">
        <v>20.239999999999998</v>
      </c>
      <c r="CB20" s="69">
        <v>0.54279999999999995</v>
      </c>
      <c r="CC20" s="69">
        <v>4.7199999999999999E-2</v>
      </c>
      <c r="CD20" s="69">
        <v>0</v>
      </c>
      <c r="CE20" s="69">
        <v>0</v>
      </c>
      <c r="CF20" s="69">
        <v>0</v>
      </c>
      <c r="CG20" s="69">
        <v>1.48</v>
      </c>
      <c r="CH20" s="69">
        <v>1.6</v>
      </c>
      <c r="CI20" s="69">
        <v>0</v>
      </c>
      <c r="CJ20" s="69">
        <v>0</v>
      </c>
      <c r="CK20" s="69">
        <v>22.44</v>
      </c>
      <c r="CL20" s="69">
        <v>39.94</v>
      </c>
      <c r="CM20" s="69">
        <v>4.1500000000000004</v>
      </c>
      <c r="CN20" s="69">
        <v>0</v>
      </c>
      <c r="CO20" s="69">
        <v>0.11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117">
        <v>100</v>
      </c>
      <c r="CZ20" s="283">
        <v>0.22352291551628933</v>
      </c>
      <c r="DA20" s="283">
        <v>5.9944781888459408E-3</v>
      </c>
      <c r="DB20" s="283">
        <v>5.212589729431254E-4</v>
      </c>
      <c r="DC20" s="283">
        <v>0</v>
      </c>
      <c r="DD20" s="283">
        <v>0</v>
      </c>
      <c r="DE20" s="283">
        <v>0</v>
      </c>
      <c r="DF20" s="283">
        <v>1.6344561016013254E-2</v>
      </c>
      <c r="DG20" s="283">
        <v>1.7669795692987302E-2</v>
      </c>
      <c r="DH20" s="283">
        <v>0</v>
      </c>
      <c r="DI20" s="283">
        <v>0</v>
      </c>
      <c r="DJ20" s="283">
        <v>0.24781888459414692</v>
      </c>
      <c r="DK20" s="283">
        <v>0.44108227498619546</v>
      </c>
      <c r="DL20" s="283">
        <v>4.5831032578685815E-2</v>
      </c>
      <c r="DM20" s="283">
        <v>0</v>
      </c>
      <c r="DN20" s="283">
        <v>1.2147984538928768E-3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v>0</v>
      </c>
      <c r="DV20" s="283">
        <v>0</v>
      </c>
      <c r="DW20" s="283">
        <v>0</v>
      </c>
      <c r="DX20" s="69">
        <v>1</v>
      </c>
      <c r="DY20" s="70">
        <v>56.641075474100269</v>
      </c>
      <c r="DZ20" s="70">
        <v>28.977945795316522</v>
      </c>
      <c r="EA20" s="70">
        <v>3.672122005578156</v>
      </c>
      <c r="EB20" s="70">
        <v>1.8902631821644589E-2</v>
      </c>
      <c r="EC20" s="70">
        <v>0</v>
      </c>
      <c r="ED20" s="70">
        <v>8.2134991832992776E-2</v>
      </c>
      <c r="EE20" s="70">
        <v>4.2135177809711419E-2</v>
      </c>
      <c r="EF20" s="70">
        <v>6.1625207231173294E-3</v>
      </c>
      <c r="EG20" s="70">
        <v>0.2886729167210067</v>
      </c>
      <c r="EH20" s="70">
        <v>2.6230774137999606E-3</v>
      </c>
      <c r="EI20" s="70">
        <v>0</v>
      </c>
      <c r="EJ20" s="70">
        <v>10.268225408682783</v>
      </c>
      <c r="EK20" s="70">
        <v>0</v>
      </c>
      <c r="EL20" s="70">
        <v>100</v>
      </c>
      <c r="EM20" s="69">
        <v>98.850514835060793</v>
      </c>
      <c r="EN20" s="69" t="s">
        <v>144</v>
      </c>
      <c r="EO20" s="287">
        <v>3.6927258742637484E-2</v>
      </c>
      <c r="EP20" s="257">
        <f t="shared" si="14"/>
        <v>3.6927258742637483</v>
      </c>
      <c r="EQ20" s="257">
        <f t="shared" si="15"/>
        <v>98.94195888754534</v>
      </c>
      <c r="ER20" s="324">
        <f t="shared" si="16"/>
        <v>5.2287581699346407E-2</v>
      </c>
      <c r="ES20" s="257">
        <f t="shared" si="9"/>
        <v>0.72477064220183485</v>
      </c>
      <c r="ET20">
        <f t="shared" si="10"/>
        <v>110.5</v>
      </c>
      <c r="EU20" s="324">
        <f t="shared" si="17"/>
        <v>7.2143625382642518E-2</v>
      </c>
      <c r="EV20" s="39">
        <f t="shared" si="18"/>
        <v>176.79500000000002</v>
      </c>
      <c r="EW20"/>
      <c r="EX20"/>
      <c r="EY20"/>
      <c r="EZ20"/>
      <c r="FA20"/>
      <c r="FB20"/>
      <c r="FC20"/>
      <c r="FD20"/>
    </row>
    <row r="21" spans="1:160" s="48" customFormat="1" ht="13" customHeight="1" x14ac:dyDescent="0.2">
      <c r="A21" s="65" t="s">
        <v>145</v>
      </c>
      <c r="B21" s="66" t="s">
        <v>421</v>
      </c>
      <c r="C21" s="274">
        <f t="shared" si="20"/>
        <v>176.22499999999999</v>
      </c>
      <c r="D21" s="67">
        <v>135</v>
      </c>
      <c r="E21" s="67">
        <v>200</v>
      </c>
      <c r="F21" s="67">
        <f t="shared" si="4"/>
        <v>167.5</v>
      </c>
      <c r="G21" s="82" t="s">
        <v>519</v>
      </c>
      <c r="H21" s="84">
        <v>5</v>
      </c>
      <c r="I21" s="85">
        <v>5</v>
      </c>
      <c r="J21" s="85">
        <v>8</v>
      </c>
      <c r="K21" s="89">
        <f t="shared" si="12"/>
        <v>3.125</v>
      </c>
      <c r="L21" s="67">
        <v>174</v>
      </c>
      <c r="M21" s="67">
        <v>105</v>
      </c>
      <c r="N21" s="67">
        <v>49</v>
      </c>
      <c r="O21" s="68">
        <v>49.72</v>
      </c>
      <c r="P21" s="68">
        <v>25.85</v>
      </c>
      <c r="Q21" s="68">
        <v>11.14</v>
      </c>
      <c r="R21" s="68">
        <v>0.02</v>
      </c>
      <c r="S21" s="68">
        <v>0.09</v>
      </c>
      <c r="T21" s="68">
        <v>0</v>
      </c>
      <c r="U21" s="68">
        <v>0.05</v>
      </c>
      <c r="V21" s="68">
        <v>0.09</v>
      </c>
      <c r="W21" s="68">
        <v>1.083</v>
      </c>
      <c r="X21" s="68">
        <v>7.0000000000000007E-2</v>
      </c>
      <c r="Y21" s="68">
        <v>12.31</v>
      </c>
      <c r="Z21" s="68">
        <v>100.4</v>
      </c>
      <c r="AA21" s="68">
        <v>31</v>
      </c>
      <c r="AB21" s="68">
        <v>2</v>
      </c>
      <c r="AC21" s="68">
        <v>192</v>
      </c>
      <c r="AD21" s="68">
        <v>30</v>
      </c>
      <c r="AE21" s="68">
        <v>3</v>
      </c>
      <c r="AF21" s="68">
        <v>0</v>
      </c>
      <c r="AG21" s="68">
        <v>50</v>
      </c>
      <c r="AH21" s="68">
        <v>40</v>
      </c>
      <c r="AI21" s="68">
        <v>27</v>
      </c>
      <c r="AJ21" s="68">
        <v>1</v>
      </c>
      <c r="AK21" s="68">
        <v>0</v>
      </c>
      <c r="AL21" s="68">
        <v>13</v>
      </c>
      <c r="AM21" s="68">
        <v>3</v>
      </c>
      <c r="AN21" s="68">
        <v>3</v>
      </c>
      <c r="AO21" s="68">
        <v>162</v>
      </c>
      <c r="AP21" s="68">
        <v>6</v>
      </c>
      <c r="AQ21" s="68" t="s">
        <v>72</v>
      </c>
      <c r="AR21" s="68" t="s">
        <v>74</v>
      </c>
      <c r="AS21" s="68" t="s">
        <v>73</v>
      </c>
      <c r="AT21" s="68">
        <v>2</v>
      </c>
      <c r="AU21" s="68" t="s">
        <v>74</v>
      </c>
      <c r="AV21" s="68">
        <v>1</v>
      </c>
      <c r="AW21" s="68">
        <v>21</v>
      </c>
      <c r="AX21" s="68" t="s">
        <v>75</v>
      </c>
      <c r="AY21" s="68">
        <v>6.5</v>
      </c>
      <c r="AZ21" s="68">
        <v>17.399999999999999</v>
      </c>
      <c r="BA21" s="68">
        <v>1.77</v>
      </c>
      <c r="BB21" s="68">
        <v>6.7</v>
      </c>
      <c r="BC21" s="68">
        <v>1.4</v>
      </c>
      <c r="BD21" s="68">
        <v>0.36</v>
      </c>
      <c r="BE21" s="68">
        <v>1.1000000000000001</v>
      </c>
      <c r="BF21" s="68">
        <v>0.2</v>
      </c>
      <c r="BG21" s="68">
        <v>1.2</v>
      </c>
      <c r="BH21" s="68">
        <v>0.2</v>
      </c>
      <c r="BI21" s="68">
        <v>0.7</v>
      </c>
      <c r="BJ21" s="68">
        <v>0.13</v>
      </c>
      <c r="BK21" s="68">
        <v>1</v>
      </c>
      <c r="BL21" s="68">
        <v>0.14000000000000001</v>
      </c>
      <c r="BM21" s="68">
        <v>4</v>
      </c>
      <c r="BN21" s="68">
        <v>0.4</v>
      </c>
      <c r="BO21" s="68">
        <v>0</v>
      </c>
      <c r="BP21" s="68">
        <v>0</v>
      </c>
      <c r="BQ21" s="68">
        <v>149</v>
      </c>
      <c r="BR21" s="68">
        <v>5.2</v>
      </c>
      <c r="BS21" s="68">
        <v>1.2</v>
      </c>
      <c r="BT21" s="69">
        <f t="shared" si="5"/>
        <v>0.72803347280334729</v>
      </c>
      <c r="BU21" s="117">
        <f t="shared" si="6"/>
        <v>38.800000000000011</v>
      </c>
      <c r="BV21" s="48">
        <f t="shared" si="7"/>
        <v>167.5</v>
      </c>
      <c r="BW21" s="70">
        <f t="shared" si="8"/>
        <v>99.461331281262019</v>
      </c>
      <c r="BX21" s="69">
        <f t="shared" si="13"/>
        <v>0.72803347280334729</v>
      </c>
      <c r="BY21" s="69">
        <v>9.3800000000000008</v>
      </c>
      <c r="BZ21" s="69">
        <v>0.89</v>
      </c>
      <c r="CA21" s="69">
        <v>17.79</v>
      </c>
      <c r="CB21" s="69">
        <v>0.37719999999999998</v>
      </c>
      <c r="CC21" s="69">
        <v>3.2799999999999996E-2</v>
      </c>
      <c r="CD21" s="69">
        <v>0</v>
      </c>
      <c r="CE21" s="69">
        <v>0</v>
      </c>
      <c r="CF21" s="69">
        <v>0</v>
      </c>
      <c r="CG21" s="69">
        <v>1.3</v>
      </c>
      <c r="CH21" s="69">
        <v>5.3</v>
      </c>
      <c r="CI21" s="69">
        <v>0</v>
      </c>
      <c r="CJ21" s="69">
        <v>0</v>
      </c>
      <c r="CK21" s="69">
        <v>18.11</v>
      </c>
      <c r="CL21" s="69">
        <v>43.15</v>
      </c>
      <c r="CM21" s="69">
        <v>3.58</v>
      </c>
      <c r="CN21" s="69">
        <v>0</v>
      </c>
      <c r="CO21" s="69">
        <v>0.08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117">
        <v>99.99</v>
      </c>
      <c r="CZ21" s="283">
        <v>0.1982835488185466</v>
      </c>
      <c r="DA21" s="283">
        <v>4.2041908158716003E-3</v>
      </c>
      <c r="DB21" s="283">
        <v>3.655818100757913E-4</v>
      </c>
      <c r="DC21" s="283">
        <v>0</v>
      </c>
      <c r="DD21" s="283">
        <v>0</v>
      </c>
      <c r="DE21" s="283">
        <v>0</v>
      </c>
      <c r="DF21" s="283">
        <v>1.4489522960320999E-2</v>
      </c>
      <c r="DG21" s="283">
        <v>5.9072670530539453E-2</v>
      </c>
      <c r="DH21" s="283">
        <v>0</v>
      </c>
      <c r="DI21" s="283">
        <v>0</v>
      </c>
      <c r="DJ21" s="283">
        <v>0.20185020062416406</v>
      </c>
      <c r="DK21" s="283">
        <v>0.4809407044137316</v>
      </c>
      <c r="DL21" s="283">
        <v>3.9901917075345524E-2</v>
      </c>
      <c r="DM21" s="283">
        <v>0</v>
      </c>
      <c r="DN21" s="283">
        <v>8.9166295140436923E-4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v>0</v>
      </c>
      <c r="DV21" s="283">
        <v>0</v>
      </c>
      <c r="DW21" s="283">
        <v>0</v>
      </c>
      <c r="DX21" s="69">
        <v>1</v>
      </c>
      <c r="DY21" s="70">
        <v>53.469256910612785</v>
      </c>
      <c r="DZ21" s="70">
        <v>28.76064963918688</v>
      </c>
      <c r="EA21" s="70">
        <v>6.8539263206286307</v>
      </c>
      <c r="EB21" s="70">
        <v>1.3874545547358792E-2</v>
      </c>
      <c r="EC21" s="70">
        <v>0</v>
      </c>
      <c r="ED21" s="70">
        <v>7.058900667651298E-2</v>
      </c>
      <c r="EE21" s="70">
        <v>3.666132429690995E-2</v>
      </c>
      <c r="EF21" s="70">
        <v>4.3220464251511742E-3</v>
      </c>
      <c r="EG21" s="70">
        <v>0.23324996563274153</v>
      </c>
      <c r="EH21" s="70">
        <v>1.9253407353754016E-3</v>
      </c>
      <c r="EI21" s="70">
        <v>0</v>
      </c>
      <c r="EJ21" s="70">
        <v>10.555544900257649</v>
      </c>
      <c r="EK21" s="70">
        <v>0</v>
      </c>
      <c r="EL21" s="70">
        <v>100</v>
      </c>
      <c r="EM21" s="69">
        <v>99.055503903405381</v>
      </c>
      <c r="EN21" s="69" t="s">
        <v>145</v>
      </c>
      <c r="EO21" s="287">
        <v>6.8690495752752517E-2</v>
      </c>
      <c r="EP21" s="257">
        <f t="shared" si="14"/>
        <v>6.8690495752752518</v>
      </c>
      <c r="EQ21" s="257">
        <f t="shared" si="15"/>
        <v>99.28310168251646</v>
      </c>
      <c r="ER21" s="324">
        <f t="shared" si="16"/>
        <v>5.0991501416430586E-2</v>
      </c>
      <c r="ES21" s="257">
        <f t="shared" si="9"/>
        <v>0.72803347280334729</v>
      </c>
      <c r="ET21">
        <f t="shared" si="10"/>
        <v>167.5</v>
      </c>
      <c r="EU21" s="324">
        <f t="shared" si="17"/>
        <v>7.0040050796131667E-2</v>
      </c>
      <c r="EV21" s="39">
        <f t="shared" si="18"/>
        <v>176.22499999999999</v>
      </c>
      <c r="EW21"/>
      <c r="EX21">
        <f t="shared" si="19"/>
        <v>15</v>
      </c>
      <c r="EY21"/>
      <c r="EZ21"/>
      <c r="FA21"/>
      <c r="FB21"/>
      <c r="FC21"/>
      <c r="FD21"/>
    </row>
    <row r="22" spans="1:160" s="48" customFormat="1" ht="13" customHeight="1" x14ac:dyDescent="0.2">
      <c r="A22" s="65" t="s">
        <v>146</v>
      </c>
      <c r="B22" s="66" t="s">
        <v>421</v>
      </c>
      <c r="C22" s="274">
        <f t="shared" si="20"/>
        <v>175.4</v>
      </c>
      <c r="D22" s="67">
        <v>200</v>
      </c>
      <c r="E22" s="67">
        <v>300</v>
      </c>
      <c r="F22" s="67">
        <f t="shared" si="4"/>
        <v>250</v>
      </c>
      <c r="G22" s="82" t="s">
        <v>506</v>
      </c>
      <c r="H22" s="84">
        <v>5</v>
      </c>
      <c r="I22" s="85">
        <v>4</v>
      </c>
      <c r="J22" s="85">
        <v>6</v>
      </c>
      <c r="K22" s="89">
        <f t="shared" si="12"/>
        <v>3.3333333333333335</v>
      </c>
      <c r="L22" s="67">
        <v>136</v>
      </c>
      <c r="M22" s="67">
        <v>83</v>
      </c>
      <c r="N22" s="67">
        <v>47</v>
      </c>
      <c r="O22" s="68">
        <v>51.22</v>
      </c>
      <c r="P22" s="68">
        <v>24.26</v>
      </c>
      <c r="Q22" s="68">
        <v>10.65</v>
      </c>
      <c r="R22" s="68">
        <v>3.6999999999999998E-2</v>
      </c>
      <c r="S22" s="68">
        <v>0.26</v>
      </c>
      <c r="T22" s="68">
        <v>0</v>
      </c>
      <c r="U22" s="68">
        <v>0.04</v>
      </c>
      <c r="V22" s="68">
        <v>0.17</v>
      </c>
      <c r="W22" s="68">
        <v>1.0509999999999999</v>
      </c>
      <c r="X22" s="68">
        <v>0.13</v>
      </c>
      <c r="Y22" s="68">
        <v>11.94</v>
      </c>
      <c r="Z22" s="68">
        <v>99.76</v>
      </c>
      <c r="AA22" s="68">
        <v>34</v>
      </c>
      <c r="AB22" s="68">
        <v>4</v>
      </c>
      <c r="AC22" s="68">
        <v>185</v>
      </c>
      <c r="AD22" s="68">
        <v>20</v>
      </c>
      <c r="AE22" s="68">
        <v>5</v>
      </c>
      <c r="AF22" s="68">
        <v>0</v>
      </c>
      <c r="AG22" s="68">
        <v>50</v>
      </c>
      <c r="AH22" s="68">
        <v>50</v>
      </c>
      <c r="AI22" s="68">
        <v>24</v>
      </c>
      <c r="AJ22" s="68">
        <v>1</v>
      </c>
      <c r="AK22" s="68">
        <v>0</v>
      </c>
      <c r="AL22" s="68">
        <v>14</v>
      </c>
      <c r="AM22" s="68" t="s">
        <v>72</v>
      </c>
      <c r="AN22" s="68">
        <v>5</v>
      </c>
      <c r="AO22" s="68">
        <v>191</v>
      </c>
      <c r="AP22" s="68">
        <v>6</v>
      </c>
      <c r="AQ22" s="68" t="s">
        <v>72</v>
      </c>
      <c r="AR22" s="68" t="s">
        <v>74</v>
      </c>
      <c r="AS22" s="68" t="s">
        <v>73</v>
      </c>
      <c r="AT22" s="68">
        <v>1</v>
      </c>
      <c r="AU22" s="68" t="s">
        <v>74</v>
      </c>
      <c r="AV22" s="68">
        <v>0.7</v>
      </c>
      <c r="AW22" s="68">
        <v>49</v>
      </c>
      <c r="AX22" s="68" t="s">
        <v>75</v>
      </c>
      <c r="AY22" s="68">
        <v>8.1</v>
      </c>
      <c r="AZ22" s="68">
        <v>28.9</v>
      </c>
      <c r="BA22" s="68">
        <v>2.68</v>
      </c>
      <c r="BB22" s="68">
        <v>10.9</v>
      </c>
      <c r="BC22" s="68">
        <v>2.5</v>
      </c>
      <c r="BD22" s="68">
        <v>0.62</v>
      </c>
      <c r="BE22" s="68">
        <v>1.9</v>
      </c>
      <c r="BF22" s="68">
        <v>0.3</v>
      </c>
      <c r="BG22" s="68">
        <v>2</v>
      </c>
      <c r="BH22" s="68">
        <v>0.4</v>
      </c>
      <c r="BI22" s="68">
        <v>1.2</v>
      </c>
      <c r="BJ22" s="68">
        <v>0.21</v>
      </c>
      <c r="BK22" s="68">
        <v>1.5</v>
      </c>
      <c r="BL22" s="68">
        <v>0.24</v>
      </c>
      <c r="BM22" s="68">
        <v>4.7</v>
      </c>
      <c r="BN22" s="68">
        <v>0.5</v>
      </c>
      <c r="BO22" s="68">
        <v>0</v>
      </c>
      <c r="BP22" s="68">
        <v>0</v>
      </c>
      <c r="BQ22" s="68">
        <v>18</v>
      </c>
      <c r="BR22" s="68">
        <v>3.4</v>
      </c>
      <c r="BS22" s="68">
        <v>1</v>
      </c>
      <c r="BT22" s="69">
        <f t="shared" si="5"/>
        <v>0.7810810810810811</v>
      </c>
      <c r="BU22" s="117">
        <f t="shared" si="6"/>
        <v>61.449999999999996</v>
      </c>
      <c r="BV22" s="48">
        <f t="shared" si="7"/>
        <v>250</v>
      </c>
      <c r="BW22" s="70">
        <f t="shared" si="8"/>
        <v>99.141806293420501</v>
      </c>
      <c r="BX22" s="69">
        <f t="shared" si="13"/>
        <v>0.7810810810810811</v>
      </c>
      <c r="BY22" s="69">
        <v>10.44</v>
      </c>
      <c r="BZ22" s="69">
        <v>1.02</v>
      </c>
      <c r="CA22" s="69">
        <v>18.59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0.12</v>
      </c>
      <c r="CH22" s="69">
        <v>4.54</v>
      </c>
      <c r="CI22" s="69">
        <v>0</v>
      </c>
      <c r="CJ22" s="69">
        <v>0</v>
      </c>
      <c r="CK22" s="69">
        <v>19.23</v>
      </c>
      <c r="CL22" s="69">
        <v>36.840000000000003</v>
      </c>
      <c r="CM22" s="69">
        <v>3.56</v>
      </c>
      <c r="CN22" s="69">
        <v>0</v>
      </c>
      <c r="CO22" s="69">
        <v>5.65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117">
        <v>99.990000000000009</v>
      </c>
      <c r="CZ22" s="283">
        <v>0.20998531571218793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v>1.3554727211114873E-3</v>
      </c>
      <c r="DG22" s="283">
        <v>5.1282051282051273E-2</v>
      </c>
      <c r="DH22" s="283">
        <v>0</v>
      </c>
      <c r="DI22" s="283">
        <v>0</v>
      </c>
      <c r="DJ22" s="283">
        <v>0.21721450355811586</v>
      </c>
      <c r="DK22" s="283">
        <v>0.41613012538122668</v>
      </c>
      <c r="DL22" s="283">
        <v>4.021235739297413E-2</v>
      </c>
      <c r="DM22" s="283">
        <v>0</v>
      </c>
      <c r="DN22" s="283">
        <v>6.382017395233254E-2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v>0</v>
      </c>
      <c r="DV22" s="283">
        <v>0</v>
      </c>
      <c r="DW22" s="283">
        <v>0</v>
      </c>
      <c r="DX22" s="69">
        <v>0.99999999999999989</v>
      </c>
      <c r="DY22" s="70">
        <v>54.648893591943903</v>
      </c>
      <c r="DZ22" s="70">
        <v>28.270406089702437</v>
      </c>
      <c r="EA22" s="70">
        <v>4.9140875811853819</v>
      </c>
      <c r="EB22" s="70">
        <v>0.99306123344855179</v>
      </c>
      <c r="EC22" s="70">
        <v>0</v>
      </c>
      <c r="ED22" s="70">
        <v>0.4200053333907513</v>
      </c>
      <c r="EE22" s="70">
        <v>4.5615362955846298E-2</v>
      </c>
      <c r="EF22" s="70">
        <v>0</v>
      </c>
      <c r="EG22" s="70">
        <v>0.50548766786401456</v>
      </c>
      <c r="EH22" s="70">
        <v>0.13780496369804413</v>
      </c>
      <c r="EI22" s="70">
        <v>0</v>
      </c>
      <c r="EJ22" s="70">
        <v>10.064638175811066</v>
      </c>
      <c r="EK22" s="70">
        <v>0</v>
      </c>
      <c r="EL22" s="70">
        <v>99.999999999999986</v>
      </c>
      <c r="EM22" s="69">
        <v>98.087875868972276</v>
      </c>
      <c r="EN22" s="69" t="s">
        <v>146</v>
      </c>
      <c r="EO22" s="287">
        <v>5.9965243256443035E-2</v>
      </c>
      <c r="EP22" s="257">
        <f t="shared" si="14"/>
        <v>5.9965243256443035</v>
      </c>
      <c r="EQ22" s="257">
        <f t="shared" si="15"/>
        <v>91.488400120518236</v>
      </c>
      <c r="ER22" s="324">
        <f t="shared" si="16"/>
        <v>5.3819444444444448E-2</v>
      </c>
      <c r="ES22" s="257">
        <f t="shared" si="9"/>
        <v>0.7810810810810811</v>
      </c>
      <c r="ET22">
        <f t="shared" si="10"/>
        <v>250</v>
      </c>
      <c r="EU22" s="324">
        <f t="shared" si="17"/>
        <v>6.8903787004998079E-2</v>
      </c>
      <c r="EV22" s="39">
        <f t="shared" si="18"/>
        <v>175.4</v>
      </c>
      <c r="EW22"/>
      <c r="EX22">
        <f t="shared" si="19"/>
        <v>12.5</v>
      </c>
      <c r="EY22"/>
      <c r="EZ22"/>
      <c r="FA22"/>
      <c r="FB22"/>
      <c r="FC22"/>
      <c r="FD22"/>
    </row>
    <row r="23" spans="1:160" s="48" customFormat="1" ht="13" customHeight="1" x14ac:dyDescent="0.2">
      <c r="A23" s="65" t="s">
        <v>147</v>
      </c>
      <c r="B23" s="66" t="s">
        <v>421</v>
      </c>
      <c r="C23" s="274">
        <f t="shared" si="20"/>
        <v>174.4</v>
      </c>
      <c r="D23" s="67">
        <v>300</v>
      </c>
      <c r="E23" s="67">
        <v>400</v>
      </c>
      <c r="F23" s="67">
        <f t="shared" si="4"/>
        <v>350</v>
      </c>
      <c r="G23" s="82" t="s">
        <v>513</v>
      </c>
      <c r="H23" s="84">
        <v>7.5</v>
      </c>
      <c r="I23" s="85">
        <v>4</v>
      </c>
      <c r="J23" s="85">
        <v>6</v>
      </c>
      <c r="K23" s="89">
        <f t="shared" si="12"/>
        <v>5</v>
      </c>
      <c r="L23" s="67">
        <v>132</v>
      </c>
      <c r="M23" s="67">
        <v>86</v>
      </c>
      <c r="N23" s="67">
        <v>40</v>
      </c>
      <c r="O23" s="68">
        <v>54.47</v>
      </c>
      <c r="P23" s="68">
        <v>22.83</v>
      </c>
      <c r="Q23" s="68">
        <v>10.31</v>
      </c>
      <c r="R23" s="68">
        <v>0.104</v>
      </c>
      <c r="S23" s="68">
        <v>0.57999999999999996</v>
      </c>
      <c r="T23" s="68">
        <v>0</v>
      </c>
      <c r="U23" s="68">
        <v>0.06</v>
      </c>
      <c r="V23" s="68">
        <v>0.45</v>
      </c>
      <c r="W23" s="68">
        <v>0.98299999999999998</v>
      </c>
      <c r="X23" s="68">
        <v>0.16</v>
      </c>
      <c r="Y23" s="68">
        <v>10.81</v>
      </c>
      <c r="Z23" s="68">
        <v>100.8</v>
      </c>
      <c r="AA23" s="68">
        <v>29</v>
      </c>
      <c r="AB23" s="68">
        <v>4</v>
      </c>
      <c r="AC23" s="68">
        <v>179</v>
      </c>
      <c r="AD23" s="68">
        <v>0</v>
      </c>
      <c r="AE23" s="68">
        <v>22</v>
      </c>
      <c r="AF23" s="68">
        <v>0</v>
      </c>
      <c r="AG23" s="68">
        <v>60</v>
      </c>
      <c r="AH23" s="68">
        <v>70</v>
      </c>
      <c r="AI23" s="68">
        <v>23</v>
      </c>
      <c r="AJ23" s="68">
        <v>1</v>
      </c>
      <c r="AK23" s="68">
        <v>0</v>
      </c>
      <c r="AL23" s="68">
        <v>37</v>
      </c>
      <c r="AM23" s="68">
        <v>4</v>
      </c>
      <c r="AN23" s="68">
        <v>11</v>
      </c>
      <c r="AO23" s="68">
        <v>193</v>
      </c>
      <c r="AP23" s="68">
        <v>6</v>
      </c>
      <c r="AQ23" s="68" t="s">
        <v>72</v>
      </c>
      <c r="AR23" s="68" t="s">
        <v>74</v>
      </c>
      <c r="AS23" s="68" t="s">
        <v>73</v>
      </c>
      <c r="AT23" s="68">
        <v>1</v>
      </c>
      <c r="AU23" s="68" t="s">
        <v>74</v>
      </c>
      <c r="AV23" s="68">
        <v>0.8</v>
      </c>
      <c r="AW23" s="68">
        <v>142</v>
      </c>
      <c r="AX23" s="68" t="s">
        <v>75</v>
      </c>
      <c r="AY23" s="68">
        <v>16.3</v>
      </c>
      <c r="AZ23" s="68">
        <v>52.5</v>
      </c>
      <c r="BA23" s="68">
        <v>4.51</v>
      </c>
      <c r="BB23" s="68">
        <v>18.100000000000001</v>
      </c>
      <c r="BC23" s="68">
        <v>4.2</v>
      </c>
      <c r="BD23" s="68">
        <v>1.02</v>
      </c>
      <c r="BE23" s="68">
        <v>3.1</v>
      </c>
      <c r="BF23" s="68">
        <v>0.5</v>
      </c>
      <c r="BG23" s="68">
        <v>3.1</v>
      </c>
      <c r="BH23" s="68">
        <v>0.6</v>
      </c>
      <c r="BI23" s="68">
        <v>1.8</v>
      </c>
      <c r="BJ23" s="68">
        <v>0.28999999999999998</v>
      </c>
      <c r="BK23" s="68">
        <v>2.2000000000000002</v>
      </c>
      <c r="BL23" s="68">
        <v>0.34</v>
      </c>
      <c r="BM23" s="68">
        <v>4.5999999999999996</v>
      </c>
      <c r="BN23" s="68">
        <v>0.4</v>
      </c>
      <c r="BO23" s="68">
        <v>0</v>
      </c>
      <c r="BP23" s="68">
        <v>0</v>
      </c>
      <c r="BQ23" s="68">
        <v>142</v>
      </c>
      <c r="BR23" s="68">
        <v>2.7</v>
      </c>
      <c r="BS23" s="68">
        <v>0.9</v>
      </c>
      <c r="BT23" s="69">
        <f t="shared" si="5"/>
        <v>0.76308139534883723</v>
      </c>
      <c r="BU23" s="117">
        <f t="shared" si="6"/>
        <v>108.55999999999999</v>
      </c>
      <c r="BV23" s="48">
        <f t="shared" si="7"/>
        <v>350</v>
      </c>
      <c r="BW23" s="70">
        <f t="shared" si="8"/>
        <v>97.814910025706951</v>
      </c>
      <c r="BX23" s="69">
        <f t="shared" si="13"/>
        <v>0.76308139534883723</v>
      </c>
      <c r="BY23" s="69">
        <v>8.83</v>
      </c>
      <c r="BZ23" s="69">
        <v>0.69</v>
      </c>
      <c r="CA23" s="69">
        <v>19.66</v>
      </c>
      <c r="CB23" s="69">
        <v>0</v>
      </c>
      <c r="CC23" s="69">
        <v>0</v>
      </c>
      <c r="CD23" s="69">
        <v>0</v>
      </c>
      <c r="CE23" s="69">
        <v>0</v>
      </c>
      <c r="CF23" s="69">
        <v>0</v>
      </c>
      <c r="CG23" s="69">
        <v>0.09</v>
      </c>
      <c r="CH23" s="69">
        <v>4.1399999999999997</v>
      </c>
      <c r="CI23" s="69">
        <v>0</v>
      </c>
      <c r="CJ23" s="69">
        <v>0</v>
      </c>
      <c r="CK23" s="69">
        <v>18.91</v>
      </c>
      <c r="CL23" s="69">
        <v>31.43</v>
      </c>
      <c r="CM23" s="69">
        <v>4.4400000000000004</v>
      </c>
      <c r="CN23" s="69">
        <v>0</v>
      </c>
      <c r="CO23" s="69">
        <v>11.8</v>
      </c>
      <c r="CP23" s="69">
        <v>0</v>
      </c>
      <c r="CQ23" s="69">
        <v>0</v>
      </c>
      <c r="CR23" s="69">
        <v>0</v>
      </c>
      <c r="CS23" s="69">
        <v>0</v>
      </c>
      <c r="CT23" s="69">
        <v>0</v>
      </c>
      <c r="CU23" s="69">
        <v>0</v>
      </c>
      <c r="CV23" s="69">
        <v>0</v>
      </c>
      <c r="CW23" s="69">
        <v>0</v>
      </c>
      <c r="CX23" s="69">
        <v>0</v>
      </c>
      <c r="CY23" s="117">
        <v>99.99</v>
      </c>
      <c r="CZ23" s="283">
        <v>0.21730960539405331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v>9.9480490770421145E-4</v>
      </c>
      <c r="DG23" s="283">
        <v>4.5761025754393725E-2</v>
      </c>
      <c r="DH23" s="283">
        <v>0</v>
      </c>
      <c r="DI23" s="283">
        <v>0</v>
      </c>
      <c r="DJ23" s="283">
        <v>0.20901956449651821</v>
      </c>
      <c r="DK23" s="283">
        <v>0.34740798054603744</v>
      </c>
      <c r="DL23" s="283">
        <v>4.9077042113407771E-2</v>
      </c>
      <c r="DM23" s="283">
        <v>0</v>
      </c>
      <c r="DN23" s="283">
        <v>0.13042997678788551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v>0</v>
      </c>
      <c r="DV23" s="283">
        <v>0</v>
      </c>
      <c r="DW23" s="283">
        <v>0</v>
      </c>
      <c r="DX23" s="69">
        <v>1.0000000000000002</v>
      </c>
      <c r="DY23" s="70">
        <v>54.907620336908501</v>
      </c>
      <c r="DZ23" s="70">
        <v>27.249861341460868</v>
      </c>
      <c r="EA23" s="70">
        <v>4.4385393641508779</v>
      </c>
      <c r="EB23" s="70">
        <v>2.0295299371071307</v>
      </c>
      <c r="EC23" s="70">
        <v>0</v>
      </c>
      <c r="ED23" s="70">
        <v>0.80390562944241506</v>
      </c>
      <c r="EE23" s="70">
        <v>6.2909763745829378E-2</v>
      </c>
      <c r="EF23" s="70">
        <v>0</v>
      </c>
      <c r="EG23" s="70">
        <v>0.90260818174954083</v>
      </c>
      <c r="EH23" s="70">
        <v>0.28163348833577384</v>
      </c>
      <c r="EI23" s="70">
        <v>0</v>
      </c>
      <c r="EJ23" s="70">
        <v>9.3233919570990871</v>
      </c>
      <c r="EK23" s="70">
        <v>0</v>
      </c>
      <c r="EL23" s="70">
        <v>100.00000000000003</v>
      </c>
      <c r="EM23" s="69">
        <v>96.578043712700605</v>
      </c>
      <c r="EN23" s="69" t="s">
        <v>147</v>
      </c>
      <c r="EO23" s="287">
        <v>6.65072699559765E-2</v>
      </c>
      <c r="EP23" s="257">
        <f t="shared" si="14"/>
        <v>6.6507269955976502</v>
      </c>
      <c r="EQ23" s="257">
        <f t="shared" si="15"/>
        <v>82.220882929034218</v>
      </c>
      <c r="ER23" s="324">
        <f t="shared" si="16"/>
        <v>5.3347280334728034E-2</v>
      </c>
      <c r="ES23" s="257">
        <f t="shared" si="9"/>
        <v>0.76308139534883723</v>
      </c>
      <c r="ET23">
        <f t="shared" si="10"/>
        <v>350</v>
      </c>
      <c r="EU23" s="324">
        <f t="shared" si="17"/>
        <v>6.991034070531979E-2</v>
      </c>
      <c r="EV23" s="39">
        <f t="shared" si="18"/>
        <v>174.4</v>
      </c>
      <c r="EW23"/>
      <c r="EX23">
        <f t="shared" si="19"/>
        <v>18.333333333333336</v>
      </c>
      <c r="EY23"/>
      <c r="EZ23"/>
      <c r="FA23"/>
      <c r="FB23"/>
      <c r="FC23"/>
      <c r="FD23"/>
    </row>
    <row r="24" spans="1:160" s="48" customFormat="1" ht="13" customHeight="1" x14ac:dyDescent="0.2">
      <c r="A24" s="65" t="s">
        <v>148</v>
      </c>
      <c r="B24" s="66" t="s">
        <v>421</v>
      </c>
      <c r="C24" s="274">
        <f t="shared" si="20"/>
        <v>173.4</v>
      </c>
      <c r="D24" s="67">
        <v>400</v>
      </c>
      <c r="E24" s="67">
        <v>500</v>
      </c>
      <c r="F24" s="67">
        <f t="shared" si="4"/>
        <v>450</v>
      </c>
      <c r="G24" s="82" t="s">
        <v>513</v>
      </c>
      <c r="H24" s="84">
        <v>7.5</v>
      </c>
      <c r="I24" s="85">
        <v>4</v>
      </c>
      <c r="J24" s="85">
        <v>6</v>
      </c>
      <c r="K24" s="89">
        <f t="shared" si="12"/>
        <v>5</v>
      </c>
      <c r="L24" s="67">
        <v>132</v>
      </c>
      <c r="M24" s="67">
        <v>86</v>
      </c>
      <c r="N24" s="67">
        <v>40</v>
      </c>
      <c r="O24" s="68">
        <v>55.48</v>
      </c>
      <c r="P24" s="68">
        <v>22.03</v>
      </c>
      <c r="Q24" s="68">
        <v>8.9499999999999993</v>
      </c>
      <c r="R24" s="68">
        <v>8.8999999999999996E-2</v>
      </c>
      <c r="S24" s="68">
        <v>0.99</v>
      </c>
      <c r="T24" s="68">
        <v>0.01</v>
      </c>
      <c r="U24" s="68">
        <v>0.05</v>
      </c>
      <c r="V24" s="68">
        <v>0.76</v>
      </c>
      <c r="W24" s="68">
        <v>0.90900000000000003</v>
      </c>
      <c r="X24" s="68">
        <v>0.16</v>
      </c>
      <c r="Y24" s="68">
        <v>10.45</v>
      </c>
      <c r="Z24" s="68">
        <v>99.89</v>
      </c>
      <c r="AA24" s="68">
        <v>27</v>
      </c>
      <c r="AB24" s="68">
        <v>3</v>
      </c>
      <c r="AC24" s="68">
        <v>167</v>
      </c>
      <c r="AD24" s="68">
        <v>30</v>
      </c>
      <c r="AE24" s="68">
        <v>24</v>
      </c>
      <c r="AF24" s="68">
        <v>0</v>
      </c>
      <c r="AG24" s="68">
        <v>100</v>
      </c>
      <c r="AH24" s="68">
        <v>80</v>
      </c>
      <c r="AI24" s="68">
        <v>24</v>
      </c>
      <c r="AJ24" s="68">
        <v>1</v>
      </c>
      <c r="AK24" s="68">
        <v>0</v>
      </c>
      <c r="AL24" s="68">
        <v>79</v>
      </c>
      <c r="AM24" s="68">
        <v>8</v>
      </c>
      <c r="AN24" s="68">
        <v>37</v>
      </c>
      <c r="AO24" s="68">
        <v>160</v>
      </c>
      <c r="AP24" s="68">
        <v>7</v>
      </c>
      <c r="AQ24" s="68" t="s">
        <v>72</v>
      </c>
      <c r="AR24" s="68" t="s">
        <v>74</v>
      </c>
      <c r="AS24" s="68" t="s">
        <v>73</v>
      </c>
      <c r="AT24" s="68">
        <v>1</v>
      </c>
      <c r="AU24" s="68" t="s">
        <v>74</v>
      </c>
      <c r="AV24" s="68">
        <v>1.6</v>
      </c>
      <c r="AW24" s="68">
        <v>280</v>
      </c>
      <c r="AX24" s="68" t="s">
        <v>75</v>
      </c>
      <c r="AY24" s="68">
        <v>43.9</v>
      </c>
      <c r="AZ24" s="68">
        <v>58.3</v>
      </c>
      <c r="BA24" s="68">
        <v>10.9</v>
      </c>
      <c r="BB24" s="68">
        <v>43.8</v>
      </c>
      <c r="BC24" s="68">
        <v>9.9</v>
      </c>
      <c r="BD24" s="68">
        <v>2.61</v>
      </c>
      <c r="BE24" s="68">
        <v>9.1999999999999993</v>
      </c>
      <c r="BF24" s="68">
        <v>1.4</v>
      </c>
      <c r="BG24" s="68">
        <v>8.4</v>
      </c>
      <c r="BH24" s="68">
        <v>1.7</v>
      </c>
      <c r="BI24" s="68">
        <v>5</v>
      </c>
      <c r="BJ24" s="68">
        <v>0.76</v>
      </c>
      <c r="BK24" s="68">
        <v>5.4</v>
      </c>
      <c r="BL24" s="68">
        <v>0.81</v>
      </c>
      <c r="BM24" s="68">
        <v>4.2</v>
      </c>
      <c r="BN24" s="68">
        <v>0.4</v>
      </c>
      <c r="BO24" s="68">
        <v>0</v>
      </c>
      <c r="BP24" s="68">
        <v>0.2</v>
      </c>
      <c r="BQ24" s="68">
        <v>16</v>
      </c>
      <c r="BR24" s="68">
        <v>3.4</v>
      </c>
      <c r="BS24" s="68">
        <v>0.9</v>
      </c>
      <c r="BT24" s="69">
        <f t="shared" si="5"/>
        <v>0.57045009784735812</v>
      </c>
      <c r="BU24" s="117">
        <f t="shared" si="6"/>
        <v>202.07999999999998</v>
      </c>
      <c r="BV24" s="48">
        <f t="shared" si="7"/>
        <v>450</v>
      </c>
      <c r="BW24" s="70">
        <f t="shared" si="8"/>
        <v>96.411378555798663</v>
      </c>
      <c r="BX24" s="69">
        <f t="shared" si="13"/>
        <v>0.57045009784735812</v>
      </c>
      <c r="BY24" s="69">
        <v>9.8800000000000008</v>
      </c>
      <c r="BZ24" s="69">
        <v>0.5</v>
      </c>
      <c r="CA24" s="69">
        <v>26.21</v>
      </c>
      <c r="CB24" s="69">
        <v>0</v>
      </c>
      <c r="CC24" s="69">
        <v>0</v>
      </c>
      <c r="CD24" s="69">
        <v>0</v>
      </c>
      <c r="CE24" s="69">
        <v>0</v>
      </c>
      <c r="CF24" s="69">
        <v>0</v>
      </c>
      <c r="CG24" s="69">
        <v>0</v>
      </c>
      <c r="CH24" s="69">
        <v>3.99</v>
      </c>
      <c r="CI24" s="69">
        <v>0</v>
      </c>
      <c r="CJ24" s="69">
        <v>0</v>
      </c>
      <c r="CK24" s="69">
        <v>3.59</v>
      </c>
      <c r="CL24" s="69">
        <v>32.74</v>
      </c>
      <c r="CM24" s="69">
        <v>1.06</v>
      </c>
      <c r="CN24" s="69">
        <v>0</v>
      </c>
      <c r="CO24" s="69">
        <v>13.09</v>
      </c>
      <c r="CP24" s="69">
        <v>8.93</v>
      </c>
      <c r="CQ24" s="69">
        <v>0</v>
      </c>
      <c r="CR24" s="69">
        <v>0</v>
      </c>
      <c r="CS24" s="69">
        <v>0</v>
      </c>
      <c r="CT24" s="69">
        <v>0</v>
      </c>
      <c r="CU24" s="69">
        <v>0</v>
      </c>
      <c r="CV24" s="69">
        <v>0</v>
      </c>
      <c r="CW24" s="69">
        <v>0</v>
      </c>
      <c r="CX24" s="69">
        <v>0</v>
      </c>
      <c r="CY24" s="117">
        <v>99.990000000000009</v>
      </c>
      <c r="CZ24" s="283">
        <v>0.29248967749135135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v>0</v>
      </c>
      <c r="DG24" s="283">
        <v>4.4526280549045859E-2</v>
      </c>
      <c r="DH24" s="283">
        <v>0</v>
      </c>
      <c r="DI24" s="283">
        <v>0</v>
      </c>
      <c r="DJ24" s="283">
        <v>4.0062493025331984E-2</v>
      </c>
      <c r="DK24" s="283">
        <v>0.36536100881598033</v>
      </c>
      <c r="DL24" s="283">
        <v>1.1829036937841757E-2</v>
      </c>
      <c r="DM24" s="283">
        <v>0</v>
      </c>
      <c r="DN24" s="283">
        <v>0.14607744671353642</v>
      </c>
      <c r="DO24" s="283">
        <v>9.9654056466912153E-2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v>0</v>
      </c>
      <c r="DV24" s="283">
        <v>0</v>
      </c>
      <c r="DW24" s="283">
        <v>0</v>
      </c>
      <c r="DX24" s="69">
        <v>0.99999999999999978</v>
      </c>
      <c r="DY24" s="70">
        <v>59.774288343576053</v>
      </c>
      <c r="DZ24" s="70">
        <v>22.921225618699872</v>
      </c>
      <c r="EA24" s="70">
        <v>3.8302264762670868</v>
      </c>
      <c r="EB24" s="70">
        <v>2.7202631614377015</v>
      </c>
      <c r="EC24" s="70">
        <v>0</v>
      </c>
      <c r="ED24" s="70">
        <v>1.0769705188965155</v>
      </c>
      <c r="EE24" s="70">
        <v>3.0957270049874454E-2</v>
      </c>
      <c r="EF24" s="70">
        <v>0</v>
      </c>
      <c r="EG24" s="70">
        <v>1.9981104385293651</v>
      </c>
      <c r="EH24" s="70">
        <v>0.31542059500648129</v>
      </c>
      <c r="EI24" s="70">
        <v>0</v>
      </c>
      <c r="EJ24" s="70">
        <v>7.3325375775370354</v>
      </c>
      <c r="EK24" s="70">
        <v>0</v>
      </c>
      <c r="EL24" s="70">
        <v>99.999999999999972</v>
      </c>
      <c r="EM24" s="69">
        <v>91.867559703753926</v>
      </c>
      <c r="EN24" s="69" t="s">
        <v>148</v>
      </c>
      <c r="EO24" s="287">
        <v>6.7953133222341811E-2</v>
      </c>
      <c r="EP24" s="257">
        <f t="shared" si="14"/>
        <v>6.7953133222341808</v>
      </c>
      <c r="EQ24" s="257">
        <f t="shared" si="15"/>
        <v>64.677574590952844</v>
      </c>
      <c r="ER24" s="324">
        <f t="shared" si="16"/>
        <v>5.6237879767291533E-2</v>
      </c>
      <c r="ES24" s="257">
        <f t="shared" si="9"/>
        <v>0.57045009784735812</v>
      </c>
      <c r="ET24">
        <f t="shared" si="10"/>
        <v>450</v>
      </c>
      <c r="EU24" s="324">
        <f t="shared" si="17"/>
        <v>9.8585099694977613E-2</v>
      </c>
      <c r="EV24" s="39">
        <f t="shared" si="18"/>
        <v>173.4</v>
      </c>
      <c r="EW24"/>
      <c r="EX24">
        <f t="shared" si="19"/>
        <v>21.764705882352942</v>
      </c>
      <c r="EY24"/>
      <c r="EZ24"/>
      <c r="FA24"/>
      <c r="FB24"/>
      <c r="FC24"/>
      <c r="FD24"/>
    </row>
    <row r="25" spans="1:160" s="48" customFormat="1" ht="13" customHeight="1" x14ac:dyDescent="0.2">
      <c r="A25" s="65" t="s">
        <v>149</v>
      </c>
      <c r="B25" s="66" t="s">
        <v>421</v>
      </c>
      <c r="C25" s="274">
        <f t="shared" si="20"/>
        <v>172.4</v>
      </c>
      <c r="D25" s="67">
        <v>500</v>
      </c>
      <c r="E25" s="67">
        <v>600</v>
      </c>
      <c r="F25" s="67">
        <f t="shared" si="4"/>
        <v>550</v>
      </c>
      <c r="G25" s="82" t="s">
        <v>520</v>
      </c>
      <c r="H25" s="84">
        <v>10</v>
      </c>
      <c r="I25" s="85">
        <v>5</v>
      </c>
      <c r="J25" s="85">
        <v>3</v>
      </c>
      <c r="K25" s="89">
        <f t="shared" si="12"/>
        <v>16.666666666666668</v>
      </c>
      <c r="L25" s="67">
        <v>141</v>
      </c>
      <c r="M25" s="67">
        <v>118</v>
      </c>
      <c r="N25" s="67">
        <v>90</v>
      </c>
      <c r="O25" s="68">
        <v>56.59</v>
      </c>
      <c r="P25" s="68">
        <v>20.309999999999999</v>
      </c>
      <c r="Q25" s="68">
        <v>8.84</v>
      </c>
      <c r="R25" s="68">
        <v>0.11</v>
      </c>
      <c r="S25" s="68">
        <v>1.94</v>
      </c>
      <c r="T25" s="68">
        <v>1.6</v>
      </c>
      <c r="U25" s="68">
        <v>1.1000000000000001</v>
      </c>
      <c r="V25" s="68">
        <v>1.1299999999999999</v>
      </c>
      <c r="W25" s="68">
        <v>0.89</v>
      </c>
      <c r="X25" s="68">
        <v>0.16</v>
      </c>
      <c r="Y25" s="68">
        <v>7.78</v>
      </c>
      <c r="Z25" s="68">
        <v>100.4</v>
      </c>
      <c r="AA25" s="68">
        <v>23</v>
      </c>
      <c r="AB25" s="68">
        <v>4</v>
      </c>
      <c r="AC25" s="68">
        <v>173</v>
      </c>
      <c r="AD25" s="68">
        <v>40</v>
      </c>
      <c r="AE25" s="68">
        <v>29</v>
      </c>
      <c r="AF25" s="68">
        <v>0</v>
      </c>
      <c r="AG25" s="68">
        <v>70</v>
      </c>
      <c r="AH25" s="68">
        <v>130</v>
      </c>
      <c r="AI25" s="68">
        <v>21</v>
      </c>
      <c r="AJ25" s="68">
        <v>1</v>
      </c>
      <c r="AK25" s="68">
        <v>0</v>
      </c>
      <c r="AL25" s="68">
        <v>102</v>
      </c>
      <c r="AM25" s="68">
        <v>122</v>
      </c>
      <c r="AN25" s="68">
        <v>70</v>
      </c>
      <c r="AO25" s="68">
        <v>178</v>
      </c>
      <c r="AP25" s="68">
        <v>7</v>
      </c>
      <c r="AQ25" s="68" t="s">
        <v>72</v>
      </c>
      <c r="AR25" s="68" t="s">
        <v>74</v>
      </c>
      <c r="AS25" s="68" t="s">
        <v>73</v>
      </c>
      <c r="AT25" s="68">
        <v>2</v>
      </c>
      <c r="AU25" s="68" t="s">
        <v>74</v>
      </c>
      <c r="AV25" s="68">
        <v>1.3</v>
      </c>
      <c r="AW25" s="68">
        <v>384</v>
      </c>
      <c r="AX25" s="68" t="s">
        <v>75</v>
      </c>
      <c r="AY25" s="68">
        <v>41.2</v>
      </c>
      <c r="AZ25" s="68">
        <v>39.1</v>
      </c>
      <c r="BA25" s="68">
        <v>10.1</v>
      </c>
      <c r="BB25" s="68">
        <v>42.1</v>
      </c>
      <c r="BC25" s="68">
        <v>10.9</v>
      </c>
      <c r="BD25" s="68">
        <v>3.11</v>
      </c>
      <c r="BE25" s="68">
        <v>13.7</v>
      </c>
      <c r="BF25" s="68">
        <v>2.1</v>
      </c>
      <c r="BG25" s="68">
        <v>12.3</v>
      </c>
      <c r="BH25" s="68">
        <v>2.5</v>
      </c>
      <c r="BI25" s="68">
        <v>7.1</v>
      </c>
      <c r="BJ25" s="68">
        <v>1.05</v>
      </c>
      <c r="BK25" s="68">
        <v>7</v>
      </c>
      <c r="BL25" s="68">
        <v>1.0900000000000001</v>
      </c>
      <c r="BM25" s="68">
        <v>4.3</v>
      </c>
      <c r="BN25" s="68">
        <v>0.4</v>
      </c>
      <c r="BO25" s="68">
        <v>0</v>
      </c>
      <c r="BP25" s="68">
        <v>0.3</v>
      </c>
      <c r="BQ25" s="68">
        <v>492</v>
      </c>
      <c r="BR25" s="68">
        <v>3.2</v>
      </c>
      <c r="BS25" s="68">
        <v>0.6</v>
      </c>
      <c r="BT25" s="69">
        <f t="shared" si="5"/>
        <v>0.4869240348692403</v>
      </c>
      <c r="BU25" s="117">
        <f t="shared" si="6"/>
        <v>193.35000000000002</v>
      </c>
      <c r="BV25" s="48">
        <f t="shared" si="7"/>
        <v>550</v>
      </c>
      <c r="BW25" s="70">
        <f t="shared" si="8"/>
        <v>84.134217067108523</v>
      </c>
      <c r="BX25" s="69">
        <f t="shared" si="13"/>
        <v>0.4869240348692403</v>
      </c>
      <c r="BY25" s="69">
        <v>10</v>
      </c>
      <c r="BZ25" s="69">
        <v>0.78</v>
      </c>
      <c r="CA25" s="69">
        <v>22.87</v>
      </c>
      <c r="CB25" s="69">
        <v>0</v>
      </c>
      <c r="CC25" s="69">
        <v>8.4600000000000009</v>
      </c>
      <c r="CD25" s="69">
        <v>0</v>
      </c>
      <c r="CE25" s="69">
        <v>0</v>
      </c>
      <c r="CF25" s="69">
        <v>4.2</v>
      </c>
      <c r="CG25" s="69">
        <v>0</v>
      </c>
      <c r="CH25" s="69">
        <v>0</v>
      </c>
      <c r="CI25" s="69">
        <v>0</v>
      </c>
      <c r="CJ25" s="69">
        <v>0</v>
      </c>
      <c r="CK25" s="69">
        <v>0</v>
      </c>
      <c r="CL25" s="69">
        <v>23.12</v>
      </c>
      <c r="CM25" s="69">
        <v>0</v>
      </c>
      <c r="CN25" s="69">
        <v>0</v>
      </c>
      <c r="CO25" s="69">
        <v>13.41</v>
      </c>
      <c r="CP25" s="69">
        <v>0</v>
      </c>
      <c r="CQ25" s="69">
        <v>17.12</v>
      </c>
      <c r="CR25" s="69">
        <v>0</v>
      </c>
      <c r="CS25" s="69">
        <v>0</v>
      </c>
      <c r="CT25" s="69">
        <v>0</v>
      </c>
      <c r="CU25" s="69">
        <v>0</v>
      </c>
      <c r="CV25" s="69">
        <v>0</v>
      </c>
      <c r="CW25" s="69">
        <v>0</v>
      </c>
      <c r="CX25" s="69">
        <v>0</v>
      </c>
      <c r="CY25" s="117">
        <v>99.960000000000008</v>
      </c>
      <c r="CZ25" s="283">
        <v>0.25644763399865439</v>
      </c>
      <c r="DA25" s="283">
        <v>0</v>
      </c>
      <c r="DB25" s="283">
        <v>9.4864319354115281E-2</v>
      </c>
      <c r="DC25" s="283">
        <v>0</v>
      </c>
      <c r="DD25" s="283">
        <v>0</v>
      </c>
      <c r="DE25" s="283">
        <v>4.7095761381475663E-2</v>
      </c>
      <c r="DF25" s="283">
        <v>0</v>
      </c>
      <c r="DG25" s="283">
        <v>0</v>
      </c>
      <c r="DH25" s="283">
        <v>0</v>
      </c>
      <c r="DI25" s="283">
        <v>0</v>
      </c>
      <c r="DJ25" s="283">
        <v>0</v>
      </c>
      <c r="DK25" s="283">
        <v>0.25925095312850416</v>
      </c>
      <c r="DL25" s="283">
        <v>0</v>
      </c>
      <c r="DM25" s="283">
        <v>0</v>
      </c>
      <c r="DN25" s="283">
        <v>0.15037003812514016</v>
      </c>
      <c r="DO25" s="283">
        <v>0</v>
      </c>
      <c r="DP25" s="283">
        <v>0.19197129401211033</v>
      </c>
      <c r="DQ25" s="283">
        <v>0</v>
      </c>
      <c r="DR25" s="283">
        <v>0</v>
      </c>
      <c r="DS25" s="283">
        <v>0</v>
      </c>
      <c r="DT25" s="283">
        <v>0</v>
      </c>
      <c r="DU25" s="283">
        <v>0</v>
      </c>
      <c r="DV25" s="283">
        <v>0</v>
      </c>
      <c r="DW25" s="283">
        <v>0</v>
      </c>
      <c r="DX25" s="69">
        <v>0.99999999999999989</v>
      </c>
      <c r="DY25" s="70">
        <v>61.230551754284654</v>
      </c>
      <c r="DZ25" s="70">
        <v>19.531577060653085</v>
      </c>
      <c r="EA25" s="70">
        <v>1.1167109547923242</v>
      </c>
      <c r="EB25" s="70">
        <v>5.3063886457026461</v>
      </c>
      <c r="EC25" s="70">
        <v>0</v>
      </c>
      <c r="ED25" s="70">
        <v>3.5656072964498122</v>
      </c>
      <c r="EE25" s="70">
        <v>0.65888246072526446</v>
      </c>
      <c r="EF25" s="70">
        <v>1.1215218619707903</v>
      </c>
      <c r="EG25" s="70">
        <v>1.5859745358038388</v>
      </c>
      <c r="EH25" s="70">
        <v>0.65992511532145626</v>
      </c>
      <c r="EI25" s="70">
        <v>0</v>
      </c>
      <c r="EJ25" s="70">
        <v>5.2228603142961223</v>
      </c>
      <c r="EK25" s="70">
        <v>0</v>
      </c>
      <c r="EL25" s="70">
        <v>99.999999999999972</v>
      </c>
      <c r="EM25" s="69">
        <v>85.298343352630482</v>
      </c>
      <c r="EN25" s="69" t="s">
        <v>149</v>
      </c>
      <c r="EO25" s="287">
        <v>6.9006745786082097E-2</v>
      </c>
      <c r="EP25" s="257">
        <f t="shared" si="14"/>
        <v>6.9006745786082098</v>
      </c>
      <c r="EQ25" s="257">
        <f t="shared" si="15"/>
        <v>60.684662946765187</v>
      </c>
      <c r="ER25" s="324">
        <f t="shared" si="16"/>
        <v>6.8790090687900901E-2</v>
      </c>
      <c r="ES25" s="257">
        <f t="shared" si="9"/>
        <v>0.4869240348692403</v>
      </c>
      <c r="ET25">
        <f t="shared" si="10"/>
        <v>550</v>
      </c>
      <c r="EU25" s="324">
        <f t="shared" si="17"/>
        <v>0.14127478982707015</v>
      </c>
      <c r="EV25" s="39">
        <f t="shared" si="18"/>
        <v>172.4</v>
      </c>
      <c r="EW25"/>
      <c r="EX25">
        <f t="shared" si="19"/>
        <v>28</v>
      </c>
      <c r="EY25"/>
      <c r="EZ25"/>
      <c r="FA25"/>
      <c r="FB25"/>
      <c r="FC25"/>
      <c r="FD25"/>
    </row>
    <row r="26" spans="1:160" s="48" customFormat="1" ht="13" customHeight="1" x14ac:dyDescent="0.2">
      <c r="A26" s="65" t="s">
        <v>150</v>
      </c>
      <c r="B26" s="66" t="s">
        <v>421</v>
      </c>
      <c r="C26" s="274">
        <f t="shared" si="20"/>
        <v>171.65</v>
      </c>
      <c r="D26" s="67">
        <v>600</v>
      </c>
      <c r="E26" s="67">
        <v>650</v>
      </c>
      <c r="F26" s="67">
        <f t="shared" si="4"/>
        <v>625</v>
      </c>
      <c r="G26" s="82" t="s">
        <v>521</v>
      </c>
      <c r="H26" s="84"/>
      <c r="I26" s="85"/>
      <c r="J26" s="85"/>
      <c r="K26" s="89"/>
      <c r="L26" s="67">
        <v>141</v>
      </c>
      <c r="M26" s="67">
        <v>118</v>
      </c>
      <c r="N26" s="67">
        <v>90</v>
      </c>
      <c r="O26" s="68">
        <v>62.4</v>
      </c>
      <c r="P26" s="68">
        <v>17.690000000000001</v>
      </c>
      <c r="Q26" s="68">
        <v>6.11</v>
      </c>
      <c r="R26" s="68">
        <v>0.106</v>
      </c>
      <c r="S26" s="68">
        <v>2.1800000000000002</v>
      </c>
      <c r="T26" s="68">
        <v>3.66</v>
      </c>
      <c r="U26" s="68">
        <v>2.74</v>
      </c>
      <c r="V26" s="68">
        <v>1.17</v>
      </c>
      <c r="W26" s="68">
        <v>0.65500000000000003</v>
      </c>
      <c r="X26" s="68">
        <v>0.09</v>
      </c>
      <c r="Y26" s="68">
        <v>3.81</v>
      </c>
      <c r="Z26" s="68">
        <v>100.6</v>
      </c>
      <c r="AA26" s="68">
        <v>14</v>
      </c>
      <c r="AB26" s="68">
        <v>3</v>
      </c>
      <c r="AC26" s="68">
        <v>108</v>
      </c>
      <c r="AD26" s="68">
        <v>20</v>
      </c>
      <c r="AE26" s="68">
        <v>15</v>
      </c>
      <c r="AF26" s="68">
        <v>0</v>
      </c>
      <c r="AG26" s="68">
        <v>50</v>
      </c>
      <c r="AH26" s="68">
        <v>100</v>
      </c>
      <c r="AI26" s="68">
        <v>19</v>
      </c>
      <c r="AJ26" s="68">
        <v>1</v>
      </c>
      <c r="AK26" s="68">
        <v>0</v>
      </c>
      <c r="AL26" s="68">
        <v>127</v>
      </c>
      <c r="AM26" s="68">
        <v>330</v>
      </c>
      <c r="AN26" s="68">
        <v>65</v>
      </c>
      <c r="AO26" s="68">
        <v>139</v>
      </c>
      <c r="AP26" s="68">
        <v>6</v>
      </c>
      <c r="AQ26" s="68" t="s">
        <v>72</v>
      </c>
      <c r="AR26" s="68" t="s">
        <v>74</v>
      </c>
      <c r="AS26" s="68" t="s">
        <v>73</v>
      </c>
      <c r="AT26" s="68">
        <v>1</v>
      </c>
      <c r="AU26" s="68" t="s">
        <v>74</v>
      </c>
      <c r="AV26" s="68">
        <v>1</v>
      </c>
      <c r="AW26" s="68">
        <v>431</v>
      </c>
      <c r="AX26" s="68" t="s">
        <v>75</v>
      </c>
      <c r="AY26" s="68">
        <v>32.4</v>
      </c>
      <c r="AZ26" s="68">
        <v>47.2</v>
      </c>
      <c r="BA26" s="68">
        <v>7.81</v>
      </c>
      <c r="BB26" s="68">
        <v>30.5</v>
      </c>
      <c r="BC26" s="68">
        <v>6.1</v>
      </c>
      <c r="BD26" s="68">
        <v>1.71</v>
      </c>
      <c r="BE26" s="68">
        <v>7.3</v>
      </c>
      <c r="BF26" s="68">
        <v>1.5</v>
      </c>
      <c r="BG26" s="68">
        <v>9.6999999999999993</v>
      </c>
      <c r="BH26" s="68">
        <v>1.9</v>
      </c>
      <c r="BI26" s="68">
        <v>5.3</v>
      </c>
      <c r="BJ26" s="68">
        <v>0.7</v>
      </c>
      <c r="BK26" s="68">
        <v>4.4000000000000004</v>
      </c>
      <c r="BL26" s="68">
        <v>0.74</v>
      </c>
      <c r="BM26" s="68">
        <v>3.5</v>
      </c>
      <c r="BN26" s="68">
        <v>0.3</v>
      </c>
      <c r="BO26" s="68">
        <v>0</v>
      </c>
      <c r="BP26" s="68">
        <v>0.5</v>
      </c>
      <c r="BQ26" s="68">
        <v>16</v>
      </c>
      <c r="BR26" s="68">
        <v>7.9</v>
      </c>
      <c r="BS26" s="68">
        <v>0.6</v>
      </c>
      <c r="BT26" s="69">
        <f t="shared" si="5"/>
        <v>0.59296482412060314</v>
      </c>
      <c r="BU26" s="117">
        <f t="shared" si="6"/>
        <v>157.26</v>
      </c>
      <c r="BV26" s="48">
        <f t="shared" si="7"/>
        <v>625</v>
      </c>
      <c r="BW26" s="70">
        <f t="shared" si="8"/>
        <v>70.031670625494854</v>
      </c>
      <c r="BX26" s="69">
        <f t="shared" si="13"/>
        <v>0.59296482412060314</v>
      </c>
      <c r="BY26" s="69">
        <v>10</v>
      </c>
      <c r="BZ26" s="69">
        <v>1.56</v>
      </c>
      <c r="CA26" s="69">
        <v>21.46</v>
      </c>
      <c r="CB26" s="69">
        <v>0</v>
      </c>
      <c r="CC26" s="69">
        <v>23.46</v>
      </c>
      <c r="CD26" s="69">
        <v>0</v>
      </c>
      <c r="CE26" s="69">
        <v>0</v>
      </c>
      <c r="CF26" s="69">
        <v>7.86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11.84</v>
      </c>
      <c r="CM26" s="69">
        <v>0.04</v>
      </c>
      <c r="CN26" s="69">
        <v>0</v>
      </c>
      <c r="CO26" s="69">
        <v>0</v>
      </c>
      <c r="CP26" s="69">
        <v>0</v>
      </c>
      <c r="CQ26" s="69">
        <v>20.82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117">
        <v>97.04000000000002</v>
      </c>
      <c r="CZ26" s="283">
        <v>0.25105287786616748</v>
      </c>
      <c r="DA26" s="283">
        <v>0</v>
      </c>
      <c r="DB26" s="283">
        <v>0.27445016378100134</v>
      </c>
      <c r="DC26" s="283">
        <v>0</v>
      </c>
      <c r="DD26" s="283">
        <v>0</v>
      </c>
      <c r="DE26" s="283">
        <v>9.1951333645297131E-2</v>
      </c>
      <c r="DF26" s="283">
        <v>0</v>
      </c>
      <c r="DG26" s="283">
        <v>0</v>
      </c>
      <c r="DH26" s="283">
        <v>0</v>
      </c>
      <c r="DI26" s="283">
        <v>0</v>
      </c>
      <c r="DJ26" s="283">
        <v>0</v>
      </c>
      <c r="DK26" s="283">
        <v>0.13851193261581654</v>
      </c>
      <c r="DL26" s="283">
        <v>4.679457182966775E-4</v>
      </c>
      <c r="DM26" s="283">
        <v>0</v>
      </c>
      <c r="DN26" s="283">
        <v>0</v>
      </c>
      <c r="DO26" s="283">
        <v>0</v>
      </c>
      <c r="DP26" s="283">
        <v>0.24356574637342063</v>
      </c>
      <c r="DQ26" s="283">
        <v>0</v>
      </c>
      <c r="DR26" s="283">
        <v>0</v>
      </c>
      <c r="DS26" s="283">
        <v>0</v>
      </c>
      <c r="DT26" s="283">
        <v>0</v>
      </c>
      <c r="DU26" s="283">
        <v>0</v>
      </c>
      <c r="DV26" s="283">
        <v>0</v>
      </c>
      <c r="DW26" s="283">
        <v>0</v>
      </c>
      <c r="DX26" s="69">
        <v>0.99999999999999989</v>
      </c>
      <c r="DY26" s="70">
        <v>65.756696054686998</v>
      </c>
      <c r="DZ26" s="70">
        <v>15.619107788212617</v>
      </c>
      <c r="EA26" s="70">
        <v>1.4186700026865668</v>
      </c>
      <c r="EB26" s="70">
        <v>4.3302845759878155</v>
      </c>
      <c r="EC26" s="70">
        <v>0</v>
      </c>
      <c r="ED26" s="70">
        <v>3.7804194805047651</v>
      </c>
      <c r="EE26" s="70">
        <v>1.246404533148294</v>
      </c>
      <c r="EF26" s="70">
        <v>3.2446536358193381</v>
      </c>
      <c r="EG26" s="70">
        <v>0.97669358855181054</v>
      </c>
      <c r="EH26" s="70">
        <v>0.42533402547593918</v>
      </c>
      <c r="EI26" s="70">
        <v>0</v>
      </c>
      <c r="EJ26" s="70">
        <v>3.2017363149258529</v>
      </c>
      <c r="EK26" s="70">
        <v>0</v>
      </c>
      <c r="EL26" s="70">
        <v>99.999999999999986</v>
      </c>
      <c r="EM26" s="69">
        <v>74.070336335947644</v>
      </c>
      <c r="EN26" s="69" t="s">
        <v>150</v>
      </c>
      <c r="EO26" s="287">
        <v>6.1386801905132855E-2</v>
      </c>
      <c r="EP26" s="257">
        <f t="shared" si="14"/>
        <v>6.138680190513286</v>
      </c>
      <c r="EQ26" s="257">
        <f t="shared" si="15"/>
        <v>51.04720225070335</v>
      </c>
      <c r="ER26" s="324">
        <f t="shared" si="16"/>
        <v>5.3089102763117041E-2</v>
      </c>
      <c r="ES26" s="257">
        <f t="shared" si="9"/>
        <v>0.59296482412060314</v>
      </c>
      <c r="ET26">
        <f t="shared" si="10"/>
        <v>625</v>
      </c>
      <c r="EU26" s="324">
        <f t="shared" si="17"/>
        <v>8.9531622456443125E-2</v>
      </c>
      <c r="EV26" s="39">
        <f t="shared" si="18"/>
        <v>171.65</v>
      </c>
      <c r="EW26"/>
      <c r="EX26">
        <f t="shared" si="19"/>
        <v>34.210526315789473</v>
      </c>
      <c r="EY26"/>
      <c r="EZ26"/>
      <c r="FA26"/>
      <c r="FB26"/>
      <c r="FC26"/>
      <c r="FD26"/>
    </row>
    <row r="27" spans="1:160" s="54" customFormat="1" ht="13" customHeight="1" x14ac:dyDescent="0.2">
      <c r="A27" s="49" t="s">
        <v>85</v>
      </c>
      <c r="B27" s="50" t="s">
        <v>461</v>
      </c>
      <c r="C27" s="275">
        <f>149.1-F27/100</f>
        <v>149.06</v>
      </c>
      <c r="D27" s="51">
        <v>0</v>
      </c>
      <c r="E27" s="51">
        <v>8</v>
      </c>
      <c r="F27" s="51">
        <f t="shared" si="4"/>
        <v>4</v>
      </c>
      <c r="G27" s="83" t="s">
        <v>514</v>
      </c>
      <c r="H27" s="84">
        <v>7.5</v>
      </c>
      <c r="I27" s="85">
        <v>4</v>
      </c>
      <c r="J27" s="85">
        <v>4</v>
      </c>
      <c r="K27" s="89">
        <f t="shared" ref="K27:K90" si="21">H27*I27/J27</f>
        <v>7.5</v>
      </c>
      <c r="L27" s="51">
        <v>124</v>
      </c>
      <c r="M27" s="51">
        <v>89</v>
      </c>
      <c r="N27" s="51">
        <v>58</v>
      </c>
      <c r="O27" s="52">
        <v>73.95</v>
      </c>
      <c r="P27" s="52">
        <v>11.01</v>
      </c>
      <c r="Q27" s="52">
        <v>2.61</v>
      </c>
      <c r="R27" s="52">
        <v>0.13900000000000001</v>
      </c>
      <c r="S27" s="52">
        <v>0.14000000000000001</v>
      </c>
      <c r="T27" s="52">
        <v>0.13</v>
      </c>
      <c r="U27" s="52">
        <v>0.3</v>
      </c>
      <c r="V27" s="52">
        <v>4.91</v>
      </c>
      <c r="W27" s="52">
        <v>0.34799999999999998</v>
      </c>
      <c r="X27" s="52">
        <v>0.05</v>
      </c>
      <c r="Y27" s="52">
        <v>5.89</v>
      </c>
      <c r="Z27" s="52">
        <v>99.48</v>
      </c>
      <c r="AA27" s="52">
        <v>4</v>
      </c>
      <c r="AB27" s="52">
        <v>1</v>
      </c>
      <c r="AC27" s="52">
        <v>34</v>
      </c>
      <c r="AD27" s="52">
        <v>0</v>
      </c>
      <c r="AE27" s="52">
        <v>8</v>
      </c>
      <c r="AF27" s="52">
        <v>0</v>
      </c>
      <c r="AG27" s="52">
        <v>20</v>
      </c>
      <c r="AH27" s="52">
        <v>30</v>
      </c>
      <c r="AI27" s="52">
        <v>12</v>
      </c>
      <c r="AJ27" s="52">
        <v>1</v>
      </c>
      <c r="AK27" s="52">
        <v>0</v>
      </c>
      <c r="AL27" s="52">
        <v>105</v>
      </c>
      <c r="AM27" s="52">
        <v>132</v>
      </c>
      <c r="AN27" s="52">
        <v>27</v>
      </c>
      <c r="AO27" s="52">
        <v>344</v>
      </c>
      <c r="AP27" s="52">
        <v>4</v>
      </c>
      <c r="AQ27" s="52" t="s">
        <v>72</v>
      </c>
      <c r="AR27" s="52">
        <v>0.5</v>
      </c>
      <c r="AS27" s="52" t="s">
        <v>73</v>
      </c>
      <c r="AT27" s="52">
        <v>5</v>
      </c>
      <c r="AU27" s="52" t="s">
        <v>74</v>
      </c>
      <c r="AV27" s="52">
        <v>1.4</v>
      </c>
      <c r="AW27" s="52">
        <v>691</v>
      </c>
      <c r="AX27" s="52" t="s">
        <v>75</v>
      </c>
      <c r="AY27" s="52">
        <v>87.4</v>
      </c>
      <c r="AZ27" s="52">
        <v>176</v>
      </c>
      <c r="BA27" s="52">
        <v>17.5</v>
      </c>
      <c r="BB27" s="52">
        <v>56.3</v>
      </c>
      <c r="BC27" s="52">
        <v>8.6</v>
      </c>
      <c r="BD27" s="52">
        <v>1.52</v>
      </c>
      <c r="BE27" s="52">
        <v>5.7</v>
      </c>
      <c r="BF27" s="52">
        <v>0.8</v>
      </c>
      <c r="BG27" s="52">
        <v>4.8</v>
      </c>
      <c r="BH27" s="52">
        <v>0.9</v>
      </c>
      <c r="BI27" s="52">
        <v>2.7</v>
      </c>
      <c r="BJ27" s="52">
        <v>0.38</v>
      </c>
      <c r="BK27" s="52">
        <v>2.5</v>
      </c>
      <c r="BL27" s="52">
        <v>0.42</v>
      </c>
      <c r="BM27" s="52">
        <v>7.7</v>
      </c>
      <c r="BN27" s="52">
        <v>0.7</v>
      </c>
      <c r="BO27" s="52">
        <v>0</v>
      </c>
      <c r="BP27" s="52">
        <v>0.6</v>
      </c>
      <c r="BQ27" s="52">
        <v>30</v>
      </c>
      <c r="BR27" s="52">
        <v>11.8</v>
      </c>
      <c r="BS27" s="52">
        <v>2.5</v>
      </c>
      <c r="BT27" s="53">
        <f t="shared" si="5"/>
        <v>0.66818526955201218</v>
      </c>
      <c r="BU27" s="280">
        <f t="shared" si="6"/>
        <v>365.52</v>
      </c>
      <c r="BV27" s="54">
        <f t="shared" si="7"/>
        <v>4</v>
      </c>
      <c r="BW27" s="71">
        <f t="shared" si="8"/>
        <v>67.339449541284395</v>
      </c>
      <c r="BX27" s="69">
        <f t="shared" si="13"/>
        <v>0.66818526955201218</v>
      </c>
      <c r="BY27" s="53">
        <v>9.8699999999999992</v>
      </c>
      <c r="BZ27" s="53">
        <v>1.1399999999999999</v>
      </c>
      <c r="CA27" s="53">
        <v>52.23</v>
      </c>
      <c r="CB27" s="53">
        <v>22.107600000000001</v>
      </c>
      <c r="CC27" s="53">
        <v>1.9224000000000001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8.58</v>
      </c>
      <c r="CL27" s="53">
        <v>0</v>
      </c>
      <c r="CM27" s="53">
        <v>1.04</v>
      </c>
      <c r="CN27" s="53">
        <v>0</v>
      </c>
      <c r="CO27" s="53">
        <v>0.71</v>
      </c>
      <c r="CP27" s="53">
        <v>2.39</v>
      </c>
      <c r="CQ27" s="53">
        <v>0</v>
      </c>
      <c r="CR27" s="53">
        <v>0</v>
      </c>
      <c r="CS27" s="53">
        <v>0</v>
      </c>
      <c r="CT27" s="53">
        <v>0</v>
      </c>
      <c r="CU27" s="53">
        <v>0</v>
      </c>
      <c r="CV27" s="53">
        <v>0</v>
      </c>
      <c r="CW27" s="53">
        <v>0</v>
      </c>
      <c r="CX27" s="53">
        <v>0</v>
      </c>
      <c r="CY27" s="280">
        <v>99.99</v>
      </c>
      <c r="CZ27" s="284">
        <v>0.58698583951449768</v>
      </c>
      <c r="DA27" s="284">
        <v>0.24845583277140934</v>
      </c>
      <c r="DB27" s="284">
        <v>2.1604855023600811E-2</v>
      </c>
      <c r="DC27" s="284">
        <v>0</v>
      </c>
      <c r="DD27" s="284">
        <v>0</v>
      </c>
      <c r="DE27" s="284">
        <v>0</v>
      </c>
      <c r="DF27" s="284">
        <v>0</v>
      </c>
      <c r="DG27" s="284">
        <v>0</v>
      </c>
      <c r="DH27" s="284">
        <v>0</v>
      </c>
      <c r="DI27" s="284">
        <v>0</v>
      </c>
      <c r="DJ27" s="284">
        <v>9.6426163182737709E-2</v>
      </c>
      <c r="DK27" s="284">
        <v>0</v>
      </c>
      <c r="DL27" s="284">
        <v>1.1688019779725783E-2</v>
      </c>
      <c r="DM27" s="284">
        <v>0</v>
      </c>
      <c r="DN27" s="284">
        <v>7.9793211957743318E-3</v>
      </c>
      <c r="DO27" s="284">
        <v>2.6859968532254443E-2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v>0</v>
      </c>
      <c r="DV27" s="284">
        <v>0</v>
      </c>
      <c r="DW27" s="284">
        <v>0</v>
      </c>
      <c r="DX27" s="53">
        <v>1</v>
      </c>
      <c r="DY27" s="71">
        <v>82.918779263022429</v>
      </c>
      <c r="DZ27" s="71">
        <v>10.004957088181358</v>
      </c>
      <c r="EA27" s="71">
        <v>0.19405421724914101</v>
      </c>
      <c r="EB27" s="71">
        <v>0.24470993099685287</v>
      </c>
      <c r="EC27" s="71">
        <v>0</v>
      </c>
      <c r="ED27" s="71">
        <v>0.13020249902618344</v>
      </c>
      <c r="EE27" s="71">
        <v>1.1802129941601326E-2</v>
      </c>
      <c r="EF27" s="71">
        <v>0.25542076724578994</v>
      </c>
      <c r="EG27" s="71">
        <v>4.6064289149606319</v>
      </c>
      <c r="EH27" s="71">
        <v>1.7229505963741228E-2</v>
      </c>
      <c r="EI27" s="71">
        <v>0</v>
      </c>
      <c r="EJ27" s="71">
        <v>1.6164156834122707</v>
      </c>
      <c r="EK27" s="71">
        <v>0</v>
      </c>
      <c r="EL27" s="71">
        <v>100.00000000000003</v>
      </c>
      <c r="EM27" s="53">
        <v>67.24390132978003</v>
      </c>
      <c r="EN27" s="53" t="s">
        <v>85</v>
      </c>
      <c r="EO27" s="288">
        <v>4.6078804203571067E-3</v>
      </c>
      <c r="EP27" s="257">
        <f t="shared" si="14"/>
        <v>0.46078804203571067</v>
      </c>
      <c r="EQ27" s="257">
        <f t="shared" si="15"/>
        <v>24.026883225987117</v>
      </c>
      <c r="ER27" s="324">
        <f t="shared" si="16"/>
        <v>2.6288481494292634E-2</v>
      </c>
      <c r="ES27" s="257">
        <f t="shared" si="9"/>
        <v>0.66818526955201218</v>
      </c>
      <c r="ET27">
        <f t="shared" si="10"/>
        <v>4</v>
      </c>
      <c r="EU27" s="324">
        <f t="shared" si="17"/>
        <v>3.9343102418162954E-2</v>
      </c>
      <c r="EV27" s="39">
        <f t="shared" si="18"/>
        <v>149.06</v>
      </c>
      <c r="EW27"/>
      <c r="EX27">
        <f t="shared" si="19"/>
        <v>30</v>
      </c>
      <c r="EY27"/>
      <c r="EZ27"/>
      <c r="FA27"/>
      <c r="FB27"/>
      <c r="FC27"/>
      <c r="FD27"/>
    </row>
    <row r="28" spans="1:160" s="54" customFormat="1" ht="13" customHeight="1" x14ac:dyDescent="0.2">
      <c r="A28" s="49" t="s">
        <v>86</v>
      </c>
      <c r="B28" s="50" t="s">
        <v>461</v>
      </c>
      <c r="C28" s="275">
        <f t="shared" ref="C28:C38" si="22">149.1-F28/100</f>
        <v>148.96</v>
      </c>
      <c r="D28" s="51">
        <v>8</v>
      </c>
      <c r="E28" s="51">
        <v>20</v>
      </c>
      <c r="F28" s="51">
        <f t="shared" si="4"/>
        <v>14</v>
      </c>
      <c r="G28" s="83" t="s">
        <v>514</v>
      </c>
      <c r="H28" s="84">
        <v>7.5</v>
      </c>
      <c r="I28" s="85">
        <v>4</v>
      </c>
      <c r="J28" s="85">
        <v>4</v>
      </c>
      <c r="K28" s="89">
        <f t="shared" si="21"/>
        <v>7.5</v>
      </c>
      <c r="L28" s="51">
        <v>124</v>
      </c>
      <c r="M28" s="51">
        <v>89</v>
      </c>
      <c r="N28" s="51">
        <v>58</v>
      </c>
      <c r="O28" s="52">
        <v>76.709999999999994</v>
      </c>
      <c r="P28" s="52">
        <v>11.4</v>
      </c>
      <c r="Q28" s="52">
        <v>2.4500000000000002</v>
      </c>
      <c r="R28" s="52">
        <v>0.1</v>
      </c>
      <c r="S28" s="52">
        <v>0.14000000000000001</v>
      </c>
      <c r="T28" s="52">
        <v>0.11</v>
      </c>
      <c r="U28" s="52">
        <v>0.3</v>
      </c>
      <c r="V28" s="52">
        <v>5.0599999999999996</v>
      </c>
      <c r="W28" s="52">
        <v>0.33100000000000002</v>
      </c>
      <c r="X28" s="52">
        <v>0.03</v>
      </c>
      <c r="Y28" s="52">
        <v>3.85</v>
      </c>
      <c r="Z28" s="52">
        <v>100.5</v>
      </c>
      <c r="AA28" s="52">
        <v>4</v>
      </c>
      <c r="AB28" s="52">
        <v>1</v>
      </c>
      <c r="AC28" s="52">
        <v>34</v>
      </c>
      <c r="AD28" s="52">
        <v>0</v>
      </c>
      <c r="AE28" s="52">
        <v>7</v>
      </c>
      <c r="AF28" s="52">
        <v>0</v>
      </c>
      <c r="AG28" s="52">
        <v>10</v>
      </c>
      <c r="AH28" s="52">
        <v>0</v>
      </c>
      <c r="AI28" s="52">
        <v>13</v>
      </c>
      <c r="AJ28" s="52">
        <v>1</v>
      </c>
      <c r="AK28" s="52">
        <v>0</v>
      </c>
      <c r="AL28" s="52">
        <v>110</v>
      </c>
      <c r="AM28" s="52">
        <v>137</v>
      </c>
      <c r="AN28" s="52">
        <v>38</v>
      </c>
      <c r="AO28" s="52">
        <v>333</v>
      </c>
      <c r="AP28" s="52">
        <v>4</v>
      </c>
      <c r="AQ28" s="52" t="s">
        <v>72</v>
      </c>
      <c r="AR28" s="52">
        <v>0.7</v>
      </c>
      <c r="AS28" s="52" t="s">
        <v>73</v>
      </c>
      <c r="AT28" s="52">
        <v>3</v>
      </c>
      <c r="AU28" s="52" t="s">
        <v>74</v>
      </c>
      <c r="AV28" s="52">
        <v>1.4</v>
      </c>
      <c r="AW28" s="52">
        <v>668</v>
      </c>
      <c r="AX28" s="52" t="s">
        <v>75</v>
      </c>
      <c r="AY28" s="52">
        <v>140</v>
      </c>
      <c r="AZ28" s="52">
        <v>190</v>
      </c>
      <c r="BA28" s="52">
        <v>28.5</v>
      </c>
      <c r="BB28" s="52">
        <v>90.4</v>
      </c>
      <c r="BC28" s="52">
        <v>12.4</v>
      </c>
      <c r="BD28" s="52">
        <v>2.29</v>
      </c>
      <c r="BE28" s="52">
        <v>8.5</v>
      </c>
      <c r="BF28" s="52">
        <v>1.1000000000000001</v>
      </c>
      <c r="BG28" s="52">
        <v>6.5</v>
      </c>
      <c r="BH28" s="52">
        <v>1.3</v>
      </c>
      <c r="BI28" s="52">
        <v>3.7</v>
      </c>
      <c r="BJ28" s="52">
        <v>0.53</v>
      </c>
      <c r="BK28" s="52">
        <v>3.4</v>
      </c>
      <c r="BL28" s="52">
        <v>0.55000000000000004</v>
      </c>
      <c r="BM28" s="52">
        <v>8.5</v>
      </c>
      <c r="BN28" s="52">
        <v>0.5</v>
      </c>
      <c r="BO28" s="52">
        <v>0</v>
      </c>
      <c r="BP28" s="52">
        <v>0.5</v>
      </c>
      <c r="BQ28" s="52">
        <v>26</v>
      </c>
      <c r="BR28" s="52">
        <v>12.9</v>
      </c>
      <c r="BS28" s="52">
        <v>2.2999999999999998</v>
      </c>
      <c r="BT28" s="53">
        <f t="shared" si="5"/>
        <v>0.5757575757575758</v>
      </c>
      <c r="BU28" s="280">
        <f t="shared" si="6"/>
        <v>489.16999999999996</v>
      </c>
      <c r="BV28" s="54">
        <f t="shared" si="7"/>
        <v>14</v>
      </c>
      <c r="BW28" s="71">
        <f t="shared" si="8"/>
        <v>67.575577949021934</v>
      </c>
      <c r="BX28" s="69">
        <f t="shared" si="13"/>
        <v>0.5757575757575758</v>
      </c>
      <c r="BY28" s="53">
        <v>9.9</v>
      </c>
      <c r="BZ28" s="53">
        <v>1.1200000000000001</v>
      </c>
      <c r="CA28" s="53">
        <v>47.96</v>
      </c>
      <c r="CB28" s="53">
        <v>25.1252</v>
      </c>
      <c r="CC28" s="53">
        <v>2.1848000000000001</v>
      </c>
      <c r="CD28" s="53">
        <v>0</v>
      </c>
      <c r="CE28" s="53">
        <v>0</v>
      </c>
      <c r="CF28" s="53">
        <v>0</v>
      </c>
      <c r="CG28" s="53">
        <v>0</v>
      </c>
      <c r="CH28" s="53">
        <v>0.06</v>
      </c>
      <c r="CI28" s="53">
        <v>0.2</v>
      </c>
      <c r="CJ28" s="53">
        <v>0</v>
      </c>
      <c r="CK28" s="53">
        <v>8.4700000000000006</v>
      </c>
      <c r="CL28" s="53">
        <v>0</v>
      </c>
      <c r="CM28" s="53">
        <v>0.93</v>
      </c>
      <c r="CN28" s="53">
        <v>0</v>
      </c>
      <c r="CO28" s="53">
        <v>0.91</v>
      </c>
      <c r="CP28" s="53">
        <v>3.15</v>
      </c>
      <c r="CQ28" s="53">
        <v>0</v>
      </c>
      <c r="CR28" s="53">
        <v>0</v>
      </c>
      <c r="CS28" s="53">
        <v>0</v>
      </c>
      <c r="CT28" s="53">
        <v>0</v>
      </c>
      <c r="CU28" s="53">
        <v>0</v>
      </c>
      <c r="CV28" s="53">
        <v>0</v>
      </c>
      <c r="CW28" s="53">
        <v>0</v>
      </c>
      <c r="CX28" s="53">
        <v>0</v>
      </c>
      <c r="CY28" s="280">
        <v>100.01</v>
      </c>
      <c r="CZ28" s="284">
        <v>0.53893695920889984</v>
      </c>
      <c r="DA28" s="284">
        <v>0.28233734127430044</v>
      </c>
      <c r="DB28" s="284">
        <v>2.4551073154286996E-2</v>
      </c>
      <c r="DC28" s="284">
        <v>0</v>
      </c>
      <c r="DD28" s="284">
        <v>0</v>
      </c>
      <c r="DE28" s="284">
        <v>0</v>
      </c>
      <c r="DF28" s="284">
        <v>0</v>
      </c>
      <c r="DG28" s="284">
        <v>6.7423305989437006E-4</v>
      </c>
      <c r="DH28" s="284">
        <v>2.2474435329812338E-3</v>
      </c>
      <c r="DI28" s="284">
        <v>0</v>
      </c>
      <c r="DJ28" s="284">
        <v>9.5179233621755246E-2</v>
      </c>
      <c r="DK28" s="284">
        <v>0</v>
      </c>
      <c r="DL28" s="284">
        <v>1.0450612428362737E-2</v>
      </c>
      <c r="DM28" s="284">
        <v>0</v>
      </c>
      <c r="DN28" s="284">
        <v>1.0225868075064613E-2</v>
      </c>
      <c r="DO28" s="284">
        <v>3.5397235644454426E-2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v>0</v>
      </c>
      <c r="DV28" s="284">
        <v>0</v>
      </c>
      <c r="DW28" s="284">
        <v>0</v>
      </c>
      <c r="DX28" s="53">
        <v>0.99999999999999989</v>
      </c>
      <c r="DY28" s="71">
        <v>80.938580860693705</v>
      </c>
      <c r="DZ28" s="71">
        <v>11.009635469121488</v>
      </c>
      <c r="EA28" s="71">
        <v>0.24366071341198442</v>
      </c>
      <c r="EB28" s="71">
        <v>0.31798268798432494</v>
      </c>
      <c r="EC28" s="71">
        <v>0</v>
      </c>
      <c r="ED28" s="71">
        <v>0.1618332215947175</v>
      </c>
      <c r="EE28" s="71">
        <v>1.0978537465603361E-2</v>
      </c>
      <c r="EF28" s="71">
        <v>0.29025207227381605</v>
      </c>
      <c r="EG28" s="71">
        <v>5.2863441766204122</v>
      </c>
      <c r="EH28" s="71">
        <v>2.2080406423175603E-2</v>
      </c>
      <c r="EI28" s="71">
        <v>0</v>
      </c>
      <c r="EJ28" s="71">
        <v>1.718651854410773</v>
      </c>
      <c r="EK28" s="71">
        <v>0</v>
      </c>
      <c r="EL28" s="71">
        <v>99.999999999999972</v>
      </c>
      <c r="EM28" s="53">
        <v>66.334253164537074</v>
      </c>
      <c r="EN28" s="53" t="s">
        <v>86</v>
      </c>
      <c r="EO28" s="288">
        <v>5.9026184331489855E-3</v>
      </c>
      <c r="EP28" s="257">
        <f t="shared" si="14"/>
        <v>0.5902618433148985</v>
      </c>
      <c r="EQ28" s="257">
        <f t="shared" si="15"/>
        <v>21.770573566084789</v>
      </c>
      <c r="ER28" s="324">
        <f t="shared" si="16"/>
        <v>2.470600927823929E-2</v>
      </c>
      <c r="ES28" s="257">
        <f t="shared" si="9"/>
        <v>0.5757575757575758</v>
      </c>
      <c r="ET28">
        <f t="shared" si="10"/>
        <v>14</v>
      </c>
      <c r="EU28" s="324">
        <f t="shared" si="17"/>
        <v>4.2910437167468236E-2</v>
      </c>
      <c r="EV28" s="39">
        <f t="shared" si="18"/>
        <v>148.96</v>
      </c>
      <c r="EW28"/>
      <c r="EX28">
        <f t="shared" si="19"/>
        <v>29.23076923076923</v>
      </c>
      <c r="EY28"/>
      <c r="EZ28"/>
      <c r="FA28"/>
      <c r="FB28"/>
      <c r="FC28"/>
      <c r="FD28"/>
    </row>
    <row r="29" spans="1:160" s="54" customFormat="1" ht="13" customHeight="1" x14ac:dyDescent="0.2">
      <c r="A29" s="49" t="s">
        <v>87</v>
      </c>
      <c r="B29" s="50" t="s">
        <v>461</v>
      </c>
      <c r="C29" s="275">
        <f t="shared" si="22"/>
        <v>148.85</v>
      </c>
      <c r="D29" s="51">
        <v>20</v>
      </c>
      <c r="E29" s="51">
        <v>30</v>
      </c>
      <c r="F29" s="51">
        <f t="shared" si="4"/>
        <v>25</v>
      </c>
      <c r="G29" s="83" t="s">
        <v>517</v>
      </c>
      <c r="H29" s="84">
        <v>5</v>
      </c>
      <c r="I29" s="85">
        <v>5</v>
      </c>
      <c r="J29" s="85">
        <v>6</v>
      </c>
      <c r="K29" s="89">
        <f t="shared" si="21"/>
        <v>4.166666666666667</v>
      </c>
      <c r="L29" s="51">
        <v>164</v>
      </c>
      <c r="M29" s="51">
        <v>109</v>
      </c>
      <c r="N29" s="51">
        <v>70</v>
      </c>
      <c r="O29" s="52">
        <v>73.75</v>
      </c>
      <c r="P29" s="52">
        <v>12.91</v>
      </c>
      <c r="Q29" s="52">
        <v>2.84</v>
      </c>
      <c r="R29" s="52">
        <v>0.06</v>
      </c>
      <c r="S29" s="52">
        <v>0.15</v>
      </c>
      <c r="T29" s="52">
        <v>0.09</v>
      </c>
      <c r="U29" s="52">
        <v>0.28999999999999998</v>
      </c>
      <c r="V29" s="52">
        <v>5.46</v>
      </c>
      <c r="W29" s="52">
        <v>0.35899999999999999</v>
      </c>
      <c r="X29" s="52">
        <v>0.03</v>
      </c>
      <c r="Y29" s="52">
        <v>3.54</v>
      </c>
      <c r="Z29" s="52">
        <v>99.49</v>
      </c>
      <c r="AA29" s="52">
        <v>5</v>
      </c>
      <c r="AB29" s="52">
        <v>0</v>
      </c>
      <c r="AC29" s="52">
        <v>38</v>
      </c>
      <c r="AD29" s="52">
        <v>0</v>
      </c>
      <c r="AE29" s="52">
        <v>7</v>
      </c>
      <c r="AF29" s="52">
        <v>0</v>
      </c>
      <c r="AG29" s="52">
        <v>20</v>
      </c>
      <c r="AH29" s="52">
        <v>0</v>
      </c>
      <c r="AI29" s="52">
        <v>15</v>
      </c>
      <c r="AJ29" s="52">
        <v>1</v>
      </c>
      <c r="AK29" s="52">
        <v>0</v>
      </c>
      <c r="AL29" s="52">
        <v>124</v>
      </c>
      <c r="AM29" s="52">
        <v>146</v>
      </c>
      <c r="AN29" s="52">
        <v>41</v>
      </c>
      <c r="AO29" s="52">
        <v>340</v>
      </c>
      <c r="AP29" s="52">
        <v>6</v>
      </c>
      <c r="AQ29" s="52" t="s">
        <v>72</v>
      </c>
      <c r="AR29" s="52">
        <v>0.6</v>
      </c>
      <c r="AS29" s="52" t="s">
        <v>73</v>
      </c>
      <c r="AT29" s="52">
        <v>5</v>
      </c>
      <c r="AU29" s="52" t="s">
        <v>74</v>
      </c>
      <c r="AV29" s="52">
        <v>1.6</v>
      </c>
      <c r="AW29" s="52">
        <v>702</v>
      </c>
      <c r="AX29" s="52" t="s">
        <v>75</v>
      </c>
      <c r="AY29" s="52">
        <v>166</v>
      </c>
      <c r="AZ29" s="52">
        <v>277</v>
      </c>
      <c r="BA29" s="52">
        <v>32.299999999999997</v>
      </c>
      <c r="BB29" s="52">
        <v>105</v>
      </c>
      <c r="BC29" s="52">
        <v>14.1</v>
      </c>
      <c r="BD29" s="52">
        <v>2.5299999999999998</v>
      </c>
      <c r="BE29" s="52">
        <v>9.6</v>
      </c>
      <c r="BF29" s="52">
        <v>1.3</v>
      </c>
      <c r="BG29" s="52">
        <v>6.9</v>
      </c>
      <c r="BH29" s="52">
        <v>1.3</v>
      </c>
      <c r="BI29" s="52">
        <v>3.8</v>
      </c>
      <c r="BJ29" s="52">
        <v>0.56000000000000005</v>
      </c>
      <c r="BK29" s="52">
        <v>3.6</v>
      </c>
      <c r="BL29" s="52">
        <v>0.57999999999999996</v>
      </c>
      <c r="BM29" s="52">
        <v>8.9</v>
      </c>
      <c r="BN29" s="52">
        <v>0.8</v>
      </c>
      <c r="BO29" s="52">
        <v>1</v>
      </c>
      <c r="BP29" s="52">
        <v>0.6</v>
      </c>
      <c r="BQ29" s="52">
        <v>29</v>
      </c>
      <c r="BR29" s="52">
        <v>18.5</v>
      </c>
      <c r="BS29" s="52">
        <v>3</v>
      </c>
      <c r="BT29" s="53">
        <f t="shared" si="5"/>
        <v>0.62528216704288941</v>
      </c>
      <c r="BU29" s="280">
        <f t="shared" si="6"/>
        <v>624.56999999999982</v>
      </c>
      <c r="BV29" s="54">
        <f t="shared" si="7"/>
        <v>25</v>
      </c>
      <c r="BW29" s="71">
        <f t="shared" si="8"/>
        <v>68.853333333333339</v>
      </c>
      <c r="BX29" s="69">
        <f t="shared" si="13"/>
        <v>0.62528216704288941</v>
      </c>
      <c r="BY29" s="53">
        <v>9.85</v>
      </c>
      <c r="BZ29" s="53">
        <v>0.65</v>
      </c>
      <c r="CA29" s="53">
        <v>43.46</v>
      </c>
      <c r="CB29" s="53">
        <v>29.890800000000002</v>
      </c>
      <c r="CC29" s="53">
        <v>2.5992000000000002</v>
      </c>
      <c r="CD29" s="53">
        <v>0</v>
      </c>
      <c r="CE29" s="53">
        <v>0</v>
      </c>
      <c r="CF29" s="53">
        <v>0</v>
      </c>
      <c r="CG29" s="53">
        <v>0</v>
      </c>
      <c r="CH29" s="53">
        <v>0.12</v>
      </c>
      <c r="CI29" s="53">
        <v>0.18</v>
      </c>
      <c r="CJ29" s="53">
        <v>0</v>
      </c>
      <c r="CK29" s="53">
        <v>8.11</v>
      </c>
      <c r="CL29" s="53">
        <v>0</v>
      </c>
      <c r="CM29" s="53">
        <v>0.69</v>
      </c>
      <c r="CN29" s="53">
        <v>0</v>
      </c>
      <c r="CO29" s="53">
        <v>1.01</v>
      </c>
      <c r="CP29" s="53">
        <v>3.46</v>
      </c>
      <c r="CQ29" s="53">
        <v>0</v>
      </c>
      <c r="CR29" s="53">
        <v>0</v>
      </c>
      <c r="CS29" s="53">
        <v>0</v>
      </c>
      <c r="CT29" s="53">
        <v>0</v>
      </c>
      <c r="CU29" s="53">
        <v>0</v>
      </c>
      <c r="CV29" s="53">
        <v>0</v>
      </c>
      <c r="CW29" s="53">
        <v>0</v>
      </c>
      <c r="CX29" s="53">
        <v>0</v>
      </c>
      <c r="CY29" s="280">
        <v>100.02000000000001</v>
      </c>
      <c r="CZ29" s="284">
        <v>0.48547810545129577</v>
      </c>
      <c r="DA29" s="284">
        <v>0.33390080428954422</v>
      </c>
      <c r="DB29" s="284">
        <v>2.903485254691689E-2</v>
      </c>
      <c r="DC29" s="284">
        <v>0</v>
      </c>
      <c r="DD29" s="284">
        <v>0</v>
      </c>
      <c r="DE29" s="284">
        <v>0</v>
      </c>
      <c r="DF29" s="284">
        <v>0</v>
      </c>
      <c r="DG29" s="284">
        <v>1.3404825737265414E-3</v>
      </c>
      <c r="DH29" s="284">
        <v>2.0107238605898119E-3</v>
      </c>
      <c r="DI29" s="284">
        <v>0</v>
      </c>
      <c r="DJ29" s="284">
        <v>9.0594280607685415E-2</v>
      </c>
      <c r="DK29" s="284">
        <v>0</v>
      </c>
      <c r="DL29" s="284">
        <v>7.7077747989276121E-3</v>
      </c>
      <c r="DM29" s="284">
        <v>0</v>
      </c>
      <c r="DN29" s="284">
        <v>1.1282394995531724E-2</v>
      </c>
      <c r="DO29" s="284">
        <v>3.8650580875781944E-2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v>0</v>
      </c>
      <c r="DV29" s="284">
        <v>0</v>
      </c>
      <c r="DW29" s="284">
        <v>0</v>
      </c>
      <c r="DX29" s="53">
        <v>0.99999999999999978</v>
      </c>
      <c r="DY29" s="71">
        <v>79.130661055257093</v>
      </c>
      <c r="DZ29" s="71">
        <v>11.855709381083015</v>
      </c>
      <c r="EA29" s="71">
        <v>0.28157627460284973</v>
      </c>
      <c r="EB29" s="71">
        <v>0.34902379072882744</v>
      </c>
      <c r="EC29" s="71">
        <v>0</v>
      </c>
      <c r="ED29" s="71">
        <v>0.17126151172467763</v>
      </c>
      <c r="EE29" s="71">
        <v>8.6124603925182355E-3</v>
      </c>
      <c r="EF29" s="71">
        <v>0.34326100806048693</v>
      </c>
      <c r="EG29" s="71">
        <v>6.1917622886495227</v>
      </c>
      <c r="EH29" s="71">
        <v>2.4361732920808177E-2</v>
      </c>
      <c r="EI29" s="71">
        <v>0</v>
      </c>
      <c r="EJ29" s="71">
        <v>1.643770496580206</v>
      </c>
      <c r="EK29" s="71">
        <v>0</v>
      </c>
      <c r="EL29" s="71">
        <v>100</v>
      </c>
      <c r="EM29" s="53">
        <v>64.4354964377399</v>
      </c>
      <c r="EN29" s="53" t="s">
        <v>87</v>
      </c>
      <c r="EO29" s="288">
        <v>6.6201220649727173E-3</v>
      </c>
      <c r="EP29" s="257">
        <f t="shared" si="14"/>
        <v>0.66201220649727177</v>
      </c>
      <c r="EQ29" s="257">
        <f t="shared" si="15"/>
        <v>18.536477848798764</v>
      </c>
      <c r="ER29" s="324">
        <f t="shared" si="16"/>
        <v>2.3528317678787315E-2</v>
      </c>
      <c r="ES29" s="257">
        <f t="shared" si="9"/>
        <v>0.62528216704288941</v>
      </c>
      <c r="ET29">
        <f t="shared" si="10"/>
        <v>25</v>
      </c>
      <c r="EU29" s="324">
        <f t="shared" si="17"/>
        <v>3.7628320331056966E-2</v>
      </c>
      <c r="EV29" s="39">
        <f t="shared" si="18"/>
        <v>148.85</v>
      </c>
      <c r="EW29"/>
      <c r="EX29">
        <f t="shared" si="19"/>
        <v>31.538461538461537</v>
      </c>
      <c r="EY29"/>
      <c r="EZ29"/>
      <c r="FA29"/>
      <c r="FB29"/>
      <c r="FC29"/>
      <c r="FD29"/>
    </row>
    <row r="30" spans="1:160" s="54" customFormat="1" ht="13" customHeight="1" x14ac:dyDescent="0.2">
      <c r="A30" s="49" t="s">
        <v>88</v>
      </c>
      <c r="B30" s="50" t="s">
        <v>461</v>
      </c>
      <c r="C30" s="275">
        <f t="shared" si="22"/>
        <v>148.75</v>
      </c>
      <c r="D30" s="51">
        <v>30</v>
      </c>
      <c r="E30" s="51">
        <v>40</v>
      </c>
      <c r="F30" s="51">
        <f t="shared" si="4"/>
        <v>35</v>
      </c>
      <c r="G30" s="83" t="s">
        <v>517</v>
      </c>
      <c r="H30" s="84">
        <v>5</v>
      </c>
      <c r="I30" s="85">
        <v>5</v>
      </c>
      <c r="J30" s="85">
        <v>6</v>
      </c>
      <c r="K30" s="89">
        <f t="shared" si="21"/>
        <v>4.166666666666667</v>
      </c>
      <c r="L30" s="51">
        <v>164</v>
      </c>
      <c r="M30" s="51">
        <v>109</v>
      </c>
      <c r="N30" s="51">
        <v>70</v>
      </c>
      <c r="O30" s="52">
        <v>70.12</v>
      </c>
      <c r="P30" s="52">
        <v>14.94</v>
      </c>
      <c r="Q30" s="52">
        <v>3.17</v>
      </c>
      <c r="R30" s="52">
        <v>3.6999999999999998E-2</v>
      </c>
      <c r="S30" s="52">
        <v>0.26</v>
      </c>
      <c r="T30" s="52">
        <v>0.14000000000000001</v>
      </c>
      <c r="U30" s="52">
        <v>0.35</v>
      </c>
      <c r="V30" s="52">
        <v>5.37</v>
      </c>
      <c r="W30" s="52">
        <v>0.36499999999999999</v>
      </c>
      <c r="X30" s="52">
        <v>0.01</v>
      </c>
      <c r="Y30" s="52">
        <v>4.6500000000000004</v>
      </c>
      <c r="Z30" s="52">
        <v>99.41</v>
      </c>
      <c r="AA30" s="52">
        <v>6</v>
      </c>
      <c r="AB30" s="52">
        <v>1</v>
      </c>
      <c r="AC30" s="52">
        <v>47</v>
      </c>
      <c r="AD30" s="52">
        <v>30</v>
      </c>
      <c r="AE30" s="52">
        <v>7</v>
      </c>
      <c r="AF30" s="52">
        <v>0</v>
      </c>
      <c r="AG30" s="52">
        <v>30</v>
      </c>
      <c r="AH30" s="52">
        <v>40</v>
      </c>
      <c r="AI30" s="52">
        <v>18</v>
      </c>
      <c r="AJ30" s="52">
        <v>1</v>
      </c>
      <c r="AK30" s="52">
        <v>0</v>
      </c>
      <c r="AL30" s="52">
        <v>132</v>
      </c>
      <c r="AM30" s="52">
        <v>133</v>
      </c>
      <c r="AN30" s="52">
        <v>34</v>
      </c>
      <c r="AO30" s="52">
        <v>335</v>
      </c>
      <c r="AP30" s="52">
        <v>5</v>
      </c>
      <c r="AQ30" s="52" t="s">
        <v>72</v>
      </c>
      <c r="AR30" s="52" t="s">
        <v>74</v>
      </c>
      <c r="AS30" s="52" t="s">
        <v>73</v>
      </c>
      <c r="AT30" s="52">
        <v>4</v>
      </c>
      <c r="AU30" s="52" t="s">
        <v>74</v>
      </c>
      <c r="AV30" s="52">
        <v>1.8</v>
      </c>
      <c r="AW30" s="52">
        <v>640</v>
      </c>
      <c r="AX30" s="52" t="s">
        <v>75</v>
      </c>
      <c r="AY30" s="52">
        <v>144</v>
      </c>
      <c r="AZ30" s="52">
        <v>317</v>
      </c>
      <c r="BA30" s="52">
        <v>27.9</v>
      </c>
      <c r="BB30" s="52">
        <v>88.6</v>
      </c>
      <c r="BC30" s="52">
        <v>11.6</v>
      </c>
      <c r="BD30" s="52">
        <v>2.1</v>
      </c>
      <c r="BE30" s="52">
        <v>7.6</v>
      </c>
      <c r="BF30" s="52">
        <v>1</v>
      </c>
      <c r="BG30" s="52">
        <v>5.6</v>
      </c>
      <c r="BH30" s="52">
        <v>1.1000000000000001</v>
      </c>
      <c r="BI30" s="52">
        <v>3.1</v>
      </c>
      <c r="BJ30" s="52">
        <v>0.43</v>
      </c>
      <c r="BK30" s="52">
        <v>2.8</v>
      </c>
      <c r="BL30" s="52">
        <v>0.44</v>
      </c>
      <c r="BM30" s="52">
        <v>8.4</v>
      </c>
      <c r="BN30" s="52">
        <v>0.6</v>
      </c>
      <c r="BO30" s="52">
        <v>0</v>
      </c>
      <c r="BP30" s="52">
        <v>0.6</v>
      </c>
      <c r="BQ30" s="52">
        <v>30</v>
      </c>
      <c r="BR30" s="52">
        <v>30.5</v>
      </c>
      <c r="BS30" s="52">
        <v>2.9</v>
      </c>
      <c r="BT30" s="53">
        <f t="shared" si="5"/>
        <v>0.68763557483731019</v>
      </c>
      <c r="BU30" s="280">
        <f t="shared" si="6"/>
        <v>613.2700000000001</v>
      </c>
      <c r="BV30" s="54">
        <f t="shared" si="7"/>
        <v>35</v>
      </c>
      <c r="BW30" s="71">
        <f t="shared" si="8"/>
        <v>71.82692307692308</v>
      </c>
      <c r="BX30" s="69">
        <f t="shared" si="13"/>
        <v>0.68763557483731019</v>
      </c>
      <c r="BY30" s="53">
        <v>9.66</v>
      </c>
      <c r="BZ30" s="53">
        <v>1.03</v>
      </c>
      <c r="CA30" s="53">
        <v>40.14</v>
      </c>
      <c r="CB30" s="53">
        <v>29.164000000000001</v>
      </c>
      <c r="CC30" s="53">
        <v>2.536</v>
      </c>
      <c r="CD30" s="53">
        <v>0</v>
      </c>
      <c r="CE30" s="53">
        <v>0</v>
      </c>
      <c r="CF30" s="53">
        <v>0</v>
      </c>
      <c r="CG30" s="53">
        <v>0</v>
      </c>
      <c r="CH30" s="53">
        <v>0.12</v>
      </c>
      <c r="CI30" s="53">
        <v>0.28999999999999998</v>
      </c>
      <c r="CJ30" s="53">
        <v>0</v>
      </c>
      <c r="CK30" s="53">
        <v>11.15</v>
      </c>
      <c r="CL30" s="53">
        <v>0</v>
      </c>
      <c r="CM30" s="53">
        <v>0.69</v>
      </c>
      <c r="CN30" s="53">
        <v>0</v>
      </c>
      <c r="CO30" s="53">
        <v>1.06</v>
      </c>
      <c r="CP30" s="53">
        <v>4.17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280">
        <v>100.01000000000002</v>
      </c>
      <c r="CZ30" s="284">
        <v>0.44939543215405275</v>
      </c>
      <c r="DA30" s="284">
        <v>0.32651141961486785</v>
      </c>
      <c r="DB30" s="284">
        <v>2.8392297357814594E-2</v>
      </c>
      <c r="DC30" s="284">
        <v>0</v>
      </c>
      <c r="DD30" s="284">
        <v>0</v>
      </c>
      <c r="DE30" s="284">
        <v>0</v>
      </c>
      <c r="DF30" s="284">
        <v>0</v>
      </c>
      <c r="DG30" s="284">
        <v>1.3434841021047915E-3</v>
      </c>
      <c r="DH30" s="284">
        <v>3.2467532467532457E-3</v>
      </c>
      <c r="DI30" s="284">
        <v>0</v>
      </c>
      <c r="DJ30" s="284">
        <v>0.12483206448723687</v>
      </c>
      <c r="DK30" s="284">
        <v>0</v>
      </c>
      <c r="DL30" s="284">
        <v>7.7250335871025498E-3</v>
      </c>
      <c r="DM30" s="284">
        <v>0</v>
      </c>
      <c r="DN30" s="284">
        <v>1.1867442901925658E-2</v>
      </c>
      <c r="DO30" s="284">
        <v>4.66860725481415E-2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v>0</v>
      </c>
      <c r="DV30" s="284">
        <v>0</v>
      </c>
      <c r="DW30" s="284">
        <v>0</v>
      </c>
      <c r="DX30" s="53">
        <v>0.99999999999999978</v>
      </c>
      <c r="DY30" s="71">
        <v>77.025531991868533</v>
      </c>
      <c r="DZ30" s="71">
        <v>13.317994867264622</v>
      </c>
      <c r="EA30" s="71">
        <v>0.33456413963819981</v>
      </c>
      <c r="EB30" s="71">
        <v>0.39419111990162525</v>
      </c>
      <c r="EC30" s="71">
        <v>0</v>
      </c>
      <c r="ED30" s="71">
        <v>0.19449758210436874</v>
      </c>
      <c r="EE30" s="71">
        <v>8.7088674198541657E-3</v>
      </c>
      <c r="EF30" s="71">
        <v>0.33566447759458062</v>
      </c>
      <c r="EG30" s="71">
        <v>6.1632574070160802</v>
      </c>
      <c r="EH30" s="71">
        <v>2.5625009099943159E-2</v>
      </c>
      <c r="EI30" s="71">
        <v>0</v>
      </c>
      <c r="EJ30" s="71">
        <v>2.1999645380921642</v>
      </c>
      <c r="EK30" s="71">
        <v>0</v>
      </c>
      <c r="EL30" s="71">
        <v>99.999999999999972</v>
      </c>
      <c r="EM30" s="53">
        <v>67.175660042238405</v>
      </c>
      <c r="EN30" s="53" t="s">
        <v>88</v>
      </c>
      <c r="EO30" s="288">
        <v>7.6423246033097136E-3</v>
      </c>
      <c r="EP30" s="257">
        <f t="shared" si="14"/>
        <v>0.76423246033097136</v>
      </c>
      <c r="EQ30" s="257">
        <f t="shared" si="15"/>
        <v>23.839967003505876</v>
      </c>
      <c r="ER30" s="324">
        <f t="shared" si="16"/>
        <v>2.3153252480705627E-2</v>
      </c>
      <c r="ES30" s="257">
        <f t="shared" si="9"/>
        <v>0.68763557483731019</v>
      </c>
      <c r="ET30">
        <f t="shared" si="10"/>
        <v>35</v>
      </c>
      <c r="EU30" s="324">
        <f t="shared" si="17"/>
        <v>3.3670818276357393E-2</v>
      </c>
      <c r="EV30" s="39">
        <f t="shared" si="18"/>
        <v>148.75</v>
      </c>
      <c r="EW30"/>
      <c r="EX30">
        <f t="shared" si="19"/>
        <v>30.909090909090907</v>
      </c>
      <c r="EY30"/>
      <c r="EZ30"/>
      <c r="FA30"/>
      <c r="FB30"/>
      <c r="FC30"/>
      <c r="FD30"/>
    </row>
    <row r="31" spans="1:160" s="54" customFormat="1" ht="13" customHeight="1" x14ac:dyDescent="0.2">
      <c r="A31" s="49" t="s">
        <v>89</v>
      </c>
      <c r="B31" s="50" t="s">
        <v>461</v>
      </c>
      <c r="C31" s="275">
        <f t="shared" si="22"/>
        <v>148.47499999999999</v>
      </c>
      <c r="D31" s="51">
        <v>40</v>
      </c>
      <c r="E31" s="51">
        <v>85</v>
      </c>
      <c r="F31" s="51">
        <f t="shared" si="4"/>
        <v>62.5</v>
      </c>
      <c r="G31" s="83" t="s">
        <v>507</v>
      </c>
      <c r="H31" s="84">
        <v>2.5</v>
      </c>
      <c r="I31" s="85">
        <v>4</v>
      </c>
      <c r="J31" s="85">
        <v>6</v>
      </c>
      <c r="K31" s="89">
        <f t="shared" si="21"/>
        <v>1.6666666666666667</v>
      </c>
      <c r="L31" s="51">
        <v>140</v>
      </c>
      <c r="M31" s="51">
        <v>81</v>
      </c>
      <c r="N31" s="51">
        <v>54</v>
      </c>
      <c r="O31" s="52">
        <v>65.98</v>
      </c>
      <c r="P31" s="52">
        <v>17.100000000000001</v>
      </c>
      <c r="Q31" s="52">
        <v>3.96</v>
      </c>
      <c r="R31" s="52">
        <v>2.4E-2</v>
      </c>
      <c r="S31" s="52">
        <v>0.26</v>
      </c>
      <c r="T31" s="52">
        <v>0.06</v>
      </c>
      <c r="U31" s="52">
        <v>0.26</v>
      </c>
      <c r="V31" s="52">
        <v>5.17</v>
      </c>
      <c r="W31" s="52">
        <v>0.38700000000000001</v>
      </c>
      <c r="X31" s="52">
        <v>0.02</v>
      </c>
      <c r="Y31" s="52">
        <v>5.59</v>
      </c>
      <c r="Z31" s="52">
        <v>98.81</v>
      </c>
      <c r="AA31" s="52">
        <v>8</v>
      </c>
      <c r="AB31" s="52">
        <v>1</v>
      </c>
      <c r="AC31" s="52">
        <v>52</v>
      </c>
      <c r="AD31" s="52">
        <v>0</v>
      </c>
      <c r="AE31" s="52">
        <v>6</v>
      </c>
      <c r="AF31" s="52">
        <v>0</v>
      </c>
      <c r="AG31" s="52">
        <v>40</v>
      </c>
      <c r="AH31" s="52">
        <v>40</v>
      </c>
      <c r="AI31" s="52">
        <v>23</v>
      </c>
      <c r="AJ31" s="52">
        <v>2</v>
      </c>
      <c r="AK31" s="52">
        <v>0</v>
      </c>
      <c r="AL31" s="52">
        <v>132</v>
      </c>
      <c r="AM31" s="52">
        <v>122</v>
      </c>
      <c r="AN31" s="52">
        <v>19</v>
      </c>
      <c r="AO31" s="52">
        <v>242</v>
      </c>
      <c r="AP31" s="52">
        <v>5</v>
      </c>
      <c r="AQ31" s="52" t="s">
        <v>72</v>
      </c>
      <c r="AR31" s="52" t="s">
        <v>74</v>
      </c>
      <c r="AS31" s="52" t="s">
        <v>73</v>
      </c>
      <c r="AT31" s="52">
        <v>3</v>
      </c>
      <c r="AU31" s="52" t="s">
        <v>74</v>
      </c>
      <c r="AV31" s="52">
        <v>1.8</v>
      </c>
      <c r="AW31" s="52">
        <v>535</v>
      </c>
      <c r="AX31" s="52" t="s">
        <v>75</v>
      </c>
      <c r="AY31" s="52">
        <v>155</v>
      </c>
      <c r="AZ31" s="52">
        <v>388</v>
      </c>
      <c r="BA31" s="52">
        <v>31.4</v>
      </c>
      <c r="BB31" s="52">
        <v>101</v>
      </c>
      <c r="BC31" s="52">
        <v>12.1</v>
      </c>
      <c r="BD31" s="52">
        <v>1.77</v>
      </c>
      <c r="BE31" s="52">
        <v>6</v>
      </c>
      <c r="BF31" s="52">
        <v>0.8</v>
      </c>
      <c r="BG31" s="52">
        <v>4</v>
      </c>
      <c r="BH31" s="52">
        <v>0.7</v>
      </c>
      <c r="BI31" s="52">
        <v>2.1</v>
      </c>
      <c r="BJ31" s="52">
        <v>0.3</v>
      </c>
      <c r="BK31" s="52">
        <v>2</v>
      </c>
      <c r="BL31" s="52">
        <v>0.33</v>
      </c>
      <c r="BM31" s="52">
        <v>6.6</v>
      </c>
      <c r="BN31" s="52">
        <v>0.5</v>
      </c>
      <c r="BO31" s="52">
        <v>0</v>
      </c>
      <c r="BP31" s="52">
        <v>0.6</v>
      </c>
      <c r="BQ31" s="52">
        <v>33</v>
      </c>
      <c r="BR31" s="52">
        <v>53.7</v>
      </c>
      <c r="BS31" s="52">
        <v>3.2</v>
      </c>
      <c r="BT31" s="53">
        <f t="shared" si="5"/>
        <v>0.71454880294659295</v>
      </c>
      <c r="BU31" s="280">
        <f t="shared" si="6"/>
        <v>705.5</v>
      </c>
      <c r="BV31" s="54">
        <f t="shared" si="7"/>
        <v>62.5</v>
      </c>
      <c r="BW31" s="71">
        <f t="shared" si="8"/>
        <v>75.697211155378483</v>
      </c>
      <c r="BX31" s="69">
        <f t="shared" si="13"/>
        <v>0.71454880294659295</v>
      </c>
      <c r="BY31" s="53">
        <v>9.6999999999999993</v>
      </c>
      <c r="BZ31" s="53">
        <v>1.75</v>
      </c>
      <c r="CA31" s="53">
        <v>33.92</v>
      </c>
      <c r="CB31" s="53">
        <v>24.996400000000001</v>
      </c>
      <c r="CC31" s="53">
        <v>2.1736</v>
      </c>
      <c r="CD31" s="53">
        <v>0</v>
      </c>
      <c r="CE31" s="53">
        <v>0</v>
      </c>
      <c r="CF31" s="53">
        <v>0</v>
      </c>
      <c r="CG31" s="53">
        <v>0</v>
      </c>
      <c r="CH31" s="53">
        <v>0.17</v>
      </c>
      <c r="CI31" s="53">
        <v>0.62</v>
      </c>
      <c r="CJ31" s="53">
        <v>0</v>
      </c>
      <c r="CK31" s="53">
        <v>23.3</v>
      </c>
      <c r="CL31" s="53">
        <v>0</v>
      </c>
      <c r="CM31" s="53">
        <v>0.06</v>
      </c>
      <c r="CN31" s="53">
        <v>0</v>
      </c>
      <c r="CO31" s="53">
        <v>1.28</v>
      </c>
      <c r="CP31" s="53">
        <v>2.0299999999999998</v>
      </c>
      <c r="CQ31" s="53">
        <v>0</v>
      </c>
      <c r="CR31" s="53">
        <v>0</v>
      </c>
      <c r="CS31" s="53">
        <v>0</v>
      </c>
      <c r="CT31" s="53">
        <v>0</v>
      </c>
      <c r="CU31" s="53">
        <v>0</v>
      </c>
      <c r="CV31" s="53">
        <v>0</v>
      </c>
      <c r="CW31" s="53">
        <v>0</v>
      </c>
      <c r="CX31" s="53">
        <v>0</v>
      </c>
      <c r="CY31" s="280">
        <v>100</v>
      </c>
      <c r="CZ31" s="284">
        <v>0.38306041784302652</v>
      </c>
      <c r="DA31" s="284">
        <v>0.28228571428571425</v>
      </c>
      <c r="DB31" s="284">
        <v>2.4546583850931673E-2</v>
      </c>
      <c r="DC31" s="284">
        <v>0</v>
      </c>
      <c r="DD31" s="284">
        <v>0</v>
      </c>
      <c r="DE31" s="284">
        <v>0</v>
      </c>
      <c r="DF31" s="284">
        <v>0</v>
      </c>
      <c r="DG31" s="284">
        <v>1.9198193111236589E-3</v>
      </c>
      <c r="DH31" s="284">
        <v>7.0016939582156967E-3</v>
      </c>
      <c r="DI31" s="284">
        <v>0</v>
      </c>
      <c r="DJ31" s="284">
        <v>0.2631281761716544</v>
      </c>
      <c r="DK31" s="284">
        <v>0</v>
      </c>
      <c r="DL31" s="284">
        <v>6.7758328627893832E-4</v>
      </c>
      <c r="DM31" s="284">
        <v>0</v>
      </c>
      <c r="DN31" s="284">
        <v>1.4455110107284019E-2</v>
      </c>
      <c r="DO31" s="284">
        <v>2.2924901185770747E-2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v>0</v>
      </c>
      <c r="DV31" s="284">
        <v>0</v>
      </c>
      <c r="DW31" s="284">
        <v>0</v>
      </c>
      <c r="DX31" s="53">
        <v>1</v>
      </c>
      <c r="DY31" s="71">
        <v>72.259652942307468</v>
      </c>
      <c r="DZ31" s="71">
        <v>17.171848233074012</v>
      </c>
      <c r="EA31" s="71">
        <v>0.56792548390810216</v>
      </c>
      <c r="EB31" s="71">
        <v>0.3278143306543353</v>
      </c>
      <c r="EC31" s="71">
        <v>0</v>
      </c>
      <c r="ED31" s="71">
        <v>0.13821684343858484</v>
      </c>
      <c r="EE31" s="71">
        <v>2.6119726789774304E-3</v>
      </c>
      <c r="EF31" s="71">
        <v>0.29019899803165317</v>
      </c>
      <c r="EG31" s="71">
        <v>5.1251209814828496</v>
      </c>
      <c r="EH31" s="71">
        <v>3.1212480321243324E-2</v>
      </c>
      <c r="EI31" s="71">
        <v>0</v>
      </c>
      <c r="EJ31" s="71">
        <v>4.0853977341027656</v>
      </c>
      <c r="EK31" s="71">
        <v>0</v>
      </c>
      <c r="EL31" s="71">
        <v>99.999999999999986</v>
      </c>
      <c r="EM31" s="53">
        <v>76.016004105578133</v>
      </c>
      <c r="EN31" s="53" t="s">
        <v>89</v>
      </c>
      <c r="EO31" s="288">
        <v>9.2524310432132769E-3</v>
      </c>
      <c r="EP31" s="257">
        <f t="shared" si="14"/>
        <v>0.92524310432132773</v>
      </c>
      <c r="EQ31" s="257">
        <f t="shared" si="15"/>
        <v>44.145134689389778</v>
      </c>
      <c r="ER31" s="324">
        <f t="shared" si="16"/>
        <v>1.7222924978106451E-2</v>
      </c>
      <c r="ES31" s="257">
        <f t="shared" si="9"/>
        <v>0.71454880294659295</v>
      </c>
      <c r="ET31">
        <f t="shared" si="10"/>
        <v>62.5</v>
      </c>
      <c r="EU31" s="324">
        <f t="shared" si="17"/>
        <v>2.4103217172968566E-2</v>
      </c>
      <c r="EV31" s="39">
        <f t="shared" si="18"/>
        <v>148.47499999999999</v>
      </c>
      <c r="EW31"/>
      <c r="EX31">
        <f t="shared" si="19"/>
        <v>27.142857142857146</v>
      </c>
      <c r="EY31"/>
      <c r="EZ31"/>
      <c r="FA31"/>
      <c r="FB31"/>
      <c r="FC31"/>
      <c r="FD31"/>
    </row>
    <row r="32" spans="1:160" s="54" customFormat="1" ht="13" customHeight="1" x14ac:dyDescent="0.2">
      <c r="A32" s="49" t="s">
        <v>90</v>
      </c>
      <c r="B32" s="50" t="s">
        <v>461</v>
      </c>
      <c r="C32" s="275">
        <f t="shared" si="22"/>
        <v>148.04999999999998</v>
      </c>
      <c r="D32" s="51">
        <v>85</v>
      </c>
      <c r="E32" s="51">
        <v>125</v>
      </c>
      <c r="F32" s="51">
        <f t="shared" si="4"/>
        <v>105</v>
      </c>
      <c r="G32" s="83" t="s">
        <v>522</v>
      </c>
      <c r="H32" s="84">
        <v>2.5</v>
      </c>
      <c r="I32" s="85">
        <v>5</v>
      </c>
      <c r="J32" s="85">
        <v>8</v>
      </c>
      <c r="K32" s="89">
        <f t="shared" si="21"/>
        <v>1.5625</v>
      </c>
      <c r="L32" s="51">
        <v>179</v>
      </c>
      <c r="M32" s="51">
        <v>101</v>
      </c>
      <c r="N32" s="51">
        <v>61</v>
      </c>
      <c r="O32" s="52">
        <v>68.989999999999995</v>
      </c>
      <c r="P32" s="52">
        <v>16.510000000000002</v>
      </c>
      <c r="Q32" s="52">
        <v>3.35</v>
      </c>
      <c r="R32" s="52">
        <v>2.5000000000000001E-2</v>
      </c>
      <c r="S32" s="52">
        <v>0.26</v>
      </c>
      <c r="T32" s="52">
        <v>7.0000000000000007E-2</v>
      </c>
      <c r="U32" s="52">
        <v>0.32</v>
      </c>
      <c r="V32" s="52">
        <v>6.03</v>
      </c>
      <c r="W32" s="52">
        <v>0.36299999999999999</v>
      </c>
      <c r="X32" s="52">
        <v>0.05</v>
      </c>
      <c r="Y32" s="52">
        <v>4.51</v>
      </c>
      <c r="Z32" s="52">
        <v>100.5</v>
      </c>
      <c r="AA32" s="52">
        <v>6</v>
      </c>
      <c r="AB32" s="52">
        <v>1</v>
      </c>
      <c r="AC32" s="52">
        <v>38</v>
      </c>
      <c r="AD32" s="52">
        <v>0</v>
      </c>
      <c r="AE32" s="52">
        <v>5</v>
      </c>
      <c r="AF32" s="52">
        <v>0</v>
      </c>
      <c r="AG32" s="52">
        <v>30</v>
      </c>
      <c r="AH32" s="52">
        <v>0</v>
      </c>
      <c r="AI32" s="52">
        <v>20</v>
      </c>
      <c r="AJ32" s="52">
        <v>1</v>
      </c>
      <c r="AK32" s="52">
        <v>0</v>
      </c>
      <c r="AL32" s="52">
        <v>136</v>
      </c>
      <c r="AM32" s="52">
        <v>138</v>
      </c>
      <c r="AN32" s="52">
        <v>15</v>
      </c>
      <c r="AO32" s="52">
        <v>242</v>
      </c>
      <c r="AP32" s="52">
        <v>5</v>
      </c>
      <c r="AQ32" s="52" t="s">
        <v>72</v>
      </c>
      <c r="AR32" s="52">
        <v>0.6</v>
      </c>
      <c r="AS32" s="52" t="s">
        <v>73</v>
      </c>
      <c r="AT32" s="52">
        <v>2</v>
      </c>
      <c r="AU32" s="52" t="s">
        <v>74</v>
      </c>
      <c r="AV32" s="52">
        <v>1.3</v>
      </c>
      <c r="AW32" s="52">
        <v>605</v>
      </c>
      <c r="AX32" s="52" t="s">
        <v>75</v>
      </c>
      <c r="AY32" s="52">
        <v>220</v>
      </c>
      <c r="AZ32" s="52">
        <v>381</v>
      </c>
      <c r="BA32" s="52">
        <v>43.3</v>
      </c>
      <c r="BB32" s="52">
        <v>133</v>
      </c>
      <c r="BC32" s="52">
        <v>15.1</v>
      </c>
      <c r="BD32" s="52">
        <v>2.0699999999999998</v>
      </c>
      <c r="BE32" s="52">
        <v>6.6</v>
      </c>
      <c r="BF32" s="52">
        <v>0.7</v>
      </c>
      <c r="BG32" s="52">
        <v>3.5</v>
      </c>
      <c r="BH32" s="52">
        <v>0.6</v>
      </c>
      <c r="BI32" s="52">
        <v>1.9</v>
      </c>
      <c r="BJ32" s="52">
        <v>0.25</v>
      </c>
      <c r="BK32" s="52">
        <v>1.8</v>
      </c>
      <c r="BL32" s="52">
        <v>0.28000000000000003</v>
      </c>
      <c r="BM32" s="52">
        <v>6.4</v>
      </c>
      <c r="BN32" s="52">
        <v>0.5</v>
      </c>
      <c r="BO32" s="52">
        <v>0</v>
      </c>
      <c r="BP32" s="52">
        <v>0.6</v>
      </c>
      <c r="BQ32" s="52">
        <v>31</v>
      </c>
      <c r="BR32" s="52">
        <v>53.8</v>
      </c>
      <c r="BS32" s="52">
        <v>2.9</v>
      </c>
      <c r="BT32" s="53">
        <f t="shared" si="5"/>
        <v>0.63394342762063227</v>
      </c>
      <c r="BU32" s="280">
        <f t="shared" si="6"/>
        <v>810.1</v>
      </c>
      <c r="BV32" s="54">
        <f t="shared" si="7"/>
        <v>105</v>
      </c>
      <c r="BW32" s="71">
        <f t="shared" si="8"/>
        <v>72.001744439598781</v>
      </c>
      <c r="BX32" s="69">
        <f t="shared" si="13"/>
        <v>0.63394342762063227</v>
      </c>
      <c r="BY32" s="53">
        <v>9.76</v>
      </c>
      <c r="BZ32" s="53">
        <v>0.68</v>
      </c>
      <c r="CA32" s="53">
        <v>37.08</v>
      </c>
      <c r="CB32" s="53">
        <v>29.854000000000003</v>
      </c>
      <c r="CC32" s="53">
        <v>2.5960000000000001</v>
      </c>
      <c r="CD32" s="53">
        <v>0</v>
      </c>
      <c r="CE32" s="53">
        <v>0</v>
      </c>
      <c r="CF32" s="53">
        <v>0</v>
      </c>
      <c r="CG32" s="53">
        <v>0</v>
      </c>
      <c r="CH32" s="53">
        <v>0.23</v>
      </c>
      <c r="CI32" s="53">
        <v>0.38</v>
      </c>
      <c r="CJ32" s="53">
        <v>0</v>
      </c>
      <c r="CK32" s="53">
        <v>16.38</v>
      </c>
      <c r="CL32" s="53">
        <v>0</v>
      </c>
      <c r="CM32" s="53">
        <v>0.03</v>
      </c>
      <c r="CN32" s="53">
        <v>0</v>
      </c>
      <c r="CO32" s="53">
        <v>1.57</v>
      </c>
      <c r="CP32" s="53">
        <v>1.45</v>
      </c>
      <c r="CQ32" s="53">
        <v>0</v>
      </c>
      <c r="CR32" s="53">
        <v>0</v>
      </c>
      <c r="CS32" s="53">
        <v>0</v>
      </c>
      <c r="CT32" s="53">
        <v>0</v>
      </c>
      <c r="CU32" s="53">
        <v>0</v>
      </c>
      <c r="CV32" s="53">
        <v>0</v>
      </c>
      <c r="CW32" s="53">
        <v>0</v>
      </c>
      <c r="CX32" s="53">
        <v>0</v>
      </c>
      <c r="CY32" s="280">
        <v>100.00999999999999</v>
      </c>
      <c r="CZ32" s="284">
        <v>0.41397789438428045</v>
      </c>
      <c r="DA32" s="284">
        <v>0.33330356146031043</v>
      </c>
      <c r="DB32" s="284">
        <v>2.8982918387853079E-2</v>
      </c>
      <c r="DC32" s="284">
        <v>0</v>
      </c>
      <c r="DD32" s="284">
        <v>0</v>
      </c>
      <c r="DE32" s="284">
        <v>0</v>
      </c>
      <c r="DF32" s="284">
        <v>0</v>
      </c>
      <c r="DG32" s="284">
        <v>2.5678240482304346E-3</v>
      </c>
      <c r="DH32" s="284">
        <v>4.2424919057720226E-3</v>
      </c>
      <c r="DI32" s="284">
        <v>0</v>
      </c>
      <c r="DJ32" s="284">
        <v>0.18287373004354138</v>
      </c>
      <c r="DK32" s="284">
        <v>0</v>
      </c>
      <c r="DL32" s="284">
        <v>3.3493357150831754E-4</v>
      </c>
      <c r="DM32" s="284">
        <v>0</v>
      </c>
      <c r="DN32" s="284">
        <v>1.7528190242268617E-2</v>
      </c>
      <c r="DO32" s="284">
        <v>1.6188455956235349E-2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v>0</v>
      </c>
      <c r="DV32" s="284">
        <v>0</v>
      </c>
      <c r="DW32" s="284">
        <v>0</v>
      </c>
      <c r="DX32" s="53">
        <v>0.99999999999999978</v>
      </c>
      <c r="DY32" s="71">
        <v>75.009865843032017</v>
      </c>
      <c r="DZ32" s="71">
        <v>14.837095960398575</v>
      </c>
      <c r="EA32" s="71">
        <v>0.49729857208375089</v>
      </c>
      <c r="EB32" s="71">
        <v>0.34539878609413649</v>
      </c>
      <c r="EC32" s="71">
        <v>0</v>
      </c>
      <c r="ED32" s="71">
        <v>0.13795528831657342</v>
      </c>
      <c r="EE32" s="71">
        <v>2.7215892082188432E-3</v>
      </c>
      <c r="EF32" s="71">
        <v>0.34264702279005338</v>
      </c>
      <c r="EG32" s="71">
        <v>5.925724261291224</v>
      </c>
      <c r="EH32" s="71">
        <v>3.7848088941787601E-2</v>
      </c>
      <c r="EI32" s="71">
        <v>0</v>
      </c>
      <c r="EJ32" s="71">
        <v>2.8634445878436847</v>
      </c>
      <c r="EK32" s="71">
        <v>0</v>
      </c>
      <c r="EL32" s="71">
        <v>100</v>
      </c>
      <c r="EM32" s="53">
        <v>70.290710763014346</v>
      </c>
      <c r="EN32" s="53" t="s">
        <v>90</v>
      </c>
      <c r="EO32" s="288">
        <v>8.7378324892635958E-3</v>
      </c>
      <c r="EP32" s="257">
        <f t="shared" si="14"/>
        <v>0.87378324892635961</v>
      </c>
      <c r="EQ32" s="257">
        <f t="shared" si="15"/>
        <v>32.386580251620281</v>
      </c>
      <c r="ER32" s="324">
        <f t="shared" si="16"/>
        <v>1.5325386836455171E-2</v>
      </c>
      <c r="ES32" s="257">
        <f t="shared" si="9"/>
        <v>0.63394342762063227</v>
      </c>
      <c r="ET32">
        <f t="shared" si="10"/>
        <v>105</v>
      </c>
      <c r="EU32" s="324">
        <f t="shared" si="17"/>
        <v>2.4174691571416163E-2</v>
      </c>
      <c r="EV32" s="39">
        <f t="shared" si="18"/>
        <v>148.04999999999998</v>
      </c>
      <c r="EW32"/>
      <c r="EX32">
        <f t="shared" si="19"/>
        <v>25</v>
      </c>
      <c r="EY32"/>
      <c r="EZ32"/>
      <c r="FA32"/>
      <c r="FB32"/>
      <c r="FC32"/>
      <c r="FD32"/>
    </row>
    <row r="33" spans="1:160" s="54" customFormat="1" ht="13" customHeight="1" x14ac:dyDescent="0.2">
      <c r="A33" s="49" t="s">
        <v>91</v>
      </c>
      <c r="B33" s="50" t="s">
        <v>461</v>
      </c>
      <c r="C33" s="275">
        <f t="shared" si="22"/>
        <v>147.69999999999999</v>
      </c>
      <c r="D33" s="51">
        <v>125</v>
      </c>
      <c r="E33" s="51">
        <v>155</v>
      </c>
      <c r="F33" s="51">
        <f t="shared" si="4"/>
        <v>140</v>
      </c>
      <c r="G33" s="83" t="s">
        <v>519</v>
      </c>
      <c r="H33" s="84">
        <v>5</v>
      </c>
      <c r="I33" s="85">
        <v>5</v>
      </c>
      <c r="J33" s="85">
        <v>8</v>
      </c>
      <c r="K33" s="89">
        <f t="shared" si="21"/>
        <v>3.125</v>
      </c>
      <c r="L33" s="51">
        <v>174</v>
      </c>
      <c r="M33" s="51">
        <v>105</v>
      </c>
      <c r="N33" s="51">
        <v>49</v>
      </c>
      <c r="O33" s="52">
        <v>71.56</v>
      </c>
      <c r="P33" s="52">
        <v>14.25</v>
      </c>
      <c r="Q33" s="52">
        <v>2.86</v>
      </c>
      <c r="R33" s="52">
        <v>3.2000000000000001E-2</v>
      </c>
      <c r="S33" s="52">
        <v>0.24</v>
      </c>
      <c r="T33" s="52">
        <v>0.05</v>
      </c>
      <c r="U33" s="52">
        <v>0.31</v>
      </c>
      <c r="V33" s="52">
        <v>6.46</v>
      </c>
      <c r="W33" s="52">
        <v>0.33100000000000002</v>
      </c>
      <c r="X33" s="52">
        <v>0.03</v>
      </c>
      <c r="Y33" s="52">
        <v>3.35</v>
      </c>
      <c r="Z33" s="52">
        <v>99.47</v>
      </c>
      <c r="AA33" s="52">
        <v>4</v>
      </c>
      <c r="AB33" s="52">
        <v>0</v>
      </c>
      <c r="AC33" s="52">
        <v>28</v>
      </c>
      <c r="AD33" s="52">
        <v>0</v>
      </c>
      <c r="AE33" s="52">
        <v>4</v>
      </c>
      <c r="AF33" s="52">
        <v>0</v>
      </c>
      <c r="AG33" s="52">
        <v>40</v>
      </c>
      <c r="AH33" s="52">
        <v>40</v>
      </c>
      <c r="AI33" s="52">
        <v>19</v>
      </c>
      <c r="AJ33" s="52">
        <v>1</v>
      </c>
      <c r="AK33" s="52">
        <v>0</v>
      </c>
      <c r="AL33" s="52">
        <v>141</v>
      </c>
      <c r="AM33" s="52">
        <v>130</v>
      </c>
      <c r="AN33" s="52">
        <v>16</v>
      </c>
      <c r="AO33" s="52">
        <v>294</v>
      </c>
      <c r="AP33" s="52">
        <v>3</v>
      </c>
      <c r="AQ33" s="52" t="s">
        <v>72</v>
      </c>
      <c r="AR33" s="52" t="s">
        <v>74</v>
      </c>
      <c r="AS33" s="52" t="s">
        <v>73</v>
      </c>
      <c r="AT33" s="52">
        <v>4</v>
      </c>
      <c r="AU33" s="52" t="s">
        <v>74</v>
      </c>
      <c r="AV33" s="52">
        <v>1.1000000000000001</v>
      </c>
      <c r="AW33" s="52">
        <v>569</v>
      </c>
      <c r="AX33" s="52" t="s">
        <v>75</v>
      </c>
      <c r="AY33" s="52">
        <v>227</v>
      </c>
      <c r="AZ33" s="52">
        <v>384</v>
      </c>
      <c r="BA33" s="52">
        <v>46.5</v>
      </c>
      <c r="BB33" s="52">
        <v>143</v>
      </c>
      <c r="BC33" s="52">
        <v>16.3</v>
      </c>
      <c r="BD33" s="52">
        <v>2.21</v>
      </c>
      <c r="BE33" s="52">
        <v>6.9</v>
      </c>
      <c r="BF33" s="52">
        <v>0.7</v>
      </c>
      <c r="BG33" s="52">
        <v>3.5</v>
      </c>
      <c r="BH33" s="52">
        <v>0.6</v>
      </c>
      <c r="BI33" s="52">
        <v>1.8</v>
      </c>
      <c r="BJ33" s="52">
        <v>0.26</v>
      </c>
      <c r="BK33" s="52">
        <v>1.6</v>
      </c>
      <c r="BL33" s="52">
        <v>0.28000000000000003</v>
      </c>
      <c r="BM33" s="52">
        <v>6.6</v>
      </c>
      <c r="BN33" s="52">
        <v>0.1</v>
      </c>
      <c r="BO33" s="52">
        <v>0</v>
      </c>
      <c r="BP33" s="52">
        <v>0.6</v>
      </c>
      <c r="BQ33" s="52">
        <v>32</v>
      </c>
      <c r="BR33" s="52">
        <v>47</v>
      </c>
      <c r="BS33" s="52">
        <v>2.1</v>
      </c>
      <c r="BT33" s="53">
        <f t="shared" si="5"/>
        <v>0.62847790507364976</v>
      </c>
      <c r="BU33" s="280">
        <f t="shared" si="6"/>
        <v>834.65</v>
      </c>
      <c r="BV33" s="54">
        <f t="shared" si="7"/>
        <v>140</v>
      </c>
      <c r="BW33" s="71">
        <f t="shared" si="8"/>
        <v>67.631703844328428</v>
      </c>
      <c r="BX33" s="69">
        <f t="shared" si="13"/>
        <v>0.62847790507364976</v>
      </c>
      <c r="BY33" s="53">
        <v>8.77</v>
      </c>
      <c r="BZ33" s="53">
        <v>0.28999999999999998</v>
      </c>
      <c r="CA33" s="53">
        <v>44.15</v>
      </c>
      <c r="CB33" s="53">
        <v>28.4556</v>
      </c>
      <c r="CC33" s="53">
        <v>2.4744000000000002</v>
      </c>
      <c r="CD33" s="53">
        <v>0</v>
      </c>
      <c r="CE33" s="53">
        <v>0</v>
      </c>
      <c r="CF33" s="53">
        <v>0</v>
      </c>
      <c r="CG33" s="53">
        <v>0</v>
      </c>
      <c r="CH33" s="53">
        <v>0.16</v>
      </c>
      <c r="CI33" s="53">
        <v>0.23</v>
      </c>
      <c r="CJ33" s="53">
        <v>0</v>
      </c>
      <c r="CK33" s="53">
        <v>10.95</v>
      </c>
      <c r="CL33" s="53">
        <v>0</v>
      </c>
      <c r="CM33" s="53">
        <v>0.03</v>
      </c>
      <c r="CN33" s="53">
        <v>0</v>
      </c>
      <c r="CO33" s="53">
        <v>2.72</v>
      </c>
      <c r="CP33" s="53">
        <v>1.87</v>
      </c>
      <c r="CQ33" s="53">
        <v>0</v>
      </c>
      <c r="CR33" s="53">
        <v>0</v>
      </c>
      <c r="CS33" s="53">
        <v>0</v>
      </c>
      <c r="CT33" s="53">
        <v>0</v>
      </c>
      <c r="CU33" s="53">
        <v>0</v>
      </c>
      <c r="CV33" s="53">
        <v>0</v>
      </c>
      <c r="CW33" s="53">
        <v>0</v>
      </c>
      <c r="CX33" s="53">
        <v>0</v>
      </c>
      <c r="CY33" s="280">
        <v>100.10000000000001</v>
      </c>
      <c r="CZ33" s="284">
        <v>0.48495166959578201</v>
      </c>
      <c r="DA33" s="284">
        <v>0.3125615114235501</v>
      </c>
      <c r="DB33" s="284">
        <v>2.71792618629174E-2</v>
      </c>
      <c r="DC33" s="284">
        <v>0</v>
      </c>
      <c r="DD33" s="284">
        <v>0</v>
      </c>
      <c r="DE33" s="284">
        <v>0</v>
      </c>
      <c r="DF33" s="284">
        <v>0</v>
      </c>
      <c r="DG33" s="284">
        <v>1.7574692442882249E-3</v>
      </c>
      <c r="DH33" s="284">
        <v>2.5263620386643234E-3</v>
      </c>
      <c r="DI33" s="284">
        <v>0</v>
      </c>
      <c r="DJ33" s="284">
        <v>0.12027680140597538</v>
      </c>
      <c r="DK33" s="284">
        <v>0</v>
      </c>
      <c r="DL33" s="284">
        <v>3.2952548330404213E-4</v>
      </c>
      <c r="DM33" s="284">
        <v>0</v>
      </c>
      <c r="DN33" s="284">
        <v>2.9876977152899824E-2</v>
      </c>
      <c r="DO33" s="284">
        <v>2.054042179261863E-2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v>0</v>
      </c>
      <c r="DV33" s="284">
        <v>0</v>
      </c>
      <c r="DW33" s="284">
        <v>0</v>
      </c>
      <c r="DX33" s="53">
        <v>0.99999999999999989</v>
      </c>
      <c r="DY33" s="71">
        <v>78.478904885005988</v>
      </c>
      <c r="DZ33" s="71">
        <v>12.329870413439258</v>
      </c>
      <c r="EA33" s="71">
        <v>0.33323751784104344</v>
      </c>
      <c r="EB33" s="71">
        <v>0.55708155430005601</v>
      </c>
      <c r="EC33" s="71">
        <v>0</v>
      </c>
      <c r="ED33" s="71">
        <v>0.21722624449309158</v>
      </c>
      <c r="EE33" s="71">
        <v>4.4179500027726418E-3</v>
      </c>
      <c r="EF33" s="71">
        <v>0.3213235131926182</v>
      </c>
      <c r="EG33" s="71">
        <v>5.6923287665455291</v>
      </c>
      <c r="EH33" s="71">
        <v>6.4512449543584732E-2</v>
      </c>
      <c r="EI33" s="71">
        <v>0</v>
      </c>
      <c r="EJ33" s="71">
        <v>2.0010967056360482</v>
      </c>
      <c r="EK33" s="71">
        <v>0</v>
      </c>
      <c r="EL33" s="71">
        <v>100</v>
      </c>
      <c r="EM33" s="53">
        <v>67.200295952680662</v>
      </c>
      <c r="EN33" s="53" t="s">
        <v>91</v>
      </c>
      <c r="EO33" s="288">
        <v>9.4045641202810462E-3</v>
      </c>
      <c r="EP33" s="257">
        <f t="shared" si="14"/>
        <v>0.94045641202810459</v>
      </c>
      <c r="EQ33" s="257">
        <f t="shared" si="15"/>
        <v>24.199743918053773</v>
      </c>
      <c r="ER33" s="324">
        <f t="shared" si="16"/>
        <v>1.5219337511190688E-2</v>
      </c>
      <c r="ES33" s="257">
        <f t="shared" si="9"/>
        <v>0.62847790507364976</v>
      </c>
      <c r="ET33">
        <f t="shared" si="10"/>
        <v>140</v>
      </c>
      <c r="EU33" s="324">
        <f t="shared" si="17"/>
        <v>2.4216185467024767E-2</v>
      </c>
      <c r="EV33" s="39">
        <f t="shared" si="18"/>
        <v>147.69999999999999</v>
      </c>
      <c r="EW33"/>
      <c r="EX33">
        <f t="shared" si="19"/>
        <v>26.666666666666668</v>
      </c>
      <c r="EY33"/>
      <c r="EZ33"/>
      <c r="FA33"/>
      <c r="FB33"/>
      <c r="FC33"/>
      <c r="FD33"/>
    </row>
    <row r="34" spans="1:160" s="54" customFormat="1" ht="13" customHeight="1" x14ac:dyDescent="0.2">
      <c r="A34" s="49" t="s">
        <v>92</v>
      </c>
      <c r="B34" s="50" t="s">
        <v>461</v>
      </c>
      <c r="C34" s="275">
        <f t="shared" si="22"/>
        <v>147.22499999999999</v>
      </c>
      <c r="D34" s="51">
        <v>155</v>
      </c>
      <c r="E34" s="51">
        <v>220</v>
      </c>
      <c r="F34" s="51">
        <f t="shared" si="4"/>
        <v>187.5</v>
      </c>
      <c r="G34" s="83" t="s">
        <v>517</v>
      </c>
      <c r="H34" s="84">
        <v>5</v>
      </c>
      <c r="I34" s="85">
        <v>5</v>
      </c>
      <c r="J34" s="85">
        <v>6</v>
      </c>
      <c r="K34" s="89">
        <f t="shared" si="21"/>
        <v>4.166666666666667</v>
      </c>
      <c r="L34" s="51">
        <v>164</v>
      </c>
      <c r="M34" s="51">
        <v>109</v>
      </c>
      <c r="N34" s="51">
        <v>70</v>
      </c>
      <c r="O34" s="52">
        <v>71.709999999999994</v>
      </c>
      <c r="P34" s="52">
        <v>14.71</v>
      </c>
      <c r="Q34" s="52">
        <v>2.5499999999999998</v>
      </c>
      <c r="R34" s="52">
        <v>2.8000000000000001E-2</v>
      </c>
      <c r="S34" s="52">
        <v>0.23</v>
      </c>
      <c r="T34" s="52">
        <v>0.06</v>
      </c>
      <c r="U34" s="52">
        <v>0.36</v>
      </c>
      <c r="V34" s="52">
        <v>6.37</v>
      </c>
      <c r="W34" s="52">
        <v>0.26300000000000001</v>
      </c>
      <c r="X34" s="52">
        <v>0.02</v>
      </c>
      <c r="Y34" s="52">
        <v>3.16</v>
      </c>
      <c r="Z34" s="52">
        <v>99.45</v>
      </c>
      <c r="AA34" s="52">
        <v>3</v>
      </c>
      <c r="AB34" s="52">
        <v>0</v>
      </c>
      <c r="AC34" s="52">
        <v>28</v>
      </c>
      <c r="AD34" s="52">
        <v>0</v>
      </c>
      <c r="AE34" s="52">
        <v>3</v>
      </c>
      <c r="AF34" s="52">
        <v>0</v>
      </c>
      <c r="AG34" s="52">
        <v>20</v>
      </c>
      <c r="AH34" s="52">
        <v>30</v>
      </c>
      <c r="AI34" s="52">
        <v>19</v>
      </c>
      <c r="AJ34" s="52">
        <v>1</v>
      </c>
      <c r="AK34" s="52">
        <v>0</v>
      </c>
      <c r="AL34" s="52">
        <v>140</v>
      </c>
      <c r="AM34" s="52">
        <v>141</v>
      </c>
      <c r="AN34" s="52">
        <v>13</v>
      </c>
      <c r="AO34" s="52">
        <v>262</v>
      </c>
      <c r="AP34" s="52">
        <v>2</v>
      </c>
      <c r="AQ34" s="52" t="s">
        <v>72</v>
      </c>
      <c r="AR34" s="52" t="s">
        <v>74</v>
      </c>
      <c r="AS34" s="52" t="s">
        <v>73</v>
      </c>
      <c r="AT34" s="52">
        <v>3</v>
      </c>
      <c r="AU34" s="52" t="s">
        <v>74</v>
      </c>
      <c r="AV34" s="52">
        <v>1</v>
      </c>
      <c r="AW34" s="52">
        <v>602</v>
      </c>
      <c r="AX34" s="52" t="s">
        <v>75</v>
      </c>
      <c r="AY34" s="52">
        <v>178</v>
      </c>
      <c r="AZ34" s="52">
        <v>366</v>
      </c>
      <c r="BA34" s="52">
        <v>37.1</v>
      </c>
      <c r="BB34" s="52">
        <v>115</v>
      </c>
      <c r="BC34" s="52">
        <v>13.3</v>
      </c>
      <c r="BD34" s="52">
        <v>1.83</v>
      </c>
      <c r="BE34" s="52">
        <v>5.6</v>
      </c>
      <c r="BF34" s="52">
        <v>0.6</v>
      </c>
      <c r="BG34" s="52">
        <v>2.8</v>
      </c>
      <c r="BH34" s="52">
        <v>0.5</v>
      </c>
      <c r="BI34" s="52">
        <v>1.4</v>
      </c>
      <c r="BJ34" s="52">
        <v>0.21</v>
      </c>
      <c r="BK34" s="52">
        <v>1.3</v>
      </c>
      <c r="BL34" s="52">
        <v>0.22</v>
      </c>
      <c r="BM34" s="52">
        <v>5.8</v>
      </c>
      <c r="BN34" s="52">
        <v>0.2</v>
      </c>
      <c r="BO34" s="52">
        <v>0</v>
      </c>
      <c r="BP34" s="52">
        <v>0.6</v>
      </c>
      <c r="BQ34" s="52">
        <v>30</v>
      </c>
      <c r="BR34" s="52">
        <v>47</v>
      </c>
      <c r="BS34" s="52">
        <v>2.2999999999999998</v>
      </c>
      <c r="BT34" s="53">
        <f t="shared" si="5"/>
        <v>0.67279411764705888</v>
      </c>
      <c r="BU34" s="280">
        <f t="shared" si="6"/>
        <v>723.86</v>
      </c>
      <c r="BV34" s="54">
        <f t="shared" si="7"/>
        <v>187.5</v>
      </c>
      <c r="BW34" s="71">
        <f t="shared" si="8"/>
        <v>68.418604651162795</v>
      </c>
      <c r="BX34" s="69">
        <f t="shared" si="13"/>
        <v>0.67279411764705888</v>
      </c>
      <c r="BY34" s="53">
        <v>9.48</v>
      </c>
      <c r="BZ34" s="53">
        <v>0.37</v>
      </c>
      <c r="CA34" s="53">
        <v>39.479999999999997</v>
      </c>
      <c r="CB34" s="53">
        <v>31.298400000000004</v>
      </c>
      <c r="CC34" s="53">
        <v>2.7216000000000005</v>
      </c>
      <c r="CD34" s="53">
        <v>0</v>
      </c>
      <c r="CE34" s="53">
        <v>0</v>
      </c>
      <c r="CF34" s="53">
        <v>0</v>
      </c>
      <c r="CG34" s="53">
        <v>0</v>
      </c>
      <c r="CH34" s="53">
        <v>0.17</v>
      </c>
      <c r="CI34" s="53">
        <v>0.27</v>
      </c>
      <c r="CJ34" s="53">
        <v>0</v>
      </c>
      <c r="CK34" s="53">
        <v>11.52</v>
      </c>
      <c r="CL34" s="53">
        <v>0</v>
      </c>
      <c r="CM34" s="53">
        <v>0.04</v>
      </c>
      <c r="CN34" s="53">
        <v>0</v>
      </c>
      <c r="CO34" s="53">
        <v>1.95</v>
      </c>
      <c r="CP34" s="53">
        <v>2.7</v>
      </c>
      <c r="CQ34" s="53">
        <v>0</v>
      </c>
      <c r="CR34" s="53">
        <v>0</v>
      </c>
      <c r="CS34" s="53">
        <v>0</v>
      </c>
      <c r="CT34" s="53">
        <v>0</v>
      </c>
      <c r="CU34" s="53">
        <v>0</v>
      </c>
      <c r="CV34" s="53">
        <v>0</v>
      </c>
      <c r="CW34" s="53">
        <v>0</v>
      </c>
      <c r="CX34" s="53">
        <v>0</v>
      </c>
      <c r="CY34" s="280">
        <v>100</v>
      </c>
      <c r="CZ34" s="284">
        <v>0.43793677204658893</v>
      </c>
      <c r="DA34" s="284">
        <v>0.34718136439267888</v>
      </c>
      <c r="DB34" s="284">
        <v>3.0189683860232949E-2</v>
      </c>
      <c r="DC34" s="284">
        <v>0</v>
      </c>
      <c r="DD34" s="284">
        <v>0</v>
      </c>
      <c r="DE34" s="284">
        <v>0</v>
      </c>
      <c r="DF34" s="284">
        <v>0</v>
      </c>
      <c r="DG34" s="284">
        <v>1.8857459789240155E-3</v>
      </c>
      <c r="DH34" s="284">
        <v>2.9950083194675539E-3</v>
      </c>
      <c r="DI34" s="284">
        <v>0</v>
      </c>
      <c r="DJ34" s="284">
        <v>0.12778702163061562</v>
      </c>
      <c r="DK34" s="284">
        <v>0</v>
      </c>
      <c r="DL34" s="284">
        <v>4.4370493621741539E-4</v>
      </c>
      <c r="DM34" s="284">
        <v>0</v>
      </c>
      <c r="DN34" s="284">
        <v>2.1630615640599E-2</v>
      </c>
      <c r="DO34" s="284">
        <v>2.9950083194675542E-2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v>0</v>
      </c>
      <c r="DV34" s="284">
        <v>0</v>
      </c>
      <c r="DW34" s="284">
        <v>0</v>
      </c>
      <c r="DX34" s="53">
        <v>0.99999999999999978</v>
      </c>
      <c r="DY34" s="71">
        <v>76.725025711355158</v>
      </c>
      <c r="DZ34" s="71">
        <v>13.373439270883807</v>
      </c>
      <c r="EA34" s="71">
        <v>0.35596115562358838</v>
      </c>
      <c r="EB34" s="71">
        <v>0.47099684115555424</v>
      </c>
      <c r="EC34" s="71">
        <v>0</v>
      </c>
      <c r="ED34" s="71">
        <v>0.19507030592725191</v>
      </c>
      <c r="EE34" s="71">
        <v>3.3863899520563067E-3</v>
      </c>
      <c r="EF34" s="71">
        <v>0.35691386061443525</v>
      </c>
      <c r="EG34" s="71">
        <v>6.34314272633776</v>
      </c>
      <c r="EH34" s="71">
        <v>4.6706331533120912E-2</v>
      </c>
      <c r="EI34" s="71">
        <v>0</v>
      </c>
      <c r="EJ34" s="71">
        <v>2.1293574066172738</v>
      </c>
      <c r="EK34" s="71">
        <v>0</v>
      </c>
      <c r="EL34" s="71">
        <v>100</v>
      </c>
      <c r="EM34" s="53">
        <v>66.611135662546445</v>
      </c>
      <c r="EN34" s="53" t="s">
        <v>92</v>
      </c>
      <c r="EO34" s="288">
        <v>8.6934771248314245E-3</v>
      </c>
      <c r="EP34" s="257">
        <f t="shared" si="14"/>
        <v>0.86934771248314247</v>
      </c>
      <c r="EQ34" s="257">
        <f t="shared" si="15"/>
        <v>23.622358285601418</v>
      </c>
      <c r="ER34" s="324">
        <f t="shared" si="16"/>
        <v>1.5663784986732862E-2</v>
      </c>
      <c r="ES34" s="257">
        <f t="shared" si="9"/>
        <v>0.67279411764705888</v>
      </c>
      <c r="ET34">
        <f t="shared" si="10"/>
        <v>187.5</v>
      </c>
      <c r="EU34" s="324">
        <f t="shared" si="17"/>
        <v>2.3281691346400755E-2</v>
      </c>
      <c r="EV34" s="39">
        <f t="shared" si="18"/>
        <v>147.22499999999999</v>
      </c>
      <c r="EW34"/>
      <c r="EX34">
        <f t="shared" si="19"/>
        <v>26</v>
      </c>
      <c r="EY34"/>
      <c r="EZ34"/>
      <c r="FA34"/>
      <c r="FB34"/>
      <c r="FC34"/>
      <c r="FD34"/>
    </row>
    <row r="35" spans="1:160" s="54" customFormat="1" ht="13" customHeight="1" x14ac:dyDescent="0.2">
      <c r="A35" s="49" t="s">
        <v>93</v>
      </c>
      <c r="B35" s="50" t="s">
        <v>461</v>
      </c>
      <c r="C35" s="275">
        <f t="shared" si="22"/>
        <v>146.35</v>
      </c>
      <c r="D35" s="51">
        <v>250</v>
      </c>
      <c r="E35" s="51">
        <v>300</v>
      </c>
      <c r="F35" s="51">
        <f t="shared" si="4"/>
        <v>275</v>
      </c>
      <c r="G35" s="83" t="s">
        <v>523</v>
      </c>
      <c r="H35" s="84">
        <v>7.5</v>
      </c>
      <c r="I35" s="85">
        <v>5</v>
      </c>
      <c r="J35" s="85">
        <v>8</v>
      </c>
      <c r="K35" s="89">
        <f t="shared" si="21"/>
        <v>4.6875</v>
      </c>
      <c r="L35" s="51">
        <v>169</v>
      </c>
      <c r="M35" s="51">
        <v>108</v>
      </c>
      <c r="N35" s="51">
        <v>39</v>
      </c>
      <c r="O35" s="52">
        <v>70.849999999999994</v>
      </c>
      <c r="P35" s="52">
        <v>15.47</v>
      </c>
      <c r="Q35" s="52">
        <v>3.46</v>
      </c>
      <c r="R35" s="52">
        <v>3.4000000000000002E-2</v>
      </c>
      <c r="S35" s="52">
        <v>0.59</v>
      </c>
      <c r="T35" s="52">
        <v>0.14000000000000001</v>
      </c>
      <c r="U35" s="52">
        <v>0.19</v>
      </c>
      <c r="V35" s="52">
        <v>3.89</v>
      </c>
      <c r="W35" s="52">
        <v>0.32200000000000001</v>
      </c>
      <c r="X35" s="52">
        <v>0</v>
      </c>
      <c r="Y35" s="52">
        <v>4.99</v>
      </c>
      <c r="Z35" s="52">
        <v>99.92</v>
      </c>
      <c r="AA35" s="52">
        <v>7</v>
      </c>
      <c r="AB35" s="52">
        <v>1</v>
      </c>
      <c r="AC35" s="52">
        <v>52</v>
      </c>
      <c r="AD35" s="52">
        <v>20</v>
      </c>
      <c r="AE35" s="52">
        <v>5</v>
      </c>
      <c r="AF35" s="52">
        <v>0</v>
      </c>
      <c r="AG35" s="52">
        <v>10</v>
      </c>
      <c r="AH35" s="52">
        <v>50</v>
      </c>
      <c r="AI35" s="52">
        <v>18</v>
      </c>
      <c r="AJ35" s="52">
        <v>1</v>
      </c>
      <c r="AK35" s="52">
        <v>0</v>
      </c>
      <c r="AL35" s="52">
        <v>115</v>
      </c>
      <c r="AM35" s="52">
        <v>76</v>
      </c>
      <c r="AN35" s="52">
        <v>5</v>
      </c>
      <c r="AO35" s="52">
        <v>197</v>
      </c>
      <c r="AP35" s="52">
        <v>4</v>
      </c>
      <c r="AQ35" s="52" t="s">
        <v>72</v>
      </c>
      <c r="AR35" s="52" t="s">
        <v>74</v>
      </c>
      <c r="AS35" s="52" t="s">
        <v>73</v>
      </c>
      <c r="AT35" s="52">
        <v>3</v>
      </c>
      <c r="AU35" s="52" t="s">
        <v>74</v>
      </c>
      <c r="AV35" s="52">
        <v>1.7</v>
      </c>
      <c r="AW35" s="52">
        <v>439</v>
      </c>
      <c r="AX35" s="52" t="s">
        <v>75</v>
      </c>
      <c r="AY35" s="52">
        <v>47.8</v>
      </c>
      <c r="AZ35" s="52">
        <v>171</v>
      </c>
      <c r="BA35" s="52">
        <v>9.81</v>
      </c>
      <c r="BB35" s="52">
        <v>30.8</v>
      </c>
      <c r="BC35" s="52">
        <v>3.8</v>
      </c>
      <c r="BD35" s="52">
        <v>0.53</v>
      </c>
      <c r="BE35" s="52">
        <v>1.7</v>
      </c>
      <c r="BF35" s="52">
        <v>0.2</v>
      </c>
      <c r="BG35" s="52">
        <v>1.1000000000000001</v>
      </c>
      <c r="BH35" s="52">
        <v>0.2</v>
      </c>
      <c r="BI35" s="52">
        <v>0.6</v>
      </c>
      <c r="BJ35" s="52">
        <v>0.1</v>
      </c>
      <c r="BK35" s="52">
        <v>0.8</v>
      </c>
      <c r="BL35" s="52">
        <v>0.14000000000000001</v>
      </c>
      <c r="BM35" s="52">
        <v>5.3</v>
      </c>
      <c r="BN35" s="52">
        <v>0.4</v>
      </c>
      <c r="BO35" s="52">
        <v>3</v>
      </c>
      <c r="BP35" s="52">
        <v>0.5</v>
      </c>
      <c r="BQ35" s="52">
        <v>23</v>
      </c>
      <c r="BR35" s="52">
        <v>25.8</v>
      </c>
      <c r="BS35" s="52">
        <v>2.8</v>
      </c>
      <c r="BT35" s="53">
        <f t="shared" si="5"/>
        <v>0.78153564899451555</v>
      </c>
      <c r="BU35" s="280">
        <f t="shared" si="6"/>
        <v>268.58000000000004</v>
      </c>
      <c r="BV35" s="54">
        <f t="shared" si="7"/>
        <v>275</v>
      </c>
      <c r="BW35" s="71">
        <f t="shared" si="8"/>
        <v>78.567800914169624</v>
      </c>
      <c r="BX35" s="69">
        <f t="shared" si="13"/>
        <v>0.78153564899451555</v>
      </c>
      <c r="BY35" s="53">
        <v>12.23</v>
      </c>
      <c r="BZ35" s="53">
        <v>1.36</v>
      </c>
      <c r="CA35" s="53">
        <v>41.7</v>
      </c>
      <c r="CB35" s="53">
        <v>16.523200000000003</v>
      </c>
      <c r="CC35" s="53">
        <v>1.4368000000000001</v>
      </c>
      <c r="CD35" s="53">
        <v>0</v>
      </c>
      <c r="CE35" s="53">
        <v>0</v>
      </c>
      <c r="CF35" s="53">
        <v>0</v>
      </c>
      <c r="CG35" s="53">
        <v>0</v>
      </c>
      <c r="CH35" s="53">
        <v>0.26</v>
      </c>
      <c r="CI35" s="53">
        <v>0.28000000000000003</v>
      </c>
      <c r="CJ35" s="53">
        <v>0</v>
      </c>
      <c r="CK35" s="53">
        <v>22.26</v>
      </c>
      <c r="CL35" s="53">
        <v>0</v>
      </c>
      <c r="CM35" s="53">
        <v>0.02</v>
      </c>
      <c r="CN35" s="53">
        <v>0</v>
      </c>
      <c r="CO35" s="53">
        <v>2.61</v>
      </c>
      <c r="CP35" s="53">
        <v>1.31</v>
      </c>
      <c r="CQ35" s="53">
        <v>0</v>
      </c>
      <c r="CR35" s="53">
        <v>0</v>
      </c>
      <c r="CS35" s="53">
        <v>0</v>
      </c>
      <c r="CT35" s="53">
        <v>0</v>
      </c>
      <c r="CU35" s="53">
        <v>0</v>
      </c>
      <c r="CV35" s="53">
        <v>0</v>
      </c>
      <c r="CW35" s="53">
        <v>0</v>
      </c>
      <c r="CX35" s="53">
        <v>0</v>
      </c>
      <c r="CY35" s="280">
        <v>99.990000000000023</v>
      </c>
      <c r="CZ35" s="284">
        <v>0.4826388888888889</v>
      </c>
      <c r="DA35" s="284">
        <v>0.19124074074074077</v>
      </c>
      <c r="DB35" s="284">
        <v>1.662962962962963E-2</v>
      </c>
      <c r="DC35" s="284">
        <v>0</v>
      </c>
      <c r="DD35" s="284">
        <v>0</v>
      </c>
      <c r="DE35" s="284">
        <v>0</v>
      </c>
      <c r="DF35" s="284">
        <v>0</v>
      </c>
      <c r="DG35" s="284">
        <v>3.0092592592592593E-3</v>
      </c>
      <c r="DH35" s="284">
        <v>3.2407407407407406E-3</v>
      </c>
      <c r="DI35" s="284">
        <v>0</v>
      </c>
      <c r="DJ35" s="284">
        <v>0.25763888888888892</v>
      </c>
      <c r="DK35" s="284">
        <v>0</v>
      </c>
      <c r="DL35" s="284">
        <v>2.3148148148148146E-4</v>
      </c>
      <c r="DM35" s="284">
        <v>0</v>
      </c>
      <c r="DN35" s="284">
        <v>3.020833333333333E-2</v>
      </c>
      <c r="DO35" s="284">
        <v>1.5162037037037036E-2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v>0</v>
      </c>
      <c r="DV35" s="284">
        <v>0</v>
      </c>
      <c r="DW35" s="284">
        <v>0</v>
      </c>
      <c r="DX35" s="53">
        <v>1</v>
      </c>
      <c r="DY35" s="71">
        <v>75.755028049044896</v>
      </c>
      <c r="DZ35" s="71">
        <v>15.087447439335728</v>
      </c>
      <c r="EA35" s="71">
        <v>0.64881162336506126</v>
      </c>
      <c r="EB35" s="71">
        <v>0.53809901801022231</v>
      </c>
      <c r="EC35" s="71">
        <v>0</v>
      </c>
      <c r="ED35" s="71">
        <v>0.20553973690625357</v>
      </c>
      <c r="EE35" s="71">
        <v>4.373821885551763E-3</v>
      </c>
      <c r="EF35" s="71">
        <v>0.19660177096182133</v>
      </c>
      <c r="EG35" s="71">
        <v>3.5779535635586974</v>
      </c>
      <c r="EH35" s="71">
        <v>6.5227936882272783E-2</v>
      </c>
      <c r="EI35" s="71">
        <v>0</v>
      </c>
      <c r="EJ35" s="71">
        <v>3.9209170400495195</v>
      </c>
      <c r="EK35" s="71">
        <v>0</v>
      </c>
      <c r="EL35" s="71">
        <v>100.00000000000003</v>
      </c>
      <c r="EM35" s="53">
        <v>79.970032203963399</v>
      </c>
      <c r="EN35" s="53" t="s">
        <v>93</v>
      </c>
      <c r="EO35" s="288">
        <v>1.2353395529962036E-2</v>
      </c>
      <c r="EP35" s="257">
        <f t="shared" si="14"/>
        <v>1.2353395529962037</v>
      </c>
      <c r="EQ35" s="257">
        <f t="shared" si="15"/>
        <v>51.02954341987467</v>
      </c>
      <c r="ER35" s="324">
        <f t="shared" si="16"/>
        <v>1.6916693265240982E-2</v>
      </c>
      <c r="ES35" s="257">
        <f t="shared" si="9"/>
        <v>0.78153564899451555</v>
      </c>
      <c r="ET35">
        <f t="shared" si="10"/>
        <v>275</v>
      </c>
      <c r="EU35" s="324">
        <f t="shared" si="17"/>
        <v>2.1645453137045186E-2</v>
      </c>
      <c r="EV35" s="39">
        <f t="shared" si="18"/>
        <v>146.35</v>
      </c>
      <c r="EW35"/>
      <c r="EX35">
        <f t="shared" si="19"/>
        <v>25</v>
      </c>
      <c r="EY35"/>
      <c r="EZ35"/>
      <c r="FA35"/>
      <c r="FB35"/>
      <c r="FC35"/>
      <c r="FD35"/>
    </row>
    <row r="36" spans="1:160" s="54" customFormat="1" ht="13" customHeight="1" x14ac:dyDescent="0.2">
      <c r="A36" s="49" t="s">
        <v>95</v>
      </c>
      <c r="B36" s="50" t="s">
        <v>461</v>
      </c>
      <c r="C36" s="275">
        <f t="shared" si="22"/>
        <v>145.6</v>
      </c>
      <c r="D36" s="51">
        <v>300</v>
      </c>
      <c r="E36" s="51">
        <v>400</v>
      </c>
      <c r="F36" s="51">
        <f t="shared" si="4"/>
        <v>350</v>
      </c>
      <c r="G36" s="83" t="s">
        <v>513</v>
      </c>
      <c r="H36" s="84">
        <v>7.5</v>
      </c>
      <c r="I36" s="85">
        <v>4</v>
      </c>
      <c r="J36" s="85">
        <v>6</v>
      </c>
      <c r="K36" s="89">
        <f t="shared" si="21"/>
        <v>5</v>
      </c>
      <c r="L36" s="51">
        <v>132</v>
      </c>
      <c r="M36" s="51">
        <v>86</v>
      </c>
      <c r="N36" s="51">
        <v>40</v>
      </c>
      <c r="O36" s="52">
        <v>66.010000000000005</v>
      </c>
      <c r="P36" s="52">
        <v>16.77</v>
      </c>
      <c r="Q36" s="52">
        <v>4.8</v>
      </c>
      <c r="R36" s="52">
        <v>7.4999999999999997E-2</v>
      </c>
      <c r="S36" s="52">
        <v>1.1200000000000001</v>
      </c>
      <c r="T36" s="52">
        <v>0.28000000000000003</v>
      </c>
      <c r="U36" s="52">
        <v>0.15</v>
      </c>
      <c r="V36" s="52">
        <v>3.11</v>
      </c>
      <c r="W36" s="52">
        <v>0.39200000000000002</v>
      </c>
      <c r="X36" s="52">
        <v>0.03</v>
      </c>
      <c r="Y36" s="52">
        <v>6.04</v>
      </c>
      <c r="Z36" s="52">
        <v>98.77</v>
      </c>
      <c r="AA36" s="52">
        <v>13</v>
      </c>
      <c r="AB36" s="52">
        <v>2</v>
      </c>
      <c r="AC36" s="52">
        <v>75</v>
      </c>
      <c r="AD36" s="52">
        <v>0</v>
      </c>
      <c r="AE36" s="52">
        <v>10</v>
      </c>
      <c r="AF36" s="52">
        <v>0</v>
      </c>
      <c r="AG36" s="52">
        <v>20</v>
      </c>
      <c r="AH36" s="52">
        <v>60</v>
      </c>
      <c r="AI36" s="52">
        <v>19</v>
      </c>
      <c r="AJ36" s="52">
        <v>2</v>
      </c>
      <c r="AK36" s="52">
        <v>0</v>
      </c>
      <c r="AL36" s="52">
        <v>126</v>
      </c>
      <c r="AM36" s="52">
        <v>51</v>
      </c>
      <c r="AN36" s="52">
        <v>6</v>
      </c>
      <c r="AO36" s="52">
        <v>152</v>
      </c>
      <c r="AP36" s="52">
        <v>5</v>
      </c>
      <c r="AQ36" s="52" t="s">
        <v>72</v>
      </c>
      <c r="AR36" s="52" t="s">
        <v>74</v>
      </c>
      <c r="AS36" s="52" t="s">
        <v>73</v>
      </c>
      <c r="AT36" s="52">
        <v>2</v>
      </c>
      <c r="AU36" s="52" t="s">
        <v>74</v>
      </c>
      <c r="AV36" s="52">
        <v>1.9</v>
      </c>
      <c r="AW36" s="52">
        <v>526</v>
      </c>
      <c r="AX36" s="52" t="s">
        <v>75</v>
      </c>
      <c r="AY36" s="52">
        <v>22.5</v>
      </c>
      <c r="AZ36" s="52">
        <v>94.1</v>
      </c>
      <c r="BA36" s="52">
        <v>4.8</v>
      </c>
      <c r="BB36" s="52">
        <v>15.9</v>
      </c>
      <c r="BC36" s="52">
        <v>2.2000000000000002</v>
      </c>
      <c r="BD36" s="52">
        <v>0.4</v>
      </c>
      <c r="BE36" s="52">
        <v>1.4</v>
      </c>
      <c r="BF36" s="52">
        <v>0.2</v>
      </c>
      <c r="BG36" s="52">
        <v>1.1000000000000001</v>
      </c>
      <c r="BH36" s="52">
        <v>0.2</v>
      </c>
      <c r="BI36" s="52">
        <v>0.7</v>
      </c>
      <c r="BJ36" s="52">
        <v>0.11</v>
      </c>
      <c r="BK36" s="52">
        <v>0.8</v>
      </c>
      <c r="BL36" s="52">
        <v>0.14000000000000001</v>
      </c>
      <c r="BM36" s="52">
        <v>3.8</v>
      </c>
      <c r="BN36" s="52">
        <v>0.3</v>
      </c>
      <c r="BO36" s="52">
        <v>0</v>
      </c>
      <c r="BP36" s="52">
        <v>0.6</v>
      </c>
      <c r="BQ36" s="52">
        <v>20</v>
      </c>
      <c r="BR36" s="52">
        <v>13.4</v>
      </c>
      <c r="BS36" s="52">
        <v>1.7</v>
      </c>
      <c r="BT36" s="53">
        <f t="shared" si="5"/>
        <v>0.807032590051458</v>
      </c>
      <c r="BU36" s="280">
        <f t="shared" si="6"/>
        <v>144.54999999999995</v>
      </c>
      <c r="BV36" s="54">
        <f t="shared" si="7"/>
        <v>350</v>
      </c>
      <c r="BW36" s="71">
        <f t="shared" si="8"/>
        <v>82.570162481536201</v>
      </c>
      <c r="BX36" s="69">
        <f t="shared" si="13"/>
        <v>0.807032590051458</v>
      </c>
      <c r="BY36" s="53">
        <v>9.6</v>
      </c>
      <c r="BZ36" s="53">
        <v>0.81</v>
      </c>
      <c r="CA36" s="53">
        <v>37.979999999999997</v>
      </c>
      <c r="CB36" s="53">
        <v>14.959200000000003</v>
      </c>
      <c r="CC36" s="53">
        <v>1.3008000000000002</v>
      </c>
      <c r="CD36" s="53">
        <v>0</v>
      </c>
      <c r="CE36" s="53">
        <v>0</v>
      </c>
      <c r="CF36" s="53">
        <v>0</v>
      </c>
      <c r="CG36" s="53">
        <v>0</v>
      </c>
      <c r="CH36" s="53">
        <v>0.21</v>
      </c>
      <c r="CI36" s="53">
        <v>0.08</v>
      </c>
      <c r="CJ36" s="53">
        <v>0</v>
      </c>
      <c r="CK36" s="53">
        <v>22.6</v>
      </c>
      <c r="CL36" s="53">
        <v>0</v>
      </c>
      <c r="CM36" s="53">
        <v>0.01</v>
      </c>
      <c r="CN36" s="53">
        <v>0</v>
      </c>
      <c r="CO36" s="53">
        <v>7.38</v>
      </c>
      <c r="CP36" s="53">
        <v>5.07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280">
        <v>100</v>
      </c>
      <c r="CZ36" s="284">
        <v>0.42393124232615242</v>
      </c>
      <c r="DA36" s="284">
        <v>0.16697399263310639</v>
      </c>
      <c r="DB36" s="284">
        <v>1.4519477620270121E-2</v>
      </c>
      <c r="DC36" s="284">
        <v>0</v>
      </c>
      <c r="DD36" s="284">
        <v>0</v>
      </c>
      <c r="DE36" s="284">
        <v>0</v>
      </c>
      <c r="DF36" s="284">
        <v>0</v>
      </c>
      <c r="DG36" s="284">
        <v>2.3440116084384416E-3</v>
      </c>
      <c r="DH36" s="284">
        <v>8.9295680321464452E-4</v>
      </c>
      <c r="DI36" s="284">
        <v>0</v>
      </c>
      <c r="DJ36" s="284">
        <v>0.25226029690813706</v>
      </c>
      <c r="DK36" s="284">
        <v>0</v>
      </c>
      <c r="DL36" s="284">
        <v>1.1161960040183056E-4</v>
      </c>
      <c r="DM36" s="284">
        <v>0</v>
      </c>
      <c r="DN36" s="284">
        <v>8.2375265096550951E-2</v>
      </c>
      <c r="DO36" s="284">
        <v>5.6591137403728092E-2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v>0</v>
      </c>
      <c r="DV36" s="284">
        <v>0</v>
      </c>
      <c r="DW36" s="284">
        <v>0</v>
      </c>
      <c r="DX36" s="53">
        <v>1</v>
      </c>
      <c r="DY36" s="71">
        <v>72.216479824073673</v>
      </c>
      <c r="DZ36" s="71">
        <v>16.601926385299613</v>
      </c>
      <c r="EA36" s="71">
        <v>0.58445500551207386</v>
      </c>
      <c r="EB36" s="71">
        <v>1.5357687572292125</v>
      </c>
      <c r="EC36" s="71">
        <v>0</v>
      </c>
      <c r="ED36" s="71">
        <v>0.59750995569382814</v>
      </c>
      <c r="EE36" s="71">
        <v>1.1451188896501341E-2</v>
      </c>
      <c r="EF36" s="71">
        <v>0.17165475582808951</v>
      </c>
      <c r="EG36" s="71">
        <v>3.931509559894903</v>
      </c>
      <c r="EH36" s="71">
        <v>0.17787040857528211</v>
      </c>
      <c r="EI36" s="71">
        <v>0</v>
      </c>
      <c r="EJ36" s="71">
        <v>4.1713741589968247</v>
      </c>
      <c r="EK36" s="71">
        <v>0</v>
      </c>
      <c r="EL36" s="71">
        <v>100.00000000000003</v>
      </c>
      <c r="EM36" s="53">
        <v>80.138502234189417</v>
      </c>
      <c r="EN36" s="53" t="s">
        <v>95</v>
      </c>
      <c r="EO36" s="288">
        <v>2.2584429508919156E-2</v>
      </c>
      <c r="EP36" s="257">
        <f t="shared" si="14"/>
        <v>2.2584429508919155</v>
      </c>
      <c r="EQ36" s="257">
        <f t="shared" si="15"/>
        <v>44.360465116279066</v>
      </c>
      <c r="ER36" s="324">
        <f t="shared" si="16"/>
        <v>2.4539877300613498E-2</v>
      </c>
      <c r="ES36" s="257">
        <f t="shared" si="9"/>
        <v>0.807032590051458</v>
      </c>
      <c r="ET36">
        <f t="shared" si="10"/>
        <v>350</v>
      </c>
      <c r="EU36" s="324">
        <f t="shared" si="17"/>
        <v>3.0407541904904717E-2</v>
      </c>
      <c r="EV36" s="39">
        <f t="shared" si="18"/>
        <v>145.6</v>
      </c>
      <c r="EW36"/>
      <c r="EX36">
        <f t="shared" si="19"/>
        <v>30</v>
      </c>
      <c r="EY36"/>
      <c r="EZ36"/>
      <c r="FA36"/>
      <c r="FB36"/>
      <c r="FC36"/>
      <c r="FD36"/>
    </row>
    <row r="37" spans="1:160" s="54" customFormat="1" ht="13" customHeight="1" x14ac:dyDescent="0.2">
      <c r="A37" s="49" t="s">
        <v>96</v>
      </c>
      <c r="B37" s="50" t="s">
        <v>461</v>
      </c>
      <c r="C37" s="275">
        <f t="shared" si="22"/>
        <v>144.6</v>
      </c>
      <c r="D37" s="51">
        <v>400</v>
      </c>
      <c r="E37" s="51">
        <v>500</v>
      </c>
      <c r="F37" s="51">
        <f t="shared" si="4"/>
        <v>450</v>
      </c>
      <c r="G37" s="83" t="s">
        <v>513</v>
      </c>
      <c r="H37" s="84">
        <v>7.5</v>
      </c>
      <c r="I37" s="85">
        <v>4</v>
      </c>
      <c r="J37" s="85">
        <v>6</v>
      </c>
      <c r="K37" s="89">
        <f t="shared" si="21"/>
        <v>5</v>
      </c>
      <c r="L37" s="51">
        <v>132</v>
      </c>
      <c r="M37" s="51">
        <v>86</v>
      </c>
      <c r="N37" s="51">
        <v>40</v>
      </c>
      <c r="O37" s="52">
        <v>65.290000000000006</v>
      </c>
      <c r="P37" s="52">
        <v>17.05</v>
      </c>
      <c r="Q37" s="52">
        <v>5.58</v>
      </c>
      <c r="R37" s="52">
        <v>0.111</v>
      </c>
      <c r="S37" s="52">
        <v>1.05</v>
      </c>
      <c r="T37" s="52">
        <v>0.12</v>
      </c>
      <c r="U37" s="52">
        <v>0.1</v>
      </c>
      <c r="V37" s="52">
        <v>2.57</v>
      </c>
      <c r="W37" s="52">
        <v>0.46600000000000003</v>
      </c>
      <c r="X37" s="52">
        <v>0</v>
      </c>
      <c r="Y37" s="52">
        <v>6.81</v>
      </c>
      <c r="Z37" s="52">
        <v>99.14</v>
      </c>
      <c r="AA37" s="52">
        <v>18</v>
      </c>
      <c r="AB37" s="52">
        <v>2</v>
      </c>
      <c r="AC37" s="52">
        <v>91</v>
      </c>
      <c r="AD37" s="52">
        <v>0</v>
      </c>
      <c r="AE37" s="52">
        <v>15</v>
      </c>
      <c r="AF37" s="52">
        <v>0</v>
      </c>
      <c r="AG37" s="52">
        <v>40</v>
      </c>
      <c r="AH37" s="52">
        <v>70</v>
      </c>
      <c r="AI37" s="52">
        <v>20</v>
      </c>
      <c r="AJ37" s="52">
        <v>2</v>
      </c>
      <c r="AK37" s="52">
        <v>0</v>
      </c>
      <c r="AL37" s="52">
        <v>116</v>
      </c>
      <c r="AM37" s="52">
        <v>37</v>
      </c>
      <c r="AN37" s="52">
        <v>8</v>
      </c>
      <c r="AO37" s="52">
        <v>145</v>
      </c>
      <c r="AP37" s="52">
        <v>6</v>
      </c>
      <c r="AQ37" s="52" t="s">
        <v>72</v>
      </c>
      <c r="AR37" s="52" t="s">
        <v>74</v>
      </c>
      <c r="AS37" s="52" t="s">
        <v>73</v>
      </c>
      <c r="AT37" s="52">
        <v>3</v>
      </c>
      <c r="AU37" s="52" t="s">
        <v>74</v>
      </c>
      <c r="AV37" s="52">
        <v>1.8</v>
      </c>
      <c r="AW37" s="52">
        <v>511</v>
      </c>
      <c r="AX37" s="52" t="s">
        <v>75</v>
      </c>
      <c r="AY37" s="52">
        <v>23.6</v>
      </c>
      <c r="AZ37" s="52">
        <v>61.7</v>
      </c>
      <c r="BA37" s="52">
        <v>5.04</v>
      </c>
      <c r="BB37" s="52">
        <v>17.7</v>
      </c>
      <c r="BC37" s="52">
        <v>2.7</v>
      </c>
      <c r="BD37" s="52">
        <v>0.5</v>
      </c>
      <c r="BE37" s="52">
        <v>1.8</v>
      </c>
      <c r="BF37" s="52">
        <v>0.2</v>
      </c>
      <c r="BG37" s="52">
        <v>1.4</v>
      </c>
      <c r="BH37" s="52">
        <v>0.3</v>
      </c>
      <c r="BI37" s="52">
        <v>0.9</v>
      </c>
      <c r="BJ37" s="52">
        <v>0.15</v>
      </c>
      <c r="BK37" s="52">
        <v>1.1000000000000001</v>
      </c>
      <c r="BL37" s="52">
        <v>0.19</v>
      </c>
      <c r="BM37" s="52">
        <v>3.6</v>
      </c>
      <c r="BN37" s="52">
        <v>0.3</v>
      </c>
      <c r="BO37" s="52">
        <v>0</v>
      </c>
      <c r="BP37" s="52">
        <v>0.5</v>
      </c>
      <c r="BQ37" s="52">
        <v>17</v>
      </c>
      <c r="BR37" s="52">
        <v>8.4</v>
      </c>
      <c r="BS37" s="52">
        <v>1.3</v>
      </c>
      <c r="BT37" s="53">
        <f t="shared" si="5"/>
        <v>0.72332942555685809</v>
      </c>
      <c r="BU37" s="280">
        <f t="shared" si="6"/>
        <v>117.28000000000003</v>
      </c>
      <c r="BV37" s="54">
        <f t="shared" si="7"/>
        <v>450</v>
      </c>
      <c r="BW37" s="71">
        <f t="shared" si="8"/>
        <v>85.937499999999986</v>
      </c>
      <c r="BX37" s="69">
        <f t="shared" si="13"/>
        <v>0.72332942555685809</v>
      </c>
      <c r="BY37" s="53">
        <v>9.99</v>
      </c>
      <c r="BZ37" s="53">
        <v>1.48</v>
      </c>
      <c r="CA37" s="53">
        <v>38.92</v>
      </c>
      <c r="CB37" s="53">
        <v>8.4456000000000007</v>
      </c>
      <c r="CC37" s="53">
        <v>0.73439999999999994</v>
      </c>
      <c r="CD37" s="53">
        <v>0</v>
      </c>
      <c r="CE37" s="53">
        <v>0</v>
      </c>
      <c r="CF37" s="53">
        <v>0</v>
      </c>
      <c r="CG37" s="53">
        <v>0</v>
      </c>
      <c r="CH37" s="53">
        <v>0.25</v>
      </c>
      <c r="CI37" s="53">
        <v>0.11</v>
      </c>
      <c r="CJ37" s="53">
        <v>0</v>
      </c>
      <c r="CK37" s="53">
        <v>27.24</v>
      </c>
      <c r="CL37" s="53">
        <v>0</v>
      </c>
      <c r="CM37" s="53">
        <v>0.01</v>
      </c>
      <c r="CN37" s="53">
        <v>0</v>
      </c>
      <c r="CO37" s="53">
        <v>8.11</v>
      </c>
      <c r="CP37" s="53">
        <v>4.71</v>
      </c>
      <c r="CQ37" s="53">
        <v>0</v>
      </c>
      <c r="CR37" s="53">
        <v>0</v>
      </c>
      <c r="CS37" s="53">
        <v>0</v>
      </c>
      <c r="CT37" s="53">
        <v>0</v>
      </c>
      <c r="CU37" s="53">
        <v>0</v>
      </c>
      <c r="CV37" s="53">
        <v>0</v>
      </c>
      <c r="CW37" s="53">
        <v>0</v>
      </c>
      <c r="CX37" s="53">
        <v>0</v>
      </c>
      <c r="CY37" s="280">
        <v>100</v>
      </c>
      <c r="CZ37" s="284">
        <v>0.43962498588049248</v>
      </c>
      <c r="DA37" s="284">
        <v>9.5398170111826511E-2</v>
      </c>
      <c r="DB37" s="284">
        <v>8.2954930532023029E-3</v>
      </c>
      <c r="DC37" s="284">
        <v>0</v>
      </c>
      <c r="DD37" s="284">
        <v>0</v>
      </c>
      <c r="DE37" s="284">
        <v>0</v>
      </c>
      <c r="DF37" s="284">
        <v>0</v>
      </c>
      <c r="DG37" s="284">
        <v>2.823901502315599E-3</v>
      </c>
      <c r="DH37" s="284">
        <v>1.2425166610188637E-3</v>
      </c>
      <c r="DI37" s="284">
        <v>0</v>
      </c>
      <c r="DJ37" s="284">
        <v>0.30769230769230765</v>
      </c>
      <c r="DK37" s="284">
        <v>0</v>
      </c>
      <c r="DL37" s="284">
        <v>1.1295606009262397E-4</v>
      </c>
      <c r="DM37" s="284">
        <v>0</v>
      </c>
      <c r="DN37" s="284">
        <v>9.1607364735118033E-2</v>
      </c>
      <c r="DO37" s="284">
        <v>5.3202304303625887E-2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v>0</v>
      </c>
      <c r="DV37" s="284">
        <v>0</v>
      </c>
      <c r="DW37" s="284">
        <v>0</v>
      </c>
      <c r="DX37" s="53">
        <v>0.99999999999999989</v>
      </c>
      <c r="DY37" s="71">
        <v>71.494692982597201</v>
      </c>
      <c r="DZ37" s="71">
        <v>17.468178075300024</v>
      </c>
      <c r="EA37" s="71">
        <v>0.70985168801096232</v>
      </c>
      <c r="EB37" s="71">
        <v>1.6642137211400048</v>
      </c>
      <c r="EC37" s="71">
        <v>0</v>
      </c>
      <c r="ED37" s="71">
        <v>0.64027987152847854</v>
      </c>
      <c r="EE37" s="71">
        <v>1.2724334506307739E-2</v>
      </c>
      <c r="EF37" s="71">
        <v>9.8072456307457881E-2</v>
      </c>
      <c r="EG37" s="71">
        <v>2.7309519759143268</v>
      </c>
      <c r="EH37" s="71">
        <v>0.19780500098958193</v>
      </c>
      <c r="EI37" s="71">
        <v>0</v>
      </c>
      <c r="EJ37" s="71">
        <v>4.9832298937056558</v>
      </c>
      <c r="EK37" s="71">
        <v>0</v>
      </c>
      <c r="EL37" s="71">
        <v>100.00000000000003</v>
      </c>
      <c r="EM37" s="53">
        <v>86.008079749221181</v>
      </c>
      <c r="EN37" s="53" t="s">
        <v>96</v>
      </c>
      <c r="EO37" s="288">
        <v>2.5238446440535679E-2</v>
      </c>
      <c r="EP37" s="257">
        <f t="shared" si="14"/>
        <v>2.5238446440535678</v>
      </c>
      <c r="EQ37" s="257">
        <f t="shared" si="15"/>
        <v>55.645161290322577</v>
      </c>
      <c r="ER37" s="324">
        <f t="shared" si="16"/>
        <v>2.7472527472527472E-2</v>
      </c>
      <c r="ES37" s="257">
        <f t="shared" si="9"/>
        <v>0.72332942555685809</v>
      </c>
      <c r="ET37">
        <f t="shared" si="10"/>
        <v>450</v>
      </c>
      <c r="EU37" s="324">
        <f t="shared" si="17"/>
        <v>3.7980657915828095E-2</v>
      </c>
      <c r="EV37" s="39">
        <f t="shared" si="18"/>
        <v>144.6</v>
      </c>
      <c r="EW37"/>
      <c r="EX37">
        <f t="shared" si="19"/>
        <v>26.666666666666668</v>
      </c>
      <c r="EY37"/>
      <c r="EZ37"/>
      <c r="FA37"/>
      <c r="FB37"/>
      <c r="FC37"/>
      <c r="FD37"/>
    </row>
    <row r="38" spans="1:160" s="54" customFormat="1" ht="13" customHeight="1" x14ac:dyDescent="0.2">
      <c r="A38" s="49" t="s">
        <v>97</v>
      </c>
      <c r="B38" s="50" t="s">
        <v>461</v>
      </c>
      <c r="C38" s="275">
        <f t="shared" si="22"/>
        <v>143.6</v>
      </c>
      <c r="D38" s="51">
        <v>500</v>
      </c>
      <c r="E38" s="51">
        <v>600</v>
      </c>
      <c r="F38" s="51">
        <f t="shared" si="4"/>
        <v>550</v>
      </c>
      <c r="G38" s="83" t="s">
        <v>524</v>
      </c>
      <c r="H38" s="84">
        <v>7.5</v>
      </c>
      <c r="I38" s="85">
        <v>5</v>
      </c>
      <c r="J38" s="85">
        <v>4</v>
      </c>
      <c r="K38" s="89">
        <f t="shared" si="21"/>
        <v>9.375</v>
      </c>
      <c r="L38" s="51">
        <v>150</v>
      </c>
      <c r="M38" s="51">
        <v>115</v>
      </c>
      <c r="N38" s="51">
        <v>84</v>
      </c>
      <c r="O38" s="52">
        <v>67.42</v>
      </c>
      <c r="P38" s="52">
        <v>15.94</v>
      </c>
      <c r="Q38" s="52">
        <v>4.54</v>
      </c>
      <c r="R38" s="52">
        <v>8.2000000000000003E-2</v>
      </c>
      <c r="S38" s="52">
        <v>0.88</v>
      </c>
      <c r="T38" s="52">
        <v>0.17</v>
      </c>
      <c r="U38" s="52">
        <v>0.25</v>
      </c>
      <c r="V38" s="52">
        <v>4.18</v>
      </c>
      <c r="W38" s="52">
        <v>0.40100000000000002</v>
      </c>
      <c r="X38" s="52">
        <v>0</v>
      </c>
      <c r="Y38" s="52">
        <v>5.3</v>
      </c>
      <c r="Z38" s="52">
        <v>99.16</v>
      </c>
      <c r="AA38" s="52">
        <v>13</v>
      </c>
      <c r="AB38" s="52">
        <v>2</v>
      </c>
      <c r="AC38" s="52">
        <v>69</v>
      </c>
      <c r="AD38" s="52">
        <v>0</v>
      </c>
      <c r="AE38" s="52">
        <v>10</v>
      </c>
      <c r="AF38" s="52">
        <v>0</v>
      </c>
      <c r="AG38" s="52">
        <v>30</v>
      </c>
      <c r="AH38" s="52">
        <v>70</v>
      </c>
      <c r="AI38" s="52">
        <v>20</v>
      </c>
      <c r="AJ38" s="52">
        <v>2</v>
      </c>
      <c r="AK38" s="52">
        <v>0</v>
      </c>
      <c r="AL38" s="52">
        <v>148</v>
      </c>
      <c r="AM38" s="52">
        <v>86</v>
      </c>
      <c r="AN38" s="52">
        <v>11</v>
      </c>
      <c r="AO38" s="52">
        <v>197</v>
      </c>
      <c r="AP38" s="52">
        <v>5</v>
      </c>
      <c r="AQ38" s="52" t="s">
        <v>72</v>
      </c>
      <c r="AR38" s="52" t="s">
        <v>74</v>
      </c>
      <c r="AS38" s="52" t="s">
        <v>73</v>
      </c>
      <c r="AT38" s="52">
        <v>3</v>
      </c>
      <c r="AU38" s="52" t="s">
        <v>74</v>
      </c>
      <c r="AV38" s="52">
        <v>1.7</v>
      </c>
      <c r="AW38" s="52">
        <v>597</v>
      </c>
      <c r="AX38" s="52" t="s">
        <v>75</v>
      </c>
      <c r="AY38" s="52">
        <v>56</v>
      </c>
      <c r="AZ38" s="52">
        <v>165</v>
      </c>
      <c r="BA38" s="52">
        <v>11.9</v>
      </c>
      <c r="BB38" s="52">
        <v>38.299999999999997</v>
      </c>
      <c r="BC38" s="52">
        <v>5.3</v>
      </c>
      <c r="BD38" s="52">
        <v>0.92</v>
      </c>
      <c r="BE38" s="52">
        <v>3</v>
      </c>
      <c r="BF38" s="52">
        <v>0.4</v>
      </c>
      <c r="BG38" s="52">
        <v>2</v>
      </c>
      <c r="BH38" s="52">
        <v>0.4</v>
      </c>
      <c r="BI38" s="52">
        <v>1.2</v>
      </c>
      <c r="BJ38" s="52">
        <v>0.17</v>
      </c>
      <c r="BK38" s="52">
        <v>1.2</v>
      </c>
      <c r="BL38" s="52">
        <v>0.21</v>
      </c>
      <c r="BM38" s="52">
        <v>5</v>
      </c>
      <c r="BN38" s="52">
        <v>0.3</v>
      </c>
      <c r="BO38" s="52">
        <v>2</v>
      </c>
      <c r="BP38" s="52">
        <v>0.5</v>
      </c>
      <c r="BQ38" s="52">
        <v>23</v>
      </c>
      <c r="BR38" s="52">
        <v>22.3</v>
      </c>
      <c r="BS38" s="52">
        <v>1.3</v>
      </c>
      <c r="BT38" s="53">
        <f t="shared" si="5"/>
        <v>0.74660633484162897</v>
      </c>
      <c r="BU38" s="280">
        <f t="shared" si="6"/>
        <v>285.99999999999994</v>
      </c>
      <c r="BV38" s="54">
        <f t="shared" si="7"/>
        <v>550</v>
      </c>
      <c r="BW38" s="71">
        <f t="shared" si="8"/>
        <v>77.604673807205458</v>
      </c>
      <c r="BX38" s="69">
        <f t="shared" si="13"/>
        <v>0.74660633484162897</v>
      </c>
      <c r="BY38" s="53">
        <v>10.16</v>
      </c>
      <c r="BZ38" s="53">
        <v>0.89</v>
      </c>
      <c r="CA38" s="53">
        <v>37.92</v>
      </c>
      <c r="CB38" s="53">
        <v>9.0619999999999994</v>
      </c>
      <c r="CC38" s="53">
        <v>0.78800000000000003</v>
      </c>
      <c r="CD38" s="53">
        <v>0</v>
      </c>
      <c r="CE38" s="53">
        <v>0</v>
      </c>
      <c r="CF38" s="53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23.41</v>
      </c>
      <c r="CL38" s="53">
        <v>0</v>
      </c>
      <c r="CM38" s="53">
        <v>0</v>
      </c>
      <c r="CN38" s="53">
        <v>0</v>
      </c>
      <c r="CO38" s="53">
        <v>13.06</v>
      </c>
      <c r="CP38" s="53">
        <v>4.71</v>
      </c>
      <c r="CQ38" s="53">
        <v>0</v>
      </c>
      <c r="CR38" s="53">
        <v>0</v>
      </c>
      <c r="CS38" s="53">
        <v>0</v>
      </c>
      <c r="CT38" s="53">
        <v>0</v>
      </c>
      <c r="CU38" s="53">
        <v>0</v>
      </c>
      <c r="CV38" s="53">
        <v>0</v>
      </c>
      <c r="CW38" s="53">
        <v>0</v>
      </c>
      <c r="CX38" s="53">
        <v>0</v>
      </c>
      <c r="CY38" s="280">
        <v>99.999999999999986</v>
      </c>
      <c r="CZ38" s="284">
        <v>0.4263069139966274</v>
      </c>
      <c r="DA38" s="284">
        <v>0.10187745924676786</v>
      </c>
      <c r="DB38" s="284">
        <v>8.8589094997189449E-3</v>
      </c>
      <c r="DC38" s="284">
        <v>0</v>
      </c>
      <c r="DD38" s="284">
        <v>0</v>
      </c>
      <c r="DE38" s="284">
        <v>0</v>
      </c>
      <c r="DF38" s="284">
        <v>0</v>
      </c>
      <c r="DG38" s="284">
        <v>0</v>
      </c>
      <c r="DH38" s="284">
        <v>0</v>
      </c>
      <c r="DI38" s="284">
        <v>0</v>
      </c>
      <c r="DJ38" s="284">
        <v>0.26318156267566051</v>
      </c>
      <c r="DK38" s="284">
        <v>0</v>
      </c>
      <c r="DL38" s="284">
        <v>0</v>
      </c>
      <c r="DM38" s="284">
        <v>0</v>
      </c>
      <c r="DN38" s="284">
        <v>0.14682405845980889</v>
      </c>
      <c r="DO38" s="284">
        <v>5.2951096121416533E-2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v>0</v>
      </c>
      <c r="DV38" s="284">
        <v>0</v>
      </c>
      <c r="DW38" s="284">
        <v>0</v>
      </c>
      <c r="DX38" s="53">
        <v>1.0000000000000002</v>
      </c>
      <c r="DY38" s="71">
        <v>70.824705584805642</v>
      </c>
      <c r="DZ38" s="71">
        <v>17.187980320193954</v>
      </c>
      <c r="EA38" s="71">
        <v>0.40486335278306851</v>
      </c>
      <c r="EB38" s="71">
        <v>2.5222747582661151</v>
      </c>
      <c r="EC38" s="71">
        <v>0</v>
      </c>
      <c r="ED38" s="71">
        <v>0.94561754026464884</v>
      </c>
      <c r="EE38" s="71">
        <v>2.0228196033059219E-2</v>
      </c>
      <c r="EF38" s="71">
        <v>0.10473337862750927</v>
      </c>
      <c r="EG38" s="71">
        <v>3.1374878190211217</v>
      </c>
      <c r="EH38" s="71">
        <v>0.31703273107913527</v>
      </c>
      <c r="EI38" s="71">
        <v>0</v>
      </c>
      <c r="EJ38" s="71">
        <v>4.5350763189257597</v>
      </c>
      <c r="EK38" s="71">
        <v>0</v>
      </c>
      <c r="EL38" s="71">
        <v>100.00000000000003</v>
      </c>
      <c r="EM38" s="53">
        <v>84.047037449447259</v>
      </c>
      <c r="EN38" s="53" t="s">
        <v>97</v>
      </c>
      <c r="EO38" s="288">
        <v>3.1541428392931344E-2</v>
      </c>
      <c r="EP38" s="257">
        <f t="shared" si="14"/>
        <v>3.1541428392931343</v>
      </c>
      <c r="EQ38" s="257">
        <f t="shared" si="15"/>
        <v>45.874975504605132</v>
      </c>
      <c r="ER38" s="324">
        <f t="shared" si="16"/>
        <v>2.3457419683834781E-2</v>
      </c>
      <c r="ES38" s="257">
        <f t="shared" si="9"/>
        <v>0.74660633484162897</v>
      </c>
      <c r="ET38">
        <f t="shared" si="10"/>
        <v>550</v>
      </c>
      <c r="EU38" s="324">
        <f t="shared" si="17"/>
        <v>3.1418725758348399E-2</v>
      </c>
      <c r="EV38" s="39">
        <f t="shared" si="18"/>
        <v>143.6</v>
      </c>
      <c r="EW38"/>
      <c r="EX38">
        <f t="shared" si="19"/>
        <v>27.5</v>
      </c>
      <c r="EY38"/>
      <c r="EZ38"/>
      <c r="FA38"/>
      <c r="FB38"/>
      <c r="FC38"/>
      <c r="FD38"/>
    </row>
    <row r="39" spans="1:160" s="54" customFormat="1" ht="13" customHeight="1" x14ac:dyDescent="0.2">
      <c r="A39" s="49" t="s">
        <v>98</v>
      </c>
      <c r="B39" s="50" t="s">
        <v>461</v>
      </c>
      <c r="C39" s="275">
        <f>149.1-F39/100</f>
        <v>142.6</v>
      </c>
      <c r="D39" s="51">
        <v>600</v>
      </c>
      <c r="E39" s="51">
        <v>700</v>
      </c>
      <c r="F39" s="51">
        <f t="shared" si="4"/>
        <v>650</v>
      </c>
      <c r="G39" s="83" t="s">
        <v>516</v>
      </c>
      <c r="H39" s="84">
        <v>10</v>
      </c>
      <c r="I39" s="85">
        <v>5</v>
      </c>
      <c r="J39" s="85">
        <v>4</v>
      </c>
      <c r="K39" s="89">
        <f t="shared" si="21"/>
        <v>12.5</v>
      </c>
      <c r="L39" s="51">
        <v>146</v>
      </c>
      <c r="M39" s="51">
        <v>116</v>
      </c>
      <c r="N39" s="51">
        <v>79</v>
      </c>
      <c r="O39" s="52">
        <v>70.25</v>
      </c>
      <c r="P39" s="52">
        <v>15.82</v>
      </c>
      <c r="Q39" s="52">
        <v>3.29</v>
      </c>
      <c r="R39" s="52">
        <v>5.8000000000000003E-2</v>
      </c>
      <c r="S39" s="52">
        <v>0.59</v>
      </c>
      <c r="T39" s="52">
        <v>0.19</v>
      </c>
      <c r="U39" s="52">
        <v>0.44</v>
      </c>
      <c r="V39" s="52">
        <v>5.61</v>
      </c>
      <c r="W39" s="52">
        <v>0.29499999999999998</v>
      </c>
      <c r="X39" s="52">
        <v>0.01</v>
      </c>
      <c r="Y39" s="52">
        <v>3.87</v>
      </c>
      <c r="Z39" s="52">
        <v>100.4</v>
      </c>
      <c r="AA39" s="52">
        <v>7</v>
      </c>
      <c r="AB39" s="52">
        <v>2</v>
      </c>
      <c r="AC39" s="52">
        <v>45</v>
      </c>
      <c r="AD39" s="52">
        <v>0</v>
      </c>
      <c r="AE39" s="52">
        <v>6</v>
      </c>
      <c r="AF39" s="52">
        <v>0</v>
      </c>
      <c r="AG39" s="52">
        <v>30</v>
      </c>
      <c r="AH39" s="52">
        <v>50</v>
      </c>
      <c r="AI39" s="52">
        <v>18</v>
      </c>
      <c r="AJ39" s="52">
        <v>1</v>
      </c>
      <c r="AK39" s="52">
        <v>0</v>
      </c>
      <c r="AL39" s="52">
        <v>154</v>
      </c>
      <c r="AM39" s="52">
        <v>127</v>
      </c>
      <c r="AN39" s="52">
        <v>8</v>
      </c>
      <c r="AO39" s="52">
        <v>178</v>
      </c>
      <c r="AP39" s="52">
        <v>4</v>
      </c>
      <c r="AQ39" s="52" t="s">
        <v>72</v>
      </c>
      <c r="AR39" s="52" t="s">
        <v>74</v>
      </c>
      <c r="AS39" s="52" t="s">
        <v>73</v>
      </c>
      <c r="AT39" s="52">
        <v>1</v>
      </c>
      <c r="AU39" s="52" t="s">
        <v>74</v>
      </c>
      <c r="AV39" s="52">
        <v>1.7</v>
      </c>
      <c r="AW39" s="52">
        <v>739</v>
      </c>
      <c r="AX39" s="52" t="s">
        <v>75</v>
      </c>
      <c r="AY39" s="52">
        <v>54.2</v>
      </c>
      <c r="AZ39" s="52">
        <v>148</v>
      </c>
      <c r="BA39" s="52">
        <v>11.2</v>
      </c>
      <c r="BB39" s="52">
        <v>35</v>
      </c>
      <c r="BC39" s="52">
        <v>4.5999999999999996</v>
      </c>
      <c r="BD39" s="52">
        <v>0.85</v>
      </c>
      <c r="BE39" s="52">
        <v>2.4</v>
      </c>
      <c r="BF39" s="52">
        <v>0.3</v>
      </c>
      <c r="BG39" s="52">
        <v>1.7</v>
      </c>
      <c r="BH39" s="52">
        <v>0.3</v>
      </c>
      <c r="BI39" s="52">
        <v>1</v>
      </c>
      <c r="BJ39" s="52">
        <v>0.16</v>
      </c>
      <c r="BK39" s="52">
        <v>1</v>
      </c>
      <c r="BL39" s="52">
        <v>0.18</v>
      </c>
      <c r="BM39" s="52">
        <v>4.4000000000000004</v>
      </c>
      <c r="BN39" s="52">
        <v>0.3</v>
      </c>
      <c r="BO39" s="52">
        <v>0</v>
      </c>
      <c r="BP39" s="52">
        <v>0.6</v>
      </c>
      <c r="BQ39" s="52">
        <v>26</v>
      </c>
      <c r="BR39" s="52">
        <v>20.100000000000001</v>
      </c>
      <c r="BS39" s="52">
        <v>1.4</v>
      </c>
      <c r="BT39" s="53">
        <f t="shared" si="5"/>
        <v>0.73194856577645895</v>
      </c>
      <c r="BU39" s="280">
        <f t="shared" si="6"/>
        <v>260.89</v>
      </c>
      <c r="BV39" s="54">
        <f t="shared" si="7"/>
        <v>650</v>
      </c>
      <c r="BW39" s="71">
        <f t="shared" si="8"/>
        <v>71.713508612873966</v>
      </c>
      <c r="BX39" s="69">
        <f t="shared" si="13"/>
        <v>0.73194856577645895</v>
      </c>
      <c r="BY39" s="53">
        <v>9.31</v>
      </c>
      <c r="BZ39" s="53">
        <v>0.51</v>
      </c>
      <c r="CA39" s="53">
        <v>38.81</v>
      </c>
      <c r="CB39" s="53">
        <v>19.439599999999999</v>
      </c>
      <c r="CC39" s="53">
        <v>1.6903999999999999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16.510000000000002</v>
      </c>
      <c r="CL39" s="53">
        <v>0</v>
      </c>
      <c r="CM39" s="53">
        <v>0</v>
      </c>
      <c r="CN39" s="53">
        <v>0</v>
      </c>
      <c r="CO39" s="53">
        <v>5.24</v>
      </c>
      <c r="CP39" s="53">
        <v>8.48</v>
      </c>
      <c r="CQ39" s="53">
        <v>0</v>
      </c>
      <c r="CR39" s="53">
        <v>0</v>
      </c>
      <c r="CS39" s="53">
        <v>0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280">
        <v>99.990000000000009</v>
      </c>
      <c r="CZ39" s="284">
        <v>0.43040922701563716</v>
      </c>
      <c r="DA39" s="284">
        <v>0.21558833314849726</v>
      </c>
      <c r="DB39" s="284">
        <v>1.8746811578130199E-2</v>
      </c>
      <c r="DC39" s="284">
        <v>0</v>
      </c>
      <c r="DD39" s="284">
        <v>0</v>
      </c>
      <c r="DE39" s="284">
        <v>0</v>
      </c>
      <c r="DF39" s="284">
        <v>0</v>
      </c>
      <c r="DG39" s="284">
        <v>0</v>
      </c>
      <c r="DH39" s="284">
        <v>0</v>
      </c>
      <c r="DI39" s="284">
        <v>0</v>
      </c>
      <c r="DJ39" s="284">
        <v>0.18309859154929578</v>
      </c>
      <c r="DK39" s="284">
        <v>0</v>
      </c>
      <c r="DL39" s="284">
        <v>0</v>
      </c>
      <c r="DM39" s="284">
        <v>0</v>
      </c>
      <c r="DN39" s="284">
        <v>5.8112454253077518E-2</v>
      </c>
      <c r="DO39" s="284">
        <v>9.4044582455362097E-2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v>0</v>
      </c>
      <c r="DV39" s="284">
        <v>0</v>
      </c>
      <c r="DW39" s="284">
        <v>0</v>
      </c>
      <c r="DX39" s="53">
        <v>1</v>
      </c>
      <c r="DY39" s="71">
        <v>74.036366804202189</v>
      </c>
      <c r="DZ39" s="71">
        <v>15.173517712803275</v>
      </c>
      <c r="EA39" s="71">
        <v>0.28166832399221542</v>
      </c>
      <c r="EB39" s="71">
        <v>1.3263255578580964</v>
      </c>
      <c r="EC39" s="71">
        <v>0</v>
      </c>
      <c r="ED39" s="71">
        <v>0.55585350803844225</v>
      </c>
      <c r="EE39" s="71">
        <v>8.006249990121464E-3</v>
      </c>
      <c r="EF39" s="71">
        <v>0.22163189669486696</v>
      </c>
      <c r="EG39" s="71">
        <v>5.0568513117051763</v>
      </c>
      <c r="EH39" s="71">
        <v>0.12548045786792958</v>
      </c>
      <c r="EI39" s="71">
        <v>0</v>
      </c>
      <c r="EJ39" s="71">
        <v>3.2142981768477075</v>
      </c>
      <c r="EK39" s="71">
        <v>0</v>
      </c>
      <c r="EL39" s="71">
        <v>100.00000000000003</v>
      </c>
      <c r="EM39" s="53">
        <v>74.161839660382654</v>
      </c>
      <c r="EN39" s="53" t="s">
        <v>98</v>
      </c>
      <c r="EO39" s="288">
        <v>1.7273631820575407E-2</v>
      </c>
      <c r="EP39" s="257">
        <f t="shared" si="14"/>
        <v>1.7273631820575408</v>
      </c>
      <c r="EQ39" s="257">
        <f t="shared" si="15"/>
        <v>32.145638629283489</v>
      </c>
      <c r="ER39" s="324">
        <f t="shared" si="16"/>
        <v>2.3709902370990237E-2</v>
      </c>
      <c r="ES39" s="257">
        <f t="shared" si="9"/>
        <v>0.73194856577645895</v>
      </c>
      <c r="ET39">
        <f t="shared" si="10"/>
        <v>650</v>
      </c>
      <c r="EU39" s="324">
        <f t="shared" si="17"/>
        <v>3.2392853104150174E-2</v>
      </c>
      <c r="EV39" s="39">
        <f t="shared" si="18"/>
        <v>142.6</v>
      </c>
      <c r="EW39"/>
      <c r="EX39">
        <f t="shared" si="19"/>
        <v>26.666666666666668</v>
      </c>
      <c r="EY39"/>
      <c r="EZ39"/>
      <c r="FA39"/>
      <c r="FB39"/>
      <c r="FC39"/>
      <c r="FD39"/>
    </row>
    <row r="40" spans="1:160" s="54" customFormat="1" ht="13" customHeight="1" x14ac:dyDescent="0.2">
      <c r="A40" s="49" t="s">
        <v>99</v>
      </c>
      <c r="B40" s="50" t="s">
        <v>461</v>
      </c>
      <c r="C40" s="275">
        <f>149.1-F40/100</f>
        <v>141.6</v>
      </c>
      <c r="D40" s="51">
        <v>700</v>
      </c>
      <c r="E40" s="51">
        <v>800</v>
      </c>
      <c r="F40" s="51">
        <f t="shared" si="4"/>
        <v>750</v>
      </c>
      <c r="G40" s="83" t="s">
        <v>516</v>
      </c>
      <c r="H40" s="84">
        <v>10</v>
      </c>
      <c r="I40" s="85">
        <v>5</v>
      </c>
      <c r="J40" s="85">
        <v>4</v>
      </c>
      <c r="K40" s="89">
        <f t="shared" si="21"/>
        <v>12.5</v>
      </c>
      <c r="L40" s="51">
        <v>146</v>
      </c>
      <c r="M40" s="51">
        <v>116</v>
      </c>
      <c r="N40" s="51">
        <v>79</v>
      </c>
      <c r="O40" s="52">
        <v>68.19</v>
      </c>
      <c r="P40" s="52">
        <v>15.9</v>
      </c>
      <c r="Q40" s="52">
        <v>4</v>
      </c>
      <c r="R40" s="52">
        <v>7.6999999999999999E-2</v>
      </c>
      <c r="S40" s="52">
        <v>0.63</v>
      </c>
      <c r="T40" s="52">
        <v>0.31</v>
      </c>
      <c r="U40" s="52">
        <v>0.4</v>
      </c>
      <c r="V40" s="52">
        <v>3.95</v>
      </c>
      <c r="W40" s="52">
        <v>0.31900000000000001</v>
      </c>
      <c r="X40" s="52">
        <v>0</v>
      </c>
      <c r="Y40" s="52">
        <v>5.05</v>
      </c>
      <c r="Z40" s="52">
        <v>98.82</v>
      </c>
      <c r="AA40" s="52">
        <v>10</v>
      </c>
      <c r="AB40" s="52">
        <v>2</v>
      </c>
      <c r="AC40" s="52">
        <v>58</v>
      </c>
      <c r="AD40" s="52">
        <v>0</v>
      </c>
      <c r="AE40" s="52">
        <v>8</v>
      </c>
      <c r="AF40" s="52">
        <v>0</v>
      </c>
      <c r="AG40" s="52">
        <v>40</v>
      </c>
      <c r="AH40" s="52">
        <v>180</v>
      </c>
      <c r="AI40" s="52">
        <v>19</v>
      </c>
      <c r="AJ40" s="52">
        <v>2</v>
      </c>
      <c r="AK40" s="52">
        <v>0</v>
      </c>
      <c r="AL40" s="52">
        <v>129</v>
      </c>
      <c r="AM40" s="52">
        <v>88</v>
      </c>
      <c r="AN40" s="52">
        <v>12</v>
      </c>
      <c r="AO40" s="52">
        <v>158</v>
      </c>
      <c r="AP40" s="52">
        <v>4</v>
      </c>
      <c r="AQ40" s="52" t="s">
        <v>72</v>
      </c>
      <c r="AR40" s="52" t="s">
        <v>74</v>
      </c>
      <c r="AS40" s="52" t="s">
        <v>73</v>
      </c>
      <c r="AT40" s="52">
        <v>2</v>
      </c>
      <c r="AU40" s="52" t="s">
        <v>74</v>
      </c>
      <c r="AV40" s="52">
        <v>1.7</v>
      </c>
      <c r="AW40" s="52">
        <v>653</v>
      </c>
      <c r="AX40" s="52" t="s">
        <v>75</v>
      </c>
      <c r="AY40" s="52">
        <v>54.8</v>
      </c>
      <c r="AZ40" s="52">
        <v>114</v>
      </c>
      <c r="BA40" s="52">
        <v>11.4</v>
      </c>
      <c r="BB40" s="52">
        <v>36.5</v>
      </c>
      <c r="BC40" s="52">
        <v>5.0999999999999996</v>
      </c>
      <c r="BD40" s="52">
        <v>0.96</v>
      </c>
      <c r="BE40" s="52">
        <v>3</v>
      </c>
      <c r="BF40" s="52">
        <v>0.4</v>
      </c>
      <c r="BG40" s="52">
        <v>2.4</v>
      </c>
      <c r="BH40" s="52">
        <v>0.4</v>
      </c>
      <c r="BI40" s="52">
        <v>1.3</v>
      </c>
      <c r="BJ40" s="52">
        <v>0.2</v>
      </c>
      <c r="BK40" s="52">
        <v>1.4</v>
      </c>
      <c r="BL40" s="52">
        <v>0.24</v>
      </c>
      <c r="BM40" s="52">
        <v>4.0999999999999996</v>
      </c>
      <c r="BN40" s="52">
        <v>0.4</v>
      </c>
      <c r="BO40" s="52">
        <v>0</v>
      </c>
      <c r="BP40" s="52">
        <v>0.4</v>
      </c>
      <c r="BQ40" s="52">
        <v>21</v>
      </c>
      <c r="BR40" s="52">
        <v>16.5</v>
      </c>
      <c r="BS40" s="52">
        <v>1.9</v>
      </c>
      <c r="BT40" s="53">
        <f t="shared" si="5"/>
        <v>0.67535545023696675</v>
      </c>
      <c r="BU40" s="280">
        <f t="shared" si="6"/>
        <v>232.10000000000005</v>
      </c>
      <c r="BV40" s="54">
        <f t="shared" si="7"/>
        <v>750</v>
      </c>
      <c r="BW40" s="71">
        <f t="shared" si="8"/>
        <v>77.334630350194558</v>
      </c>
      <c r="BX40" s="69">
        <f t="shared" si="13"/>
        <v>0.67535545023696675</v>
      </c>
      <c r="BY40" s="53">
        <v>9.5500000000000007</v>
      </c>
      <c r="BZ40" s="53">
        <v>0.59</v>
      </c>
      <c r="CA40" s="53">
        <v>38.82</v>
      </c>
      <c r="CB40" s="53">
        <v>15.897600000000002</v>
      </c>
      <c r="CC40" s="53">
        <v>2.6124000000000001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20.260000000000002</v>
      </c>
      <c r="CL40" s="53">
        <v>0</v>
      </c>
      <c r="CM40" s="53">
        <v>0</v>
      </c>
      <c r="CN40" s="53">
        <v>0</v>
      </c>
      <c r="CO40" s="53">
        <v>4.09</v>
      </c>
      <c r="CP40" s="53">
        <v>8.17</v>
      </c>
      <c r="CQ40" s="53">
        <v>0</v>
      </c>
      <c r="CR40" s="53">
        <v>0</v>
      </c>
      <c r="CS40" s="53">
        <v>0</v>
      </c>
      <c r="CT40" s="53">
        <v>0</v>
      </c>
      <c r="CU40" s="53">
        <v>0</v>
      </c>
      <c r="CV40" s="53">
        <v>0</v>
      </c>
      <c r="CW40" s="53">
        <v>0</v>
      </c>
      <c r="CX40" s="53">
        <v>0</v>
      </c>
      <c r="CY40" s="280">
        <v>99.990000000000009</v>
      </c>
      <c r="CZ40" s="284">
        <v>0.43205342237061767</v>
      </c>
      <c r="DA40" s="284">
        <v>0.17693489148580968</v>
      </c>
      <c r="DB40" s="284">
        <v>2.9075125208681132E-2</v>
      </c>
      <c r="DC40" s="284">
        <v>0</v>
      </c>
      <c r="DD40" s="284">
        <v>0</v>
      </c>
      <c r="DE40" s="284">
        <v>0</v>
      </c>
      <c r="DF40" s="284">
        <v>0</v>
      </c>
      <c r="DG40" s="284">
        <v>0</v>
      </c>
      <c r="DH40" s="284">
        <v>0</v>
      </c>
      <c r="DI40" s="284">
        <v>0</v>
      </c>
      <c r="DJ40" s="284">
        <v>0.22548692264885919</v>
      </c>
      <c r="DK40" s="284">
        <v>0</v>
      </c>
      <c r="DL40" s="284">
        <v>0</v>
      </c>
      <c r="DM40" s="284">
        <v>0</v>
      </c>
      <c r="DN40" s="284">
        <v>4.5520311630495261E-2</v>
      </c>
      <c r="DO40" s="284">
        <v>9.0929326655536991E-2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v>0</v>
      </c>
      <c r="DV40" s="284">
        <v>0</v>
      </c>
      <c r="DW40" s="284">
        <v>0</v>
      </c>
      <c r="DX40" s="53">
        <v>1</v>
      </c>
      <c r="DY40" s="71">
        <v>73.687842759226797</v>
      </c>
      <c r="DZ40" s="71">
        <v>15.891495218944888</v>
      </c>
      <c r="EA40" s="71">
        <v>0.34687609034702471</v>
      </c>
      <c r="EB40" s="71">
        <v>1.116406535746399</v>
      </c>
      <c r="EC40" s="71">
        <v>0</v>
      </c>
      <c r="ED40" s="71">
        <v>0.47829693688085251</v>
      </c>
      <c r="EE40" s="71">
        <v>6.2714094461546197E-3</v>
      </c>
      <c r="EF40" s="71">
        <v>0.34373712669935846</v>
      </c>
      <c r="EG40" s="71">
        <v>4.2980036800093693</v>
      </c>
      <c r="EH40" s="71">
        <v>9.8290626666879988E-2</v>
      </c>
      <c r="EI40" s="71">
        <v>0</v>
      </c>
      <c r="EJ40" s="71">
        <v>3.7327796160322819</v>
      </c>
      <c r="EK40" s="71">
        <v>0</v>
      </c>
      <c r="EL40" s="71">
        <v>99.999999999999986</v>
      </c>
      <c r="EM40" s="53">
        <v>77.370381296428093</v>
      </c>
      <c r="EN40" s="53" t="s">
        <v>99</v>
      </c>
      <c r="EO40" s="288">
        <v>1.5637592143105998E-2</v>
      </c>
      <c r="EP40" s="257">
        <f t="shared" si="14"/>
        <v>1.5637592143105998</v>
      </c>
      <c r="EQ40" s="257">
        <f t="shared" si="15"/>
        <v>39.702135998432297</v>
      </c>
      <c r="ER40" s="324">
        <f t="shared" si="16"/>
        <v>2.562733582487987E-2</v>
      </c>
      <c r="ES40" s="257">
        <f t="shared" si="9"/>
        <v>0.67535545023696675</v>
      </c>
      <c r="ET40">
        <f t="shared" si="10"/>
        <v>750</v>
      </c>
      <c r="EU40" s="324">
        <f t="shared" si="17"/>
        <v>3.7946441116137916E-2</v>
      </c>
      <c r="EV40" s="39">
        <f t="shared" si="18"/>
        <v>141.6</v>
      </c>
      <c r="EW40"/>
      <c r="EX40">
        <f t="shared" si="19"/>
        <v>30</v>
      </c>
      <c r="EY40"/>
      <c r="EZ40"/>
      <c r="FA40"/>
      <c r="FB40"/>
      <c r="FC40"/>
      <c r="FD40"/>
    </row>
    <row r="41" spans="1:160" s="54" customFormat="1" ht="13" customHeight="1" x14ac:dyDescent="0.2">
      <c r="A41" s="49" t="s">
        <v>100</v>
      </c>
      <c r="B41" s="50" t="s">
        <v>462</v>
      </c>
      <c r="C41" s="275">
        <f>164.2-F41/100</f>
        <v>164.125</v>
      </c>
      <c r="D41" s="51">
        <v>0</v>
      </c>
      <c r="E41" s="51">
        <v>15</v>
      </c>
      <c r="F41" s="51">
        <f t="shared" si="4"/>
        <v>7.5</v>
      </c>
      <c r="G41" s="83" t="s">
        <v>514</v>
      </c>
      <c r="H41" s="84">
        <v>7.5</v>
      </c>
      <c r="I41" s="85">
        <v>4</v>
      </c>
      <c r="J41" s="85">
        <v>4</v>
      </c>
      <c r="K41" s="89">
        <f t="shared" si="21"/>
        <v>7.5</v>
      </c>
      <c r="L41" s="51">
        <v>124</v>
      </c>
      <c r="M41" s="51">
        <v>89</v>
      </c>
      <c r="N41" s="51">
        <v>58</v>
      </c>
      <c r="O41" s="52">
        <v>71.989999999999995</v>
      </c>
      <c r="P41" s="52">
        <v>12.81</v>
      </c>
      <c r="Q41" s="52">
        <v>3.93</v>
      </c>
      <c r="R41" s="52">
        <v>3.6999999999999998E-2</v>
      </c>
      <c r="S41" s="52">
        <v>0.23</v>
      </c>
      <c r="T41" s="52">
        <v>0.08</v>
      </c>
      <c r="U41" s="52">
        <v>0.23</v>
      </c>
      <c r="V41" s="52">
        <v>2.93</v>
      </c>
      <c r="W41" s="52">
        <v>0.41799999999999998</v>
      </c>
      <c r="X41" s="52">
        <v>0</v>
      </c>
      <c r="Y41" s="52">
        <v>6.62</v>
      </c>
      <c r="Z41" s="52">
        <v>99.29</v>
      </c>
      <c r="AA41" s="52">
        <v>9</v>
      </c>
      <c r="AB41" s="52">
        <v>0</v>
      </c>
      <c r="AC41" s="52">
        <v>68</v>
      </c>
      <c r="AD41" s="52">
        <v>0</v>
      </c>
      <c r="AE41" s="52">
        <v>8</v>
      </c>
      <c r="AF41" s="52">
        <v>0</v>
      </c>
      <c r="AG41" s="52">
        <v>30</v>
      </c>
      <c r="AH41" s="52">
        <v>50</v>
      </c>
      <c r="AI41" s="52">
        <v>15</v>
      </c>
      <c r="AJ41" s="52">
        <v>1</v>
      </c>
      <c r="AK41" s="52">
        <v>0</v>
      </c>
      <c r="AL41" s="52">
        <v>81</v>
      </c>
      <c r="AM41" s="52">
        <v>104</v>
      </c>
      <c r="AN41" s="52">
        <v>14</v>
      </c>
      <c r="AO41" s="52">
        <v>431</v>
      </c>
      <c r="AP41" s="52">
        <v>4</v>
      </c>
      <c r="AQ41" s="52" t="s">
        <v>72</v>
      </c>
      <c r="AR41" s="52">
        <v>0.5</v>
      </c>
      <c r="AS41" s="52" t="s">
        <v>73</v>
      </c>
      <c r="AT41" s="52">
        <v>2</v>
      </c>
      <c r="AU41" s="52" t="s">
        <v>74</v>
      </c>
      <c r="AV41" s="52">
        <v>1.7</v>
      </c>
      <c r="AW41" s="52">
        <v>502</v>
      </c>
      <c r="AX41" s="52" t="s">
        <v>75</v>
      </c>
      <c r="AY41" s="52">
        <v>37.799999999999997</v>
      </c>
      <c r="AZ41" s="52">
        <v>139</v>
      </c>
      <c r="BA41" s="52">
        <v>8.2899999999999991</v>
      </c>
      <c r="BB41" s="52">
        <v>27.8</v>
      </c>
      <c r="BC41" s="52">
        <v>4.0999999999999996</v>
      </c>
      <c r="BD41" s="52">
        <v>0.88</v>
      </c>
      <c r="BE41" s="52">
        <v>3</v>
      </c>
      <c r="BF41" s="52">
        <v>0.4</v>
      </c>
      <c r="BG41" s="52">
        <v>2.5</v>
      </c>
      <c r="BH41" s="52">
        <v>0.5</v>
      </c>
      <c r="BI41" s="52">
        <v>1.5</v>
      </c>
      <c r="BJ41" s="52">
        <v>0.24</v>
      </c>
      <c r="BK41" s="52">
        <v>1.6</v>
      </c>
      <c r="BL41" s="52">
        <v>0.27</v>
      </c>
      <c r="BM41" s="52">
        <v>9.6</v>
      </c>
      <c r="BN41" s="52">
        <v>0.6</v>
      </c>
      <c r="BO41" s="52">
        <v>0</v>
      </c>
      <c r="BP41" s="52">
        <v>0.4</v>
      </c>
      <c r="BQ41" s="52">
        <v>23</v>
      </c>
      <c r="BR41" s="52">
        <v>14.1</v>
      </c>
      <c r="BS41" s="52">
        <v>2.6</v>
      </c>
      <c r="BT41" s="53">
        <f t="shared" si="5"/>
        <v>0.78619909502262442</v>
      </c>
      <c r="BU41" s="280">
        <f t="shared" si="6"/>
        <v>227.88000000000002</v>
      </c>
      <c r="BV41" s="54">
        <f t="shared" si="7"/>
        <v>7.5</v>
      </c>
      <c r="BW41" s="71">
        <f t="shared" si="8"/>
        <v>79.813084112149525</v>
      </c>
      <c r="BX41" s="69">
        <f t="shared" si="13"/>
        <v>0.78619909502262442</v>
      </c>
      <c r="BY41" s="53">
        <v>8.73</v>
      </c>
      <c r="BZ41" s="53">
        <v>0.62</v>
      </c>
      <c r="CA41" s="53">
        <v>52.24</v>
      </c>
      <c r="CB41" s="53">
        <v>14.572800000000001</v>
      </c>
      <c r="CC41" s="53">
        <v>1.2672000000000001</v>
      </c>
      <c r="CD41" s="53">
        <v>0</v>
      </c>
      <c r="CE41" s="53">
        <v>0</v>
      </c>
      <c r="CF41" s="53">
        <v>0</v>
      </c>
      <c r="CG41" s="53">
        <v>0</v>
      </c>
      <c r="CH41" s="53">
        <v>1.72</v>
      </c>
      <c r="CI41" s="53">
        <v>0.33</v>
      </c>
      <c r="CJ41" s="53">
        <v>0</v>
      </c>
      <c r="CK41" s="53">
        <v>13.73</v>
      </c>
      <c r="CL41" s="53">
        <v>0</v>
      </c>
      <c r="CM41" s="53">
        <v>0.28000000000000003</v>
      </c>
      <c r="CN41" s="53">
        <v>0</v>
      </c>
      <c r="CO41" s="53">
        <v>1.61</v>
      </c>
      <c r="CP41" s="53">
        <v>4.92</v>
      </c>
      <c r="CQ41" s="53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280">
        <v>100.02000000000001</v>
      </c>
      <c r="CZ41" s="284">
        <v>0.57615528840851427</v>
      </c>
      <c r="DA41" s="284">
        <v>0.16072350281239658</v>
      </c>
      <c r="DB41" s="284">
        <v>1.3975956766295355E-2</v>
      </c>
      <c r="DC41" s="284">
        <v>0</v>
      </c>
      <c r="DD41" s="284">
        <v>0</v>
      </c>
      <c r="DE41" s="284">
        <v>0</v>
      </c>
      <c r="DF41" s="284">
        <v>0</v>
      </c>
      <c r="DG41" s="284">
        <v>1.8969890812837759E-2</v>
      </c>
      <c r="DH41" s="284">
        <v>3.639572074556082E-3</v>
      </c>
      <c r="DI41" s="284">
        <v>0</v>
      </c>
      <c r="DJ41" s="284">
        <v>0.15142825631410609</v>
      </c>
      <c r="DK41" s="284">
        <v>0</v>
      </c>
      <c r="DL41" s="284">
        <v>3.088121760229403E-3</v>
      </c>
      <c r="DM41" s="284">
        <v>0</v>
      </c>
      <c r="DN41" s="284">
        <v>1.7756700121319066E-2</v>
      </c>
      <c r="DO41" s="284">
        <v>5.4262710929745217E-2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v>0</v>
      </c>
      <c r="DV41" s="284">
        <v>0</v>
      </c>
      <c r="DW41" s="284">
        <v>0</v>
      </c>
      <c r="DX41" s="53">
        <v>0.99999999999999978</v>
      </c>
      <c r="DY41" s="71">
        <v>79.658829027426819</v>
      </c>
      <c r="DZ41" s="71">
        <v>11.306816393713536</v>
      </c>
      <c r="EA41" s="71">
        <v>1.8308808636327965</v>
      </c>
      <c r="EB41" s="71">
        <v>0.51983418900567835</v>
      </c>
      <c r="EC41" s="71">
        <v>0</v>
      </c>
      <c r="ED41" s="71">
        <v>0.23834583298264481</v>
      </c>
      <c r="EE41" s="71">
        <v>5.2741860329613552E-3</v>
      </c>
      <c r="EF41" s="71">
        <v>0.165229046727766</v>
      </c>
      <c r="EG41" s="71">
        <v>3.4590534184586788</v>
      </c>
      <c r="EH41" s="71">
        <v>3.8341503384855584E-2</v>
      </c>
      <c r="EI41" s="71">
        <v>0</v>
      </c>
      <c r="EJ41" s="71">
        <v>2.7773955386342468</v>
      </c>
      <c r="EK41" s="71">
        <v>0</v>
      </c>
      <c r="EL41" s="71">
        <v>99.999999999999986</v>
      </c>
      <c r="EM41" s="53">
        <v>75.699879480107754</v>
      </c>
      <c r="EN41" s="53" t="s">
        <v>100</v>
      </c>
      <c r="EO41" s="288">
        <v>2.397500129648986E-2</v>
      </c>
      <c r="EP41" s="257">
        <f t="shared" si="14"/>
        <v>2.3975001296489862</v>
      </c>
      <c r="EQ41" s="257">
        <f t="shared" si="15"/>
        <v>41.363040629095671</v>
      </c>
      <c r="ER41" s="324">
        <f t="shared" si="16"/>
        <v>3.0683403068340307E-2</v>
      </c>
      <c r="ES41" s="257">
        <f t="shared" si="9"/>
        <v>0.78619909502262442</v>
      </c>
      <c r="ET41">
        <f t="shared" si="10"/>
        <v>7.5</v>
      </c>
      <c r="EU41" s="324">
        <f t="shared" si="17"/>
        <v>3.9027522751673142E-2</v>
      </c>
      <c r="EV41" s="39">
        <f t="shared" si="18"/>
        <v>164.125</v>
      </c>
      <c r="EW41"/>
      <c r="EX41">
        <f t="shared" si="19"/>
        <v>28</v>
      </c>
      <c r="EY41"/>
      <c r="EZ41"/>
      <c r="FA41"/>
      <c r="FB41"/>
      <c r="FC41"/>
      <c r="FD41"/>
    </row>
    <row r="42" spans="1:160" s="54" customFormat="1" ht="13" customHeight="1" x14ac:dyDescent="0.2">
      <c r="A42" s="49" t="s">
        <v>101</v>
      </c>
      <c r="B42" s="50" t="s">
        <v>462</v>
      </c>
      <c r="C42" s="275">
        <f t="shared" ref="C42:C53" si="23">164.2-F42/100</f>
        <v>163.85</v>
      </c>
      <c r="D42" s="51">
        <v>15</v>
      </c>
      <c r="E42" s="51">
        <v>55</v>
      </c>
      <c r="F42" s="51">
        <f t="shared" si="4"/>
        <v>35</v>
      </c>
      <c r="G42" s="83" t="s">
        <v>507</v>
      </c>
      <c r="H42" s="84">
        <v>2.5</v>
      </c>
      <c r="I42" s="85">
        <v>4</v>
      </c>
      <c r="J42" s="85">
        <v>6</v>
      </c>
      <c r="K42" s="89">
        <f t="shared" si="21"/>
        <v>1.6666666666666667</v>
      </c>
      <c r="L42" s="51">
        <v>140</v>
      </c>
      <c r="M42" s="51">
        <v>81</v>
      </c>
      <c r="N42" s="51">
        <v>54</v>
      </c>
      <c r="O42" s="52">
        <v>54.69</v>
      </c>
      <c r="P42" s="52">
        <v>22.09</v>
      </c>
      <c r="Q42" s="52">
        <v>8.4499999999999993</v>
      </c>
      <c r="R42" s="52">
        <v>4.1000000000000002E-2</v>
      </c>
      <c r="S42" s="52">
        <v>0.56000000000000005</v>
      </c>
      <c r="T42" s="52">
        <v>7.0000000000000007E-2</v>
      </c>
      <c r="U42" s="52">
        <v>0.06</v>
      </c>
      <c r="V42" s="52">
        <v>1.1000000000000001</v>
      </c>
      <c r="W42" s="52">
        <v>0.65100000000000002</v>
      </c>
      <c r="X42" s="52">
        <v>0.04</v>
      </c>
      <c r="Y42" s="52">
        <v>11.03</v>
      </c>
      <c r="Z42" s="52">
        <v>98.78</v>
      </c>
      <c r="AA42" s="52">
        <v>22</v>
      </c>
      <c r="AB42" s="52">
        <v>2</v>
      </c>
      <c r="AC42" s="52">
        <v>159</v>
      </c>
      <c r="AD42" s="52">
        <v>0</v>
      </c>
      <c r="AE42" s="52">
        <v>11</v>
      </c>
      <c r="AF42" s="52">
        <v>0</v>
      </c>
      <c r="AG42" s="52">
        <v>40</v>
      </c>
      <c r="AH42" s="52">
        <v>70</v>
      </c>
      <c r="AI42" s="52">
        <v>28</v>
      </c>
      <c r="AJ42" s="52">
        <v>2</v>
      </c>
      <c r="AK42" s="52">
        <v>0</v>
      </c>
      <c r="AL42" s="52">
        <v>73</v>
      </c>
      <c r="AM42" s="52">
        <v>26</v>
      </c>
      <c r="AN42" s="52">
        <v>16</v>
      </c>
      <c r="AO42" s="52">
        <v>168</v>
      </c>
      <c r="AP42" s="52">
        <v>7</v>
      </c>
      <c r="AQ42" s="52" t="s">
        <v>72</v>
      </c>
      <c r="AR42" s="52" t="s">
        <v>74</v>
      </c>
      <c r="AS42" s="52" t="s">
        <v>73</v>
      </c>
      <c r="AT42" s="52">
        <v>2</v>
      </c>
      <c r="AU42" s="52" t="s">
        <v>74</v>
      </c>
      <c r="AV42" s="52">
        <v>2.8</v>
      </c>
      <c r="AW42" s="52">
        <v>193</v>
      </c>
      <c r="AX42" s="52" t="s">
        <v>75</v>
      </c>
      <c r="AY42" s="52">
        <v>57.4</v>
      </c>
      <c r="AZ42" s="52">
        <v>147</v>
      </c>
      <c r="BA42" s="52">
        <v>12.1</v>
      </c>
      <c r="BB42" s="52">
        <v>39.799999999999997</v>
      </c>
      <c r="BC42" s="52">
        <v>5.4</v>
      </c>
      <c r="BD42" s="52">
        <v>1.1100000000000001</v>
      </c>
      <c r="BE42" s="52">
        <v>3.5</v>
      </c>
      <c r="BF42" s="52">
        <v>0.5</v>
      </c>
      <c r="BG42" s="52">
        <v>3</v>
      </c>
      <c r="BH42" s="52">
        <v>0.6</v>
      </c>
      <c r="BI42" s="52">
        <v>1.7</v>
      </c>
      <c r="BJ42" s="52">
        <v>0.26</v>
      </c>
      <c r="BK42" s="52">
        <v>1.7</v>
      </c>
      <c r="BL42" s="52">
        <v>0.28999999999999998</v>
      </c>
      <c r="BM42" s="52">
        <v>4.5</v>
      </c>
      <c r="BN42" s="52">
        <v>0.5</v>
      </c>
      <c r="BO42" s="52">
        <v>1</v>
      </c>
      <c r="BP42" s="52">
        <v>0.4</v>
      </c>
      <c r="BQ42" s="52">
        <v>21</v>
      </c>
      <c r="BR42" s="52">
        <v>24.4</v>
      </c>
      <c r="BS42" s="52">
        <v>2.7</v>
      </c>
      <c r="BT42" s="53">
        <f t="shared" si="5"/>
        <v>0.71917808219178081</v>
      </c>
      <c r="BU42" s="280">
        <f t="shared" si="6"/>
        <v>274.36</v>
      </c>
      <c r="BV42" s="54">
        <f t="shared" si="7"/>
        <v>35</v>
      </c>
      <c r="BW42" s="71">
        <f t="shared" si="8"/>
        <v>94.725557461406524</v>
      </c>
      <c r="BX42" s="69">
        <f t="shared" si="13"/>
        <v>0.71917808219178081</v>
      </c>
      <c r="BY42" s="53">
        <v>9.9700000000000006</v>
      </c>
      <c r="BZ42" s="53">
        <v>1.02</v>
      </c>
      <c r="CA42" s="53">
        <v>29.69</v>
      </c>
      <c r="CB42" s="53">
        <v>2.8980000000000001</v>
      </c>
      <c r="CC42" s="53">
        <v>0.252</v>
      </c>
      <c r="CD42" s="53">
        <v>0</v>
      </c>
      <c r="CE42" s="53">
        <v>0</v>
      </c>
      <c r="CF42" s="53">
        <v>0</v>
      </c>
      <c r="CG42" s="53">
        <v>0</v>
      </c>
      <c r="CH42" s="53">
        <v>3.99</v>
      </c>
      <c r="CI42" s="53">
        <v>2.23</v>
      </c>
      <c r="CJ42" s="53">
        <v>0</v>
      </c>
      <c r="CK42" s="53">
        <v>37.159999999999997</v>
      </c>
      <c r="CL42" s="53">
        <v>0</v>
      </c>
      <c r="CM42" s="53">
        <v>5.39</v>
      </c>
      <c r="CN42" s="53">
        <v>0</v>
      </c>
      <c r="CO42" s="53">
        <v>5.6</v>
      </c>
      <c r="CP42" s="53">
        <v>1.81</v>
      </c>
      <c r="CQ42" s="53">
        <v>0</v>
      </c>
      <c r="CR42" s="53">
        <v>0</v>
      </c>
      <c r="CS42" s="53">
        <v>0</v>
      </c>
      <c r="CT42" s="53">
        <v>0</v>
      </c>
      <c r="CU42" s="53">
        <v>0</v>
      </c>
      <c r="CV42" s="53">
        <v>0</v>
      </c>
      <c r="CW42" s="53">
        <v>0</v>
      </c>
      <c r="CX42" s="53">
        <v>0</v>
      </c>
      <c r="CY42" s="280">
        <v>100.01</v>
      </c>
      <c r="CZ42" s="284">
        <v>0.33352055717816226</v>
      </c>
      <c r="DA42" s="284">
        <v>3.2554482138845209E-2</v>
      </c>
      <c r="DB42" s="284">
        <v>2.8308245338126265E-3</v>
      </c>
      <c r="DC42" s="284">
        <v>0</v>
      </c>
      <c r="DD42" s="284">
        <v>0</v>
      </c>
      <c r="DE42" s="284">
        <v>0</v>
      </c>
      <c r="DF42" s="284">
        <v>0</v>
      </c>
      <c r="DG42" s="284">
        <v>4.4821388452033255E-2</v>
      </c>
      <c r="DH42" s="284">
        <v>2.5050550438103798E-2</v>
      </c>
      <c r="DI42" s="284">
        <v>0</v>
      </c>
      <c r="DJ42" s="284">
        <v>0.41743428443046504</v>
      </c>
      <c r="DK42" s="284">
        <v>0</v>
      </c>
      <c r="DL42" s="284">
        <v>6.054819141765895E-2</v>
      </c>
      <c r="DM42" s="284">
        <v>0</v>
      </c>
      <c r="DN42" s="284">
        <v>6.290721186250281E-2</v>
      </c>
      <c r="DO42" s="284">
        <v>2.0332509548416089E-2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v>0</v>
      </c>
      <c r="DV42" s="284">
        <v>0</v>
      </c>
      <c r="DW42" s="284">
        <v>0</v>
      </c>
      <c r="DX42" s="53">
        <v>1</v>
      </c>
      <c r="DY42" s="71">
        <v>61.02911501923991</v>
      </c>
      <c r="DZ42" s="71">
        <v>23.035251393207592</v>
      </c>
      <c r="EA42" s="71">
        <v>4.6259893375637233</v>
      </c>
      <c r="EB42" s="71">
        <v>1.0701088853671046</v>
      </c>
      <c r="EC42" s="71">
        <v>0</v>
      </c>
      <c r="ED42" s="71">
        <v>0.49891461810477983</v>
      </c>
      <c r="EE42" s="71">
        <v>6.4111255151765301E-2</v>
      </c>
      <c r="EF42" s="71">
        <v>3.3467078282857089E-2</v>
      </c>
      <c r="EG42" s="71">
        <v>1.3677491959629424</v>
      </c>
      <c r="EH42" s="71">
        <v>0.1358336323798211</v>
      </c>
      <c r="EI42" s="71">
        <v>0</v>
      </c>
      <c r="EJ42" s="71">
        <v>8.139459584739523</v>
      </c>
      <c r="EK42" s="71">
        <v>0</v>
      </c>
      <c r="EL42" s="71">
        <v>100.00000000000003</v>
      </c>
      <c r="EM42" s="53">
        <v>94.019212631561132</v>
      </c>
      <c r="EN42" s="53" t="s">
        <v>101</v>
      </c>
      <c r="EO42" s="288">
        <v>5.7924080226138673E-2</v>
      </c>
      <c r="EP42" s="257">
        <f t="shared" si="14"/>
        <v>5.7924080226138672</v>
      </c>
      <c r="EQ42" s="257">
        <f t="shared" si="15"/>
        <v>80.42269187986652</v>
      </c>
      <c r="ER42" s="324">
        <f t="shared" si="16"/>
        <v>2.7132730383769253E-2</v>
      </c>
      <c r="ES42" s="257">
        <f t="shared" si="9"/>
        <v>0.71917808219178081</v>
      </c>
      <c r="ET42">
        <f t="shared" si="10"/>
        <v>35</v>
      </c>
      <c r="EU42" s="324">
        <f t="shared" si="17"/>
        <v>3.7727415581241056E-2</v>
      </c>
      <c r="EV42" s="39">
        <f t="shared" si="18"/>
        <v>163.85</v>
      </c>
      <c r="EW42"/>
      <c r="EX42">
        <f t="shared" si="19"/>
        <v>26.666666666666668</v>
      </c>
      <c r="EY42"/>
      <c r="EZ42"/>
      <c r="FA42"/>
      <c r="FB42"/>
      <c r="FC42"/>
      <c r="FD42"/>
    </row>
    <row r="43" spans="1:160" s="54" customFormat="1" ht="13" customHeight="1" x14ac:dyDescent="0.2">
      <c r="A43" s="49" t="s">
        <v>102</v>
      </c>
      <c r="B43" s="50" t="s">
        <v>462</v>
      </c>
      <c r="C43" s="275">
        <f t="shared" si="23"/>
        <v>163.54</v>
      </c>
      <c r="D43" s="51">
        <v>55</v>
      </c>
      <c r="E43" s="51">
        <v>77</v>
      </c>
      <c r="F43" s="51">
        <f t="shared" si="4"/>
        <v>66</v>
      </c>
      <c r="G43" s="83" t="s">
        <v>507</v>
      </c>
      <c r="H43" s="84">
        <v>2.5</v>
      </c>
      <c r="I43" s="85">
        <v>4</v>
      </c>
      <c r="J43" s="85">
        <v>6</v>
      </c>
      <c r="K43" s="89">
        <f t="shared" si="21"/>
        <v>1.6666666666666667</v>
      </c>
      <c r="L43" s="51">
        <v>140</v>
      </c>
      <c r="M43" s="51">
        <v>81</v>
      </c>
      <c r="N43" s="51">
        <v>54</v>
      </c>
      <c r="O43" s="52">
        <v>61.27</v>
      </c>
      <c r="P43" s="52">
        <v>19.02</v>
      </c>
      <c r="Q43" s="52">
        <v>6.16</v>
      </c>
      <c r="R43" s="52">
        <v>3.5000000000000003E-2</v>
      </c>
      <c r="S43" s="52">
        <v>0.53</v>
      </c>
      <c r="T43" s="52">
        <v>0.04</v>
      </c>
      <c r="U43" s="52">
        <v>0.19</v>
      </c>
      <c r="V43" s="52">
        <v>3.24</v>
      </c>
      <c r="W43" s="52">
        <v>0.54200000000000004</v>
      </c>
      <c r="X43" s="52">
        <v>0.02</v>
      </c>
      <c r="Y43" s="52">
        <v>7.79</v>
      </c>
      <c r="Z43" s="52">
        <v>98.83</v>
      </c>
      <c r="AA43" s="52">
        <v>16</v>
      </c>
      <c r="AB43" s="52">
        <v>1</v>
      </c>
      <c r="AC43" s="52">
        <v>110</v>
      </c>
      <c r="AD43" s="52">
        <v>0</v>
      </c>
      <c r="AE43" s="52">
        <v>8</v>
      </c>
      <c r="AF43" s="52">
        <v>0</v>
      </c>
      <c r="AG43" s="52">
        <v>30</v>
      </c>
      <c r="AH43" s="52">
        <v>60</v>
      </c>
      <c r="AI43" s="52">
        <v>25</v>
      </c>
      <c r="AJ43" s="52">
        <v>2</v>
      </c>
      <c r="AK43" s="52">
        <v>0</v>
      </c>
      <c r="AL43" s="52">
        <v>116</v>
      </c>
      <c r="AM43" s="52">
        <v>89</v>
      </c>
      <c r="AN43" s="52">
        <v>8</v>
      </c>
      <c r="AO43" s="52">
        <v>226</v>
      </c>
      <c r="AP43" s="52">
        <v>8</v>
      </c>
      <c r="AQ43" s="52" t="s">
        <v>72</v>
      </c>
      <c r="AR43" s="52" t="s">
        <v>74</v>
      </c>
      <c r="AS43" s="52" t="s">
        <v>73</v>
      </c>
      <c r="AT43" s="52">
        <v>2</v>
      </c>
      <c r="AU43" s="52" t="s">
        <v>74</v>
      </c>
      <c r="AV43" s="52">
        <v>2.6</v>
      </c>
      <c r="AW43" s="52">
        <v>391</v>
      </c>
      <c r="AX43" s="52" t="s">
        <v>75</v>
      </c>
      <c r="AY43" s="52">
        <v>40.9</v>
      </c>
      <c r="AZ43" s="52">
        <v>188</v>
      </c>
      <c r="BA43" s="52">
        <v>8.69</v>
      </c>
      <c r="BB43" s="52">
        <v>27.9</v>
      </c>
      <c r="BC43" s="52">
        <v>3.8</v>
      </c>
      <c r="BD43" s="52">
        <v>0.71</v>
      </c>
      <c r="BE43" s="52">
        <v>2.1</v>
      </c>
      <c r="BF43" s="52">
        <v>0.3</v>
      </c>
      <c r="BG43" s="52">
        <v>1.6</v>
      </c>
      <c r="BH43" s="52">
        <v>0.3</v>
      </c>
      <c r="BI43" s="52">
        <v>1</v>
      </c>
      <c r="BJ43" s="52">
        <v>0.16</v>
      </c>
      <c r="BK43" s="52">
        <v>1.1000000000000001</v>
      </c>
      <c r="BL43" s="52">
        <v>0.19</v>
      </c>
      <c r="BM43" s="52">
        <v>5.2</v>
      </c>
      <c r="BN43" s="52">
        <v>0.7</v>
      </c>
      <c r="BO43" s="52">
        <v>0</v>
      </c>
      <c r="BP43" s="52">
        <v>0.6</v>
      </c>
      <c r="BQ43" s="52">
        <v>27</v>
      </c>
      <c r="BR43" s="52">
        <v>39.1</v>
      </c>
      <c r="BS43" s="52">
        <v>3</v>
      </c>
      <c r="BT43" s="53">
        <f t="shared" si="5"/>
        <v>0.82131935342944518</v>
      </c>
      <c r="BU43" s="280">
        <f t="shared" si="6"/>
        <v>276.75000000000011</v>
      </c>
      <c r="BV43" s="54">
        <f t="shared" si="7"/>
        <v>66</v>
      </c>
      <c r="BW43" s="71">
        <f t="shared" si="8"/>
        <v>84.570920409070695</v>
      </c>
      <c r="BX43" s="69">
        <f t="shared" si="13"/>
        <v>0.82131935342944518</v>
      </c>
      <c r="BY43" s="53">
        <v>11.66</v>
      </c>
      <c r="BZ43" s="53">
        <v>0.44500000000000001</v>
      </c>
      <c r="CA43" s="53">
        <v>32.17</v>
      </c>
      <c r="CB43" s="53">
        <v>8.160400000000001</v>
      </c>
      <c r="CC43" s="53">
        <v>0.70960000000000012</v>
      </c>
      <c r="CD43" s="53">
        <v>0</v>
      </c>
      <c r="CE43" s="53">
        <v>0</v>
      </c>
      <c r="CF43" s="53">
        <v>0</v>
      </c>
      <c r="CG43" s="53">
        <v>0</v>
      </c>
      <c r="CH43" s="53">
        <v>3.0599999999999996</v>
      </c>
      <c r="CI43" s="53">
        <v>2.0099999999999998</v>
      </c>
      <c r="CJ43" s="53">
        <v>0</v>
      </c>
      <c r="CK43" s="53">
        <v>34.42</v>
      </c>
      <c r="CL43" s="53">
        <v>0</v>
      </c>
      <c r="CM43" s="53">
        <v>0</v>
      </c>
      <c r="CN43" s="53">
        <v>0</v>
      </c>
      <c r="CO43" s="53">
        <v>5.0949999999999998</v>
      </c>
      <c r="CP43" s="53">
        <v>1.7949999999999999</v>
      </c>
      <c r="CQ43" s="53">
        <v>0</v>
      </c>
      <c r="CR43" s="53">
        <v>0</v>
      </c>
      <c r="CS43" s="53">
        <v>0</v>
      </c>
      <c r="CT43" s="53">
        <v>0</v>
      </c>
      <c r="CU43" s="53">
        <v>0</v>
      </c>
      <c r="CV43" s="53">
        <v>0</v>
      </c>
      <c r="CW43" s="53">
        <v>0</v>
      </c>
      <c r="CX43" s="53">
        <v>0</v>
      </c>
      <c r="CY43" s="280">
        <v>99.52500000000002</v>
      </c>
      <c r="CZ43" s="284">
        <v>0.36799359414321664</v>
      </c>
      <c r="DA43" s="284">
        <v>9.3347060169297655E-2</v>
      </c>
      <c r="DB43" s="284">
        <v>8.1171356668954479E-3</v>
      </c>
      <c r="DC43" s="284">
        <v>0</v>
      </c>
      <c r="DD43" s="284">
        <v>0</v>
      </c>
      <c r="DE43" s="284">
        <v>0</v>
      </c>
      <c r="DF43" s="284">
        <v>0</v>
      </c>
      <c r="DG43" s="284">
        <v>3.5003431708991076E-2</v>
      </c>
      <c r="DH43" s="284">
        <v>2.2992450240219627E-2</v>
      </c>
      <c r="DI43" s="284">
        <v>0</v>
      </c>
      <c r="DJ43" s="284">
        <v>0.39373141157629832</v>
      </c>
      <c r="DK43" s="284">
        <v>0</v>
      </c>
      <c r="DL43" s="284">
        <v>0</v>
      </c>
      <c r="DM43" s="284">
        <v>0</v>
      </c>
      <c r="DN43" s="284">
        <v>5.8281857698467165E-2</v>
      </c>
      <c r="DO43" s="284">
        <v>2.0533058796614045E-2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v>0</v>
      </c>
      <c r="DV43" s="284">
        <v>0</v>
      </c>
      <c r="DW43" s="284">
        <v>0</v>
      </c>
      <c r="DX43" s="53">
        <v>1</v>
      </c>
      <c r="DY43" s="71">
        <v>65.093833516873929</v>
      </c>
      <c r="DZ43" s="71">
        <v>20.662945204747928</v>
      </c>
      <c r="EA43" s="71">
        <v>3.5319257678774472</v>
      </c>
      <c r="EB43" s="71">
        <v>0.99903705187526592</v>
      </c>
      <c r="EC43" s="71">
        <v>0</v>
      </c>
      <c r="ED43" s="71">
        <v>0.37415599844092445</v>
      </c>
      <c r="EE43" s="71">
        <v>8.029588986045999E-3</v>
      </c>
      <c r="EF43" s="71">
        <v>9.5963847830118604E-2</v>
      </c>
      <c r="EG43" s="71">
        <v>2.1352234093696913</v>
      </c>
      <c r="EH43" s="71">
        <v>0.12584624558357696</v>
      </c>
      <c r="EI43" s="71">
        <v>0</v>
      </c>
      <c r="EJ43" s="71">
        <v>6.9730393684150824</v>
      </c>
      <c r="EK43" s="71">
        <v>0</v>
      </c>
      <c r="EL43" s="71">
        <v>100</v>
      </c>
      <c r="EM43" s="53">
        <v>90.222683599889393</v>
      </c>
      <c r="EN43" s="53" t="s">
        <v>102</v>
      </c>
      <c r="EO43" s="288">
        <v>4.6208761544214876E-2</v>
      </c>
      <c r="EP43" s="257">
        <f t="shared" si="14"/>
        <v>4.6208761544214871</v>
      </c>
      <c r="EQ43" s="257">
        <f t="shared" si="15"/>
        <v>71.475113122171962</v>
      </c>
      <c r="ER43" s="324">
        <f t="shared" si="16"/>
        <v>2.481649772806711E-2</v>
      </c>
      <c r="ES43" s="257">
        <f t="shared" si="9"/>
        <v>0.82131935342944518</v>
      </c>
      <c r="ET43">
        <f t="shared" si="10"/>
        <v>66</v>
      </c>
      <c r="EU43" s="324">
        <f t="shared" si="17"/>
        <v>3.0215406010396604E-2</v>
      </c>
      <c r="EV43" s="39">
        <f t="shared" si="18"/>
        <v>163.54</v>
      </c>
      <c r="EW43"/>
      <c r="EX43">
        <f t="shared" si="19"/>
        <v>26.666666666666668</v>
      </c>
      <c r="EY43"/>
      <c r="EZ43"/>
      <c r="FA43"/>
      <c r="FB43"/>
      <c r="FC43"/>
      <c r="FD43"/>
    </row>
    <row r="44" spans="1:160" s="54" customFormat="1" ht="13" customHeight="1" x14ac:dyDescent="0.2">
      <c r="A44" s="49" t="s">
        <v>103</v>
      </c>
      <c r="B44" s="50" t="s">
        <v>462</v>
      </c>
      <c r="C44" s="275">
        <f t="shared" si="23"/>
        <v>163.36499999999998</v>
      </c>
      <c r="D44" s="51">
        <v>77</v>
      </c>
      <c r="E44" s="51">
        <v>90</v>
      </c>
      <c r="F44" s="51">
        <f t="shared" si="4"/>
        <v>83.5</v>
      </c>
      <c r="G44" s="83" t="s">
        <v>507</v>
      </c>
      <c r="H44" s="84">
        <v>2.5</v>
      </c>
      <c r="I44" s="85">
        <v>4</v>
      </c>
      <c r="J44" s="85">
        <v>6</v>
      </c>
      <c r="K44" s="89">
        <f t="shared" si="21"/>
        <v>1.6666666666666667</v>
      </c>
      <c r="L44" s="51">
        <v>140</v>
      </c>
      <c r="M44" s="51">
        <v>81</v>
      </c>
      <c r="N44" s="51">
        <v>54</v>
      </c>
      <c r="O44" s="52">
        <v>57.8</v>
      </c>
      <c r="P44" s="52">
        <v>20.53</v>
      </c>
      <c r="Q44" s="52">
        <v>8.1999999999999993</v>
      </c>
      <c r="R44" s="52">
        <v>5.2999999999999999E-2</v>
      </c>
      <c r="S44" s="52">
        <v>1.02</v>
      </c>
      <c r="T44" s="52">
        <v>7.0000000000000007E-2</v>
      </c>
      <c r="U44" s="52">
        <v>0.06</v>
      </c>
      <c r="V44" s="52">
        <v>1.36</v>
      </c>
      <c r="W44" s="52">
        <v>0.64300000000000002</v>
      </c>
      <c r="X44" s="52">
        <v>0.03</v>
      </c>
      <c r="Y44" s="52">
        <v>9.57</v>
      </c>
      <c r="Z44" s="52">
        <v>99.33</v>
      </c>
      <c r="AA44" s="52">
        <v>19</v>
      </c>
      <c r="AB44" s="52">
        <v>2</v>
      </c>
      <c r="AC44" s="52">
        <v>152</v>
      </c>
      <c r="AD44" s="52">
        <v>0</v>
      </c>
      <c r="AE44" s="52">
        <v>11</v>
      </c>
      <c r="AF44" s="52">
        <v>0</v>
      </c>
      <c r="AG44" s="52">
        <v>40</v>
      </c>
      <c r="AH44" s="52">
        <v>80</v>
      </c>
      <c r="AI44" s="52">
        <v>26</v>
      </c>
      <c r="AJ44" s="52">
        <v>2</v>
      </c>
      <c r="AK44" s="52">
        <v>0</v>
      </c>
      <c r="AL44" s="52">
        <v>96</v>
      </c>
      <c r="AM44" s="52">
        <v>18</v>
      </c>
      <c r="AN44" s="52">
        <v>10</v>
      </c>
      <c r="AO44" s="52">
        <v>137</v>
      </c>
      <c r="AP44" s="52">
        <v>6</v>
      </c>
      <c r="AQ44" s="52" t="s">
        <v>72</v>
      </c>
      <c r="AR44" s="52" t="s">
        <v>74</v>
      </c>
      <c r="AS44" s="52" t="s">
        <v>73</v>
      </c>
      <c r="AT44" s="52">
        <v>3</v>
      </c>
      <c r="AU44" s="52" t="s">
        <v>74</v>
      </c>
      <c r="AV44" s="52">
        <v>3</v>
      </c>
      <c r="AW44" s="52">
        <v>139</v>
      </c>
      <c r="AX44" s="52" t="s">
        <v>75</v>
      </c>
      <c r="AY44" s="52">
        <v>60</v>
      </c>
      <c r="AZ44" s="52">
        <v>85.5</v>
      </c>
      <c r="BA44" s="52">
        <v>13.4</v>
      </c>
      <c r="BB44" s="52">
        <v>45</v>
      </c>
      <c r="BC44" s="52">
        <v>5.8</v>
      </c>
      <c r="BD44" s="52">
        <v>1.03</v>
      </c>
      <c r="BE44" s="52">
        <v>3.1</v>
      </c>
      <c r="BF44" s="52">
        <v>0.4</v>
      </c>
      <c r="BG44" s="52">
        <v>2.2000000000000002</v>
      </c>
      <c r="BH44" s="52">
        <v>0.4</v>
      </c>
      <c r="BI44" s="52">
        <v>1.3</v>
      </c>
      <c r="BJ44" s="52">
        <v>0.19</v>
      </c>
      <c r="BK44" s="52">
        <v>1.3</v>
      </c>
      <c r="BL44" s="52">
        <v>0.21</v>
      </c>
      <c r="BM44" s="52">
        <v>3.4</v>
      </c>
      <c r="BN44" s="52">
        <v>0.5</v>
      </c>
      <c r="BO44" s="52">
        <v>0</v>
      </c>
      <c r="BP44" s="52">
        <v>0.5</v>
      </c>
      <c r="BQ44" s="52">
        <v>20</v>
      </c>
      <c r="BR44" s="52">
        <v>24.4</v>
      </c>
      <c r="BS44" s="52">
        <v>2.6</v>
      </c>
      <c r="BT44" s="53">
        <f t="shared" si="5"/>
        <v>0.58762886597938147</v>
      </c>
      <c r="BU44" s="280">
        <f t="shared" si="6"/>
        <v>219.83000000000004</v>
      </c>
      <c r="BV44" s="54">
        <f t="shared" si="7"/>
        <v>83.5</v>
      </c>
      <c r="BW44" s="71">
        <f t="shared" si="8"/>
        <v>93.233424159854678</v>
      </c>
      <c r="BX44" s="69">
        <f t="shared" si="13"/>
        <v>0.58762886597938147</v>
      </c>
      <c r="BY44" s="53">
        <v>11.92</v>
      </c>
      <c r="BZ44" s="53">
        <v>0.64</v>
      </c>
      <c r="CA44" s="53">
        <v>35.995000000000005</v>
      </c>
      <c r="CB44" s="53">
        <v>6.3065999999999995</v>
      </c>
      <c r="CC44" s="53">
        <v>0.5484</v>
      </c>
      <c r="CD44" s="53">
        <v>0</v>
      </c>
      <c r="CE44" s="53">
        <v>0</v>
      </c>
      <c r="CF44" s="53">
        <v>0</v>
      </c>
      <c r="CG44" s="53">
        <v>0</v>
      </c>
      <c r="CH44" s="53">
        <v>2.5299999999999998</v>
      </c>
      <c r="CI44" s="53">
        <v>1.71</v>
      </c>
      <c r="CJ44" s="53">
        <v>0</v>
      </c>
      <c r="CK44" s="53">
        <v>34.49</v>
      </c>
      <c r="CL44" s="53">
        <v>0</v>
      </c>
      <c r="CM44" s="53">
        <v>0</v>
      </c>
      <c r="CN44" s="53">
        <v>0</v>
      </c>
      <c r="CO44" s="53">
        <v>5.42</v>
      </c>
      <c r="CP44" s="53">
        <v>2.4</v>
      </c>
      <c r="CQ44" s="53">
        <v>0</v>
      </c>
      <c r="CR44" s="53">
        <v>0</v>
      </c>
      <c r="CS44" s="53">
        <v>0</v>
      </c>
      <c r="CT44" s="53">
        <v>0</v>
      </c>
      <c r="CU44" s="53">
        <v>0</v>
      </c>
      <c r="CV44" s="53">
        <v>0</v>
      </c>
      <c r="CW44" s="53">
        <v>0</v>
      </c>
      <c r="CX44" s="53">
        <v>0</v>
      </c>
      <c r="CY44" s="280">
        <v>101.96000000000002</v>
      </c>
      <c r="CZ44" s="284">
        <v>0.40262863534675614</v>
      </c>
      <c r="DA44" s="284">
        <v>7.0543624161073806E-2</v>
      </c>
      <c r="DB44" s="284">
        <v>6.1342281879194615E-3</v>
      </c>
      <c r="DC44" s="284">
        <v>0</v>
      </c>
      <c r="DD44" s="284">
        <v>0</v>
      </c>
      <c r="DE44" s="284">
        <v>0</v>
      </c>
      <c r="DF44" s="284">
        <v>0</v>
      </c>
      <c r="DG44" s="284">
        <v>2.829977628635346E-2</v>
      </c>
      <c r="DH44" s="284">
        <v>1.9127516778523486E-2</v>
      </c>
      <c r="DI44" s="284">
        <v>0</v>
      </c>
      <c r="DJ44" s="284">
        <v>0.38579418344519012</v>
      </c>
      <c r="DK44" s="284">
        <v>0</v>
      </c>
      <c r="DL44" s="284">
        <v>0</v>
      </c>
      <c r="DM44" s="284">
        <v>0</v>
      </c>
      <c r="DN44" s="284">
        <v>6.0626398210290811E-2</v>
      </c>
      <c r="DO44" s="284">
        <v>2.684563758389261E-2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v>0</v>
      </c>
      <c r="DV44" s="284">
        <v>0</v>
      </c>
      <c r="DW44" s="284">
        <v>0</v>
      </c>
      <c r="DX44" s="53">
        <v>0.99999999999999989</v>
      </c>
      <c r="DY44" s="71">
        <v>67.001278987772778</v>
      </c>
      <c r="DZ44" s="71">
        <v>19.828283222347096</v>
      </c>
      <c r="EA44" s="71">
        <v>2.9593005030549153</v>
      </c>
      <c r="EB44" s="71">
        <v>1.0638500743052524</v>
      </c>
      <c r="EC44" s="71">
        <v>0</v>
      </c>
      <c r="ED44" s="71">
        <v>0.40283862360174333</v>
      </c>
      <c r="EE44" s="71">
        <v>8.3526002525789976E-3</v>
      </c>
      <c r="EF44" s="71">
        <v>7.2521165659643727E-2</v>
      </c>
      <c r="EG44" s="71">
        <v>1.8353302908155844</v>
      </c>
      <c r="EH44" s="71">
        <v>0.13090874071813691</v>
      </c>
      <c r="EI44" s="71">
        <v>0</v>
      </c>
      <c r="EJ44" s="71">
        <v>6.6973357914722547</v>
      </c>
      <c r="EK44" s="71">
        <v>0</v>
      </c>
      <c r="EL44" s="71">
        <v>100</v>
      </c>
      <c r="EM44" s="53">
        <v>91.187632837074048</v>
      </c>
      <c r="EN44" s="53" t="s">
        <v>103</v>
      </c>
      <c r="EO44" s="288">
        <v>4.1188970840476402E-2</v>
      </c>
      <c r="EP44" s="257">
        <f t="shared" si="14"/>
        <v>4.1188970840476404</v>
      </c>
      <c r="EQ44" s="257">
        <f t="shared" si="15"/>
        <v>72.521299503791781</v>
      </c>
      <c r="ER44" s="324">
        <f t="shared" si="16"/>
        <v>2.2376710840756028E-2</v>
      </c>
      <c r="ES44" s="257">
        <f t="shared" si="9"/>
        <v>0.58762886597938147</v>
      </c>
      <c r="ET44">
        <f t="shared" si="10"/>
        <v>83.5</v>
      </c>
      <c r="EU44" s="324">
        <f t="shared" si="17"/>
        <v>3.8079665816725172E-2</v>
      </c>
      <c r="EV44" s="39">
        <f t="shared" si="18"/>
        <v>163.36499999999998</v>
      </c>
      <c r="EW44"/>
      <c r="EX44">
        <f t="shared" si="19"/>
        <v>25</v>
      </c>
      <c r="EY44"/>
      <c r="EZ44"/>
      <c r="FA44"/>
      <c r="FB44"/>
      <c r="FC44"/>
      <c r="FD44"/>
    </row>
    <row r="45" spans="1:160" s="54" customFormat="1" ht="13" customHeight="1" x14ac:dyDescent="0.2">
      <c r="A45" s="49" t="s">
        <v>104</v>
      </c>
      <c r="B45" s="50" t="s">
        <v>462</v>
      </c>
      <c r="C45" s="275">
        <f t="shared" si="23"/>
        <v>163.19999999999999</v>
      </c>
      <c r="D45" s="51">
        <v>90</v>
      </c>
      <c r="E45" s="51">
        <v>110</v>
      </c>
      <c r="F45" s="51">
        <f t="shared" si="4"/>
        <v>100</v>
      </c>
      <c r="G45" s="83" t="s">
        <v>522</v>
      </c>
      <c r="H45" s="84">
        <v>2.5</v>
      </c>
      <c r="I45" s="85">
        <v>5</v>
      </c>
      <c r="J45" s="85">
        <v>8</v>
      </c>
      <c r="K45" s="89">
        <f t="shared" si="21"/>
        <v>1.5625</v>
      </c>
      <c r="L45" s="51">
        <v>179</v>
      </c>
      <c r="M45" s="51">
        <v>101</v>
      </c>
      <c r="N45" s="51">
        <v>61</v>
      </c>
      <c r="O45" s="52">
        <v>65.05</v>
      </c>
      <c r="P45" s="52">
        <v>18.170000000000002</v>
      </c>
      <c r="Q45" s="52">
        <v>5.99</v>
      </c>
      <c r="R45" s="52">
        <v>3.7999999999999999E-2</v>
      </c>
      <c r="S45" s="52">
        <v>0.76</v>
      </c>
      <c r="T45" s="52">
        <v>0.04</v>
      </c>
      <c r="U45" s="52">
        <v>0.14000000000000001</v>
      </c>
      <c r="V45" s="52">
        <v>2.83</v>
      </c>
      <c r="W45" s="52">
        <v>0.56399999999999995</v>
      </c>
      <c r="X45" s="52">
        <v>0</v>
      </c>
      <c r="Y45" s="52">
        <v>6.7</v>
      </c>
      <c r="Z45" s="52">
        <v>100.3</v>
      </c>
      <c r="AA45" s="52">
        <v>13</v>
      </c>
      <c r="AB45" s="52">
        <v>1</v>
      </c>
      <c r="AC45" s="52">
        <v>99</v>
      </c>
      <c r="AD45" s="52">
        <v>0</v>
      </c>
      <c r="AE45" s="52">
        <v>7</v>
      </c>
      <c r="AF45" s="52">
        <v>0</v>
      </c>
      <c r="AG45" s="52">
        <v>30</v>
      </c>
      <c r="AH45" s="52">
        <v>70</v>
      </c>
      <c r="AI45" s="52">
        <v>24</v>
      </c>
      <c r="AJ45" s="52">
        <v>2</v>
      </c>
      <c r="AK45" s="52">
        <v>0</v>
      </c>
      <c r="AL45" s="52">
        <v>112</v>
      </c>
      <c r="AM45" s="52">
        <v>68</v>
      </c>
      <c r="AN45" s="52">
        <v>10</v>
      </c>
      <c r="AO45" s="52">
        <v>223</v>
      </c>
      <c r="AP45" s="52">
        <v>6</v>
      </c>
      <c r="AQ45" s="52" t="s">
        <v>72</v>
      </c>
      <c r="AR45" s="52" t="s">
        <v>74</v>
      </c>
      <c r="AS45" s="52" t="s">
        <v>73</v>
      </c>
      <c r="AT45" s="52">
        <v>2</v>
      </c>
      <c r="AU45" s="52" t="s">
        <v>74</v>
      </c>
      <c r="AV45" s="52">
        <v>2.4</v>
      </c>
      <c r="AW45" s="52">
        <v>328</v>
      </c>
      <c r="AX45" s="52" t="s">
        <v>75</v>
      </c>
      <c r="AY45" s="52">
        <v>54.8</v>
      </c>
      <c r="AZ45" s="52">
        <v>104</v>
      </c>
      <c r="BA45" s="52">
        <v>12.3</v>
      </c>
      <c r="BB45" s="52">
        <v>39.9</v>
      </c>
      <c r="BC45" s="52">
        <v>5.2</v>
      </c>
      <c r="BD45" s="52">
        <v>0.86</v>
      </c>
      <c r="BE45" s="52">
        <v>2.5</v>
      </c>
      <c r="BF45" s="52">
        <v>0.3</v>
      </c>
      <c r="BG45" s="52">
        <v>1.9</v>
      </c>
      <c r="BH45" s="52">
        <v>0.4</v>
      </c>
      <c r="BI45" s="52">
        <v>1.1000000000000001</v>
      </c>
      <c r="BJ45" s="52">
        <v>0.17</v>
      </c>
      <c r="BK45" s="52">
        <v>1.1000000000000001</v>
      </c>
      <c r="BL45" s="52">
        <v>0.19</v>
      </c>
      <c r="BM45" s="52">
        <v>5.5</v>
      </c>
      <c r="BN45" s="52">
        <v>0.4</v>
      </c>
      <c r="BO45" s="52">
        <v>0</v>
      </c>
      <c r="BP45" s="52">
        <v>0.6</v>
      </c>
      <c r="BQ45" s="52">
        <v>23</v>
      </c>
      <c r="BR45" s="52">
        <v>32.6</v>
      </c>
      <c r="BS45" s="52">
        <v>2.2000000000000002</v>
      </c>
      <c r="BT45" s="53">
        <f t="shared" si="5"/>
        <v>0.65491183879093195</v>
      </c>
      <c r="BU45" s="280">
        <f t="shared" si="6"/>
        <v>224.72000000000003</v>
      </c>
      <c r="BV45" s="54">
        <f t="shared" si="7"/>
        <v>100</v>
      </c>
      <c r="BW45" s="71">
        <f t="shared" si="8"/>
        <v>85.788479697828151</v>
      </c>
      <c r="BX45" s="69">
        <f t="shared" si="13"/>
        <v>0.65491183879093195</v>
      </c>
      <c r="BY45" s="53">
        <v>9.9749999999999996</v>
      </c>
      <c r="BZ45" s="53">
        <v>1.0049999999999999</v>
      </c>
      <c r="CA45" s="53">
        <v>39.42</v>
      </c>
      <c r="CB45" s="53">
        <v>19.494800000000001</v>
      </c>
      <c r="CC45" s="53">
        <v>1.6952</v>
      </c>
      <c r="CD45" s="53">
        <v>0</v>
      </c>
      <c r="CE45" s="53">
        <v>0</v>
      </c>
      <c r="CF45" s="53">
        <v>0</v>
      </c>
      <c r="CG45" s="53">
        <v>0</v>
      </c>
      <c r="CH45" s="53">
        <v>0.875</v>
      </c>
      <c r="CI45" s="53">
        <v>0.28000000000000003</v>
      </c>
      <c r="CJ45" s="53">
        <v>0</v>
      </c>
      <c r="CK45" s="53">
        <v>23.094999999999999</v>
      </c>
      <c r="CL45" s="53">
        <v>0</v>
      </c>
      <c r="CM45" s="53">
        <v>0</v>
      </c>
      <c r="CN45" s="53">
        <v>0</v>
      </c>
      <c r="CO45" s="53">
        <v>2.2850000000000001</v>
      </c>
      <c r="CP45" s="53">
        <v>1.9</v>
      </c>
      <c r="CQ45" s="53">
        <v>0</v>
      </c>
      <c r="CR45" s="53">
        <v>0</v>
      </c>
      <c r="CS45" s="53">
        <v>0</v>
      </c>
      <c r="CT45" s="53">
        <v>0</v>
      </c>
      <c r="CU45" s="53">
        <v>0</v>
      </c>
      <c r="CV45" s="53">
        <v>0</v>
      </c>
      <c r="CW45" s="53">
        <v>0</v>
      </c>
      <c r="CX45" s="53">
        <v>0</v>
      </c>
      <c r="CY45" s="280">
        <v>100.02500000000001</v>
      </c>
      <c r="CZ45" s="284">
        <v>0.442697512493683</v>
      </c>
      <c r="DA45" s="284">
        <v>0.21893200067381663</v>
      </c>
      <c r="DB45" s="284">
        <v>1.9037565275984054E-2</v>
      </c>
      <c r="DC45" s="284">
        <v>0</v>
      </c>
      <c r="DD45" s="284">
        <v>0</v>
      </c>
      <c r="DE45" s="284">
        <v>0</v>
      </c>
      <c r="DF45" s="284">
        <v>0</v>
      </c>
      <c r="DG45" s="284">
        <v>9.8264922230332976E-3</v>
      </c>
      <c r="DH45" s="284">
        <v>3.1444775113706556E-3</v>
      </c>
      <c r="DI45" s="284">
        <v>0</v>
      </c>
      <c r="DJ45" s="284">
        <v>0.25936324330394744</v>
      </c>
      <c r="DK45" s="284">
        <v>0</v>
      </c>
      <c r="DL45" s="284">
        <v>0</v>
      </c>
      <c r="DM45" s="284">
        <v>0</v>
      </c>
      <c r="DN45" s="284">
        <v>2.5661182548149811E-2</v>
      </c>
      <c r="DO45" s="284">
        <v>2.1337525970015158E-2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v>0</v>
      </c>
      <c r="DV45" s="284">
        <v>0</v>
      </c>
      <c r="DW45" s="284">
        <v>0</v>
      </c>
      <c r="DX45" s="53">
        <v>1.0000000000000002</v>
      </c>
      <c r="DY45" s="71">
        <v>73.922183278573598</v>
      </c>
      <c r="DZ45" s="71">
        <v>15.772565494775193</v>
      </c>
      <c r="EA45" s="71">
        <v>1.2204688244282158</v>
      </c>
      <c r="EB45" s="71">
        <v>0.49505996870172991</v>
      </c>
      <c r="EC45" s="71">
        <v>0</v>
      </c>
      <c r="ED45" s="71">
        <v>0.19529012709675977</v>
      </c>
      <c r="EE45" s="71">
        <v>3.5353840267682256E-3</v>
      </c>
      <c r="EF45" s="71">
        <v>0.22506929687664359</v>
      </c>
      <c r="EG45" s="71">
        <v>4.0926981530012538</v>
      </c>
      <c r="EH45" s="71">
        <v>5.540941226731684E-2</v>
      </c>
      <c r="EI45" s="71">
        <v>0</v>
      </c>
      <c r="EJ45" s="71">
        <v>4.0177200602525316</v>
      </c>
      <c r="EK45" s="71">
        <v>0</v>
      </c>
      <c r="EL45" s="71">
        <v>99.999999999999986</v>
      </c>
      <c r="EM45" s="53">
        <v>78.494420470861286</v>
      </c>
      <c r="EN45" s="53" t="s">
        <v>104</v>
      </c>
      <c r="EO45" s="288">
        <v>1.7600841903131013E-2</v>
      </c>
      <c r="EP45" s="257">
        <f t="shared" si="14"/>
        <v>1.7600841903131013</v>
      </c>
      <c r="EQ45" s="257">
        <f t="shared" si="15"/>
        <v>48.86649874055415</v>
      </c>
      <c r="ER45" s="324">
        <f t="shared" si="16"/>
        <v>2.1099116781157997E-2</v>
      </c>
      <c r="ES45" s="257">
        <f t="shared" si="9"/>
        <v>0.65491183879093195</v>
      </c>
      <c r="ET45">
        <f t="shared" si="10"/>
        <v>100</v>
      </c>
      <c r="EU45" s="324">
        <f t="shared" si="17"/>
        <v>3.22167283158451E-2</v>
      </c>
      <c r="EV45" s="39">
        <f t="shared" si="18"/>
        <v>163.19999999999999</v>
      </c>
      <c r="EW45"/>
      <c r="EX45">
        <f t="shared" si="19"/>
        <v>25</v>
      </c>
      <c r="EY45"/>
      <c r="EZ45"/>
      <c r="FA45"/>
      <c r="FB45"/>
      <c r="FC45"/>
      <c r="FD45"/>
    </row>
    <row r="46" spans="1:160" s="54" customFormat="1" ht="13" customHeight="1" x14ac:dyDescent="0.2">
      <c r="A46" s="49" t="s">
        <v>105</v>
      </c>
      <c r="B46" s="50" t="s">
        <v>462</v>
      </c>
      <c r="C46" s="275">
        <f t="shared" si="23"/>
        <v>163.01499999999999</v>
      </c>
      <c r="D46" s="51">
        <v>110</v>
      </c>
      <c r="E46" s="51">
        <v>127</v>
      </c>
      <c r="F46" s="51">
        <f t="shared" si="4"/>
        <v>118.5</v>
      </c>
      <c r="G46" s="83" t="s">
        <v>516</v>
      </c>
      <c r="H46" s="84">
        <v>10</v>
      </c>
      <c r="I46" s="85">
        <v>5</v>
      </c>
      <c r="J46" s="85">
        <v>4</v>
      </c>
      <c r="K46" s="89">
        <f t="shared" si="21"/>
        <v>12.5</v>
      </c>
      <c r="L46" s="51">
        <v>146</v>
      </c>
      <c r="M46" s="51">
        <v>116</v>
      </c>
      <c r="N46" s="51">
        <v>79</v>
      </c>
      <c r="O46" s="52">
        <v>72.73</v>
      </c>
      <c r="P46" s="52">
        <v>14</v>
      </c>
      <c r="Q46" s="52">
        <v>2.69</v>
      </c>
      <c r="R46" s="52">
        <v>2.5999999999999999E-2</v>
      </c>
      <c r="S46" s="52">
        <v>0.25</v>
      </c>
      <c r="T46" s="52">
        <v>0.03</v>
      </c>
      <c r="U46" s="52">
        <v>0.34</v>
      </c>
      <c r="V46" s="52">
        <v>6.6</v>
      </c>
      <c r="W46" s="52">
        <v>0.33200000000000002</v>
      </c>
      <c r="X46" s="52">
        <v>0.02</v>
      </c>
      <c r="Y46" s="52">
        <v>2.96</v>
      </c>
      <c r="Z46" s="52">
        <v>99.97</v>
      </c>
      <c r="AA46" s="52">
        <v>5</v>
      </c>
      <c r="AB46" s="52">
        <v>0</v>
      </c>
      <c r="AC46" s="52">
        <v>42</v>
      </c>
      <c r="AD46" s="52">
        <v>0</v>
      </c>
      <c r="AE46" s="52">
        <v>7</v>
      </c>
      <c r="AF46" s="52">
        <v>0</v>
      </c>
      <c r="AG46" s="52">
        <v>30</v>
      </c>
      <c r="AH46" s="52">
        <v>30</v>
      </c>
      <c r="AI46" s="52">
        <v>17</v>
      </c>
      <c r="AJ46" s="52">
        <v>1</v>
      </c>
      <c r="AK46" s="52">
        <v>0</v>
      </c>
      <c r="AL46" s="52">
        <v>142</v>
      </c>
      <c r="AM46" s="52">
        <v>193</v>
      </c>
      <c r="AN46" s="52">
        <v>11</v>
      </c>
      <c r="AO46" s="52">
        <v>251</v>
      </c>
      <c r="AP46" s="52">
        <v>7</v>
      </c>
      <c r="AQ46" s="52" t="s">
        <v>72</v>
      </c>
      <c r="AR46" s="52" t="s">
        <v>74</v>
      </c>
      <c r="AS46" s="52" t="s">
        <v>73</v>
      </c>
      <c r="AT46" s="52">
        <v>2</v>
      </c>
      <c r="AU46" s="52" t="s">
        <v>74</v>
      </c>
      <c r="AV46" s="52">
        <v>1.3</v>
      </c>
      <c r="AW46" s="52">
        <v>762</v>
      </c>
      <c r="AX46" s="52" t="s">
        <v>75</v>
      </c>
      <c r="AY46" s="52">
        <v>120</v>
      </c>
      <c r="AZ46" s="52">
        <v>261</v>
      </c>
      <c r="BA46" s="52">
        <v>25</v>
      </c>
      <c r="BB46" s="52">
        <v>77.7</v>
      </c>
      <c r="BC46" s="52">
        <v>9.4</v>
      </c>
      <c r="BD46" s="52">
        <v>1.36</v>
      </c>
      <c r="BE46" s="52">
        <v>4.2</v>
      </c>
      <c r="BF46" s="52">
        <v>0.5</v>
      </c>
      <c r="BG46" s="52">
        <v>2.6</v>
      </c>
      <c r="BH46" s="52">
        <v>0.5</v>
      </c>
      <c r="BI46" s="52">
        <v>1.4</v>
      </c>
      <c r="BJ46" s="52">
        <v>0.21</v>
      </c>
      <c r="BK46" s="52">
        <v>1.4</v>
      </c>
      <c r="BL46" s="52">
        <v>0.22</v>
      </c>
      <c r="BM46" s="52">
        <v>5.9</v>
      </c>
      <c r="BN46" s="52">
        <v>1.2</v>
      </c>
      <c r="BO46" s="52">
        <v>0</v>
      </c>
      <c r="BP46" s="52">
        <v>0.7</v>
      </c>
      <c r="BQ46" s="52">
        <v>36</v>
      </c>
      <c r="BR46" s="52">
        <v>37.9</v>
      </c>
      <c r="BS46" s="52">
        <v>3.6</v>
      </c>
      <c r="BT46" s="53">
        <f t="shared" si="5"/>
        <v>0.68503937007874016</v>
      </c>
      <c r="BU46" s="280">
        <f t="shared" si="6"/>
        <v>505.48999999999995</v>
      </c>
      <c r="BV46" s="54">
        <f t="shared" si="7"/>
        <v>118.5</v>
      </c>
      <c r="BW46" s="71">
        <f t="shared" si="8"/>
        <v>66.762041010968048</v>
      </c>
      <c r="BX46" s="69">
        <f t="shared" si="13"/>
        <v>0.68503937007874016</v>
      </c>
      <c r="BY46" s="53">
        <v>9.1950000000000003</v>
      </c>
      <c r="BZ46" s="53">
        <v>0.97</v>
      </c>
      <c r="CA46" s="53">
        <v>36.495000000000005</v>
      </c>
      <c r="CB46" s="53">
        <v>30.866</v>
      </c>
      <c r="CC46" s="53">
        <v>2.6839999999999997</v>
      </c>
      <c r="CD46" s="53">
        <v>0</v>
      </c>
      <c r="CE46" s="53">
        <v>0</v>
      </c>
      <c r="CF46" s="53">
        <v>0</v>
      </c>
      <c r="CG46" s="53">
        <v>0</v>
      </c>
      <c r="CH46" s="53">
        <v>0.20500000000000002</v>
      </c>
      <c r="CI46" s="53">
        <v>0</v>
      </c>
      <c r="CJ46" s="53">
        <v>0</v>
      </c>
      <c r="CK46" s="53">
        <v>14.574999999999999</v>
      </c>
      <c r="CL46" s="53">
        <v>0</v>
      </c>
      <c r="CM46" s="53">
        <v>0</v>
      </c>
      <c r="CN46" s="53">
        <v>0</v>
      </c>
      <c r="CO46" s="53">
        <v>4.3250000000000002</v>
      </c>
      <c r="CP46" s="53">
        <v>2.1799999999999997</v>
      </c>
      <c r="CQ46" s="53">
        <v>0</v>
      </c>
      <c r="CR46" s="53">
        <v>0</v>
      </c>
      <c r="CS46" s="53">
        <v>0</v>
      </c>
      <c r="CT46" s="53">
        <v>0</v>
      </c>
      <c r="CU46" s="53">
        <v>0</v>
      </c>
      <c r="CV46" s="53">
        <v>0</v>
      </c>
      <c r="CW46" s="53">
        <v>0</v>
      </c>
      <c r="CX46" s="53">
        <v>0</v>
      </c>
      <c r="CY46" s="280">
        <v>101.495</v>
      </c>
      <c r="CZ46" s="284">
        <v>0.39959487572539143</v>
      </c>
      <c r="DA46" s="284">
        <v>0.33796123946129414</v>
      </c>
      <c r="DB46" s="284">
        <v>2.9387933866199489E-2</v>
      </c>
      <c r="DC46" s="284">
        <v>0</v>
      </c>
      <c r="DD46" s="284">
        <v>0</v>
      </c>
      <c r="DE46" s="284">
        <v>0</v>
      </c>
      <c r="DF46" s="284">
        <v>0</v>
      </c>
      <c r="DG46" s="284">
        <v>2.2446074674258181E-3</v>
      </c>
      <c r="DH46" s="284">
        <v>0</v>
      </c>
      <c r="DI46" s="284">
        <v>0</v>
      </c>
      <c r="DJ46" s="284">
        <v>0.15958611628161609</v>
      </c>
      <c r="DK46" s="284">
        <v>0</v>
      </c>
      <c r="DL46" s="284">
        <v>0</v>
      </c>
      <c r="DM46" s="284">
        <v>0</v>
      </c>
      <c r="DN46" s="284">
        <v>4.735574291032519E-2</v>
      </c>
      <c r="DO46" s="284">
        <v>2.3869484287747721E-2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v>0</v>
      </c>
      <c r="DV46" s="284">
        <v>0</v>
      </c>
      <c r="DW46" s="284">
        <v>0</v>
      </c>
      <c r="DX46" s="53">
        <v>1</v>
      </c>
      <c r="DY46" s="71">
        <v>74.440214353908814</v>
      </c>
      <c r="DZ46" s="71">
        <v>14.697366152101266</v>
      </c>
      <c r="EA46" s="71">
        <v>0.43314375424905788</v>
      </c>
      <c r="EB46" s="71">
        <v>0.84399749049597927</v>
      </c>
      <c r="EC46" s="71">
        <v>0</v>
      </c>
      <c r="ED46" s="71">
        <v>0.32186565059480599</v>
      </c>
      <c r="EE46" s="71">
        <v>6.5242798825332175E-3</v>
      </c>
      <c r="EF46" s="71">
        <v>0.34743526895567933</v>
      </c>
      <c r="EG46" s="71">
        <v>6.2546141960355239</v>
      </c>
      <c r="EH46" s="71">
        <v>0.10225381769603846</v>
      </c>
      <c r="EI46" s="71">
        <v>0</v>
      </c>
      <c r="EJ46" s="71">
        <v>2.5525850360802997</v>
      </c>
      <c r="EK46" s="71">
        <v>0</v>
      </c>
      <c r="EL46" s="71">
        <v>100</v>
      </c>
      <c r="EM46" s="53">
        <v>68.982481989391061</v>
      </c>
      <c r="EN46" s="53" t="s">
        <v>105</v>
      </c>
      <c r="EO46" s="288">
        <v>1.3531010188896754E-2</v>
      </c>
      <c r="EP46" s="257">
        <f t="shared" si="14"/>
        <v>1.3531010188896753</v>
      </c>
      <c r="EQ46" s="257">
        <f t="shared" si="15"/>
        <v>26.95358803683779</v>
      </c>
      <c r="ER46" s="324">
        <f t="shared" si="16"/>
        <v>1.7202124968378446E-2</v>
      </c>
      <c r="ES46" s="257">
        <f t="shared" si="9"/>
        <v>0.68503937007874016</v>
      </c>
      <c r="ET46">
        <f t="shared" si="10"/>
        <v>118.5</v>
      </c>
      <c r="EU46" s="324">
        <f t="shared" si="17"/>
        <v>2.5111147942345549E-2</v>
      </c>
      <c r="EV46" s="39">
        <f t="shared" si="18"/>
        <v>163.01499999999999</v>
      </c>
      <c r="EW46"/>
      <c r="EX46">
        <f t="shared" si="19"/>
        <v>22</v>
      </c>
      <c r="EY46"/>
      <c r="EZ46"/>
      <c r="FA46"/>
      <c r="FB46"/>
      <c r="FC46"/>
      <c r="FD46"/>
    </row>
    <row r="47" spans="1:160" s="54" customFormat="1" ht="13" customHeight="1" x14ac:dyDescent="0.2">
      <c r="A47" s="49" t="s">
        <v>106</v>
      </c>
      <c r="B47" s="50" t="s">
        <v>462</v>
      </c>
      <c r="C47" s="275">
        <f t="shared" si="23"/>
        <v>162.45499999999998</v>
      </c>
      <c r="D47" s="51">
        <v>127</v>
      </c>
      <c r="E47" s="51">
        <v>222</v>
      </c>
      <c r="F47" s="51">
        <f t="shared" si="4"/>
        <v>174.5</v>
      </c>
      <c r="G47" s="83" t="s">
        <v>516</v>
      </c>
      <c r="H47" s="84">
        <v>10</v>
      </c>
      <c r="I47" s="85">
        <v>5</v>
      </c>
      <c r="J47" s="85">
        <v>4</v>
      </c>
      <c r="K47" s="89">
        <f t="shared" si="21"/>
        <v>12.5</v>
      </c>
      <c r="L47" s="51">
        <v>146</v>
      </c>
      <c r="M47" s="51">
        <v>116</v>
      </c>
      <c r="N47" s="51">
        <v>79</v>
      </c>
      <c r="O47" s="52">
        <v>71.72</v>
      </c>
      <c r="P47" s="52">
        <v>14.47</v>
      </c>
      <c r="Q47" s="52">
        <v>2.98</v>
      </c>
      <c r="R47" s="52">
        <v>3.6999999999999998E-2</v>
      </c>
      <c r="S47" s="52">
        <v>0.37</v>
      </c>
      <c r="T47" s="52">
        <v>0.04</v>
      </c>
      <c r="U47" s="52">
        <v>0.33</v>
      </c>
      <c r="V47" s="52">
        <v>6.65</v>
      </c>
      <c r="W47" s="52">
        <v>0.36</v>
      </c>
      <c r="X47" s="52">
        <v>0.02</v>
      </c>
      <c r="Y47" s="52">
        <v>2.92</v>
      </c>
      <c r="Z47" s="52">
        <v>99.9</v>
      </c>
      <c r="AA47" s="52">
        <v>4</v>
      </c>
      <c r="AB47" s="52">
        <v>0</v>
      </c>
      <c r="AC47" s="52">
        <v>36</v>
      </c>
      <c r="AD47" s="52">
        <v>0</v>
      </c>
      <c r="AE47" s="52">
        <v>5</v>
      </c>
      <c r="AF47" s="52">
        <v>0</v>
      </c>
      <c r="AG47" s="52">
        <v>20</v>
      </c>
      <c r="AH47" s="52">
        <v>40</v>
      </c>
      <c r="AI47" s="52">
        <v>19</v>
      </c>
      <c r="AJ47" s="52">
        <v>1</v>
      </c>
      <c r="AK47" s="52">
        <v>0</v>
      </c>
      <c r="AL47" s="52">
        <v>163</v>
      </c>
      <c r="AM47" s="52">
        <v>191</v>
      </c>
      <c r="AN47" s="52">
        <v>17</v>
      </c>
      <c r="AO47" s="52">
        <v>309</v>
      </c>
      <c r="AP47" s="52">
        <v>5</v>
      </c>
      <c r="AQ47" s="52" t="s">
        <v>72</v>
      </c>
      <c r="AR47" s="52" t="s">
        <v>74</v>
      </c>
      <c r="AS47" s="52" t="s">
        <v>73</v>
      </c>
      <c r="AT47" s="52">
        <v>2</v>
      </c>
      <c r="AU47" s="52" t="s">
        <v>74</v>
      </c>
      <c r="AV47" s="52">
        <v>1.4</v>
      </c>
      <c r="AW47" s="52">
        <v>779</v>
      </c>
      <c r="AX47" s="52" t="s">
        <v>75</v>
      </c>
      <c r="AY47" s="52">
        <v>185</v>
      </c>
      <c r="AZ47" s="52">
        <v>349</v>
      </c>
      <c r="BA47" s="52">
        <v>39.799999999999997</v>
      </c>
      <c r="BB47" s="52">
        <v>125</v>
      </c>
      <c r="BC47" s="52">
        <v>15.5</v>
      </c>
      <c r="BD47" s="52">
        <v>2.29</v>
      </c>
      <c r="BE47" s="52">
        <v>6.7</v>
      </c>
      <c r="BF47" s="52">
        <v>0.8</v>
      </c>
      <c r="BG47" s="52">
        <v>4</v>
      </c>
      <c r="BH47" s="52">
        <v>0.7</v>
      </c>
      <c r="BI47" s="52">
        <v>2.2000000000000002</v>
      </c>
      <c r="BJ47" s="52">
        <v>0.31</v>
      </c>
      <c r="BK47" s="52">
        <v>1.9</v>
      </c>
      <c r="BL47" s="52">
        <v>0.28999999999999998</v>
      </c>
      <c r="BM47" s="52">
        <v>7</v>
      </c>
      <c r="BN47" s="52">
        <v>0.6</v>
      </c>
      <c r="BO47" s="52">
        <v>0</v>
      </c>
      <c r="BP47" s="52">
        <v>0.6</v>
      </c>
      <c r="BQ47" s="52">
        <v>33</v>
      </c>
      <c r="BR47" s="52">
        <v>44</v>
      </c>
      <c r="BS47" s="52">
        <v>2.7</v>
      </c>
      <c r="BT47" s="53">
        <f t="shared" si="5"/>
        <v>0.65355805243445697</v>
      </c>
      <c r="BU47" s="280">
        <f t="shared" si="6"/>
        <v>733.4899999999999</v>
      </c>
      <c r="BV47" s="54">
        <f t="shared" si="7"/>
        <v>174.5</v>
      </c>
      <c r="BW47" s="71">
        <f t="shared" si="8"/>
        <v>67.333643555141919</v>
      </c>
      <c r="BX47" s="69">
        <f t="shared" si="13"/>
        <v>0.65355805243445697</v>
      </c>
      <c r="BY47" s="53">
        <v>9.5549999999999997</v>
      </c>
      <c r="BZ47" s="53">
        <v>0.255</v>
      </c>
      <c r="CA47" s="53">
        <v>32.799999999999997</v>
      </c>
      <c r="CB47" s="53">
        <v>25.5806</v>
      </c>
      <c r="CC47" s="53">
        <v>2.2244000000000002</v>
      </c>
      <c r="CD47" s="53">
        <v>0</v>
      </c>
      <c r="CE47" s="53">
        <v>0</v>
      </c>
      <c r="CF47" s="53">
        <v>0</v>
      </c>
      <c r="CG47" s="53">
        <v>0</v>
      </c>
      <c r="CH47" s="53">
        <v>0.18</v>
      </c>
      <c r="CI47" s="53">
        <v>0</v>
      </c>
      <c r="CJ47" s="53">
        <v>0</v>
      </c>
      <c r="CK47" s="53">
        <v>15.505000000000001</v>
      </c>
      <c r="CL47" s="53">
        <v>0</v>
      </c>
      <c r="CM47" s="53">
        <v>0</v>
      </c>
      <c r="CN47" s="53">
        <v>0</v>
      </c>
      <c r="CO47" s="53">
        <v>12.23</v>
      </c>
      <c r="CP47" s="53">
        <v>2.9649999999999999</v>
      </c>
      <c r="CQ47" s="53">
        <v>0</v>
      </c>
      <c r="CR47" s="53">
        <v>0</v>
      </c>
      <c r="CS47" s="53">
        <v>0</v>
      </c>
      <c r="CT47" s="53">
        <v>0</v>
      </c>
      <c r="CU47" s="53">
        <v>0</v>
      </c>
      <c r="CV47" s="53">
        <v>0</v>
      </c>
      <c r="CW47" s="53">
        <v>0</v>
      </c>
      <c r="CX47" s="53">
        <v>0</v>
      </c>
      <c r="CY47" s="280">
        <v>101.29500000000002</v>
      </c>
      <c r="CZ47" s="284">
        <v>0.35852872055528218</v>
      </c>
      <c r="DA47" s="284">
        <v>0.27961523747062356</v>
      </c>
      <c r="DB47" s="284">
        <v>2.4314368475706397E-2</v>
      </c>
      <c r="DC47" s="284">
        <v>0</v>
      </c>
      <c r="DD47" s="284">
        <v>0</v>
      </c>
      <c r="DE47" s="284">
        <v>0</v>
      </c>
      <c r="DF47" s="284">
        <v>0</v>
      </c>
      <c r="DG47" s="284">
        <v>1.9675356615838657E-3</v>
      </c>
      <c r="DH47" s="284">
        <v>0</v>
      </c>
      <c r="DI47" s="284">
        <v>0</v>
      </c>
      <c r="DJ47" s="284">
        <v>0.16948133573809912</v>
      </c>
      <c r="DK47" s="284">
        <v>0</v>
      </c>
      <c r="DL47" s="284">
        <v>0</v>
      </c>
      <c r="DM47" s="284">
        <v>0</v>
      </c>
      <c r="DN47" s="284">
        <v>0.13368311745094824</v>
      </c>
      <c r="DO47" s="284">
        <v>3.2409684647756454E-2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v>0</v>
      </c>
      <c r="DV47" s="284">
        <v>0</v>
      </c>
      <c r="DW47" s="284">
        <v>0</v>
      </c>
      <c r="DX47" s="53">
        <v>0.99999999999999978</v>
      </c>
      <c r="DY47" s="71">
        <v>70.673690203507988</v>
      </c>
      <c r="DZ47" s="71">
        <v>16.316947007217063</v>
      </c>
      <c r="EA47" s="71">
        <v>0.42520322088095452</v>
      </c>
      <c r="EB47" s="71">
        <v>2.2256065528113904</v>
      </c>
      <c r="EC47" s="71">
        <v>0</v>
      </c>
      <c r="ED47" s="71">
        <v>0.82172350652771586</v>
      </c>
      <c r="EE47" s="71">
        <v>1.8417746617789416E-2</v>
      </c>
      <c r="EF47" s="71">
        <v>0.28745366003972883</v>
      </c>
      <c r="EG47" s="71">
        <v>5.8356873881225093</v>
      </c>
      <c r="EH47" s="71">
        <v>0.28865789618700949</v>
      </c>
      <c r="EI47" s="71">
        <v>0</v>
      </c>
      <c r="EJ47" s="71">
        <v>3.1066128180878323</v>
      </c>
      <c r="EK47" s="71">
        <v>0</v>
      </c>
      <c r="EL47" s="71">
        <v>99.999999999999972</v>
      </c>
      <c r="EM47" s="53">
        <v>72.653751549963317</v>
      </c>
      <c r="EN47" s="53" t="s">
        <v>106</v>
      </c>
      <c r="EO47" s="288">
        <v>2.8511143634453704E-2</v>
      </c>
      <c r="EP47" s="257">
        <f t="shared" si="14"/>
        <v>2.8511143634453706</v>
      </c>
      <c r="EQ47" s="257">
        <f t="shared" si="15"/>
        <v>26.727443128567771</v>
      </c>
      <c r="ER47" s="324">
        <f t="shared" si="16"/>
        <v>1.7990415586456122E-2</v>
      </c>
      <c r="ES47" s="257">
        <f t="shared" si="9"/>
        <v>0.65355805243445697</v>
      </c>
      <c r="ET47">
        <f t="shared" si="10"/>
        <v>174.5</v>
      </c>
      <c r="EU47" s="324">
        <f t="shared" si="17"/>
        <v>2.7526882301339737E-2</v>
      </c>
      <c r="EV47" s="39">
        <f t="shared" si="18"/>
        <v>162.45499999999998</v>
      </c>
      <c r="EW47"/>
      <c r="EX47">
        <f t="shared" si="19"/>
        <v>24.285714285714288</v>
      </c>
      <c r="EY47"/>
      <c r="EZ47"/>
      <c r="FA47"/>
      <c r="FB47"/>
      <c r="FC47"/>
      <c r="FD47"/>
    </row>
    <row r="48" spans="1:160" s="54" customFormat="1" ht="13" customHeight="1" x14ac:dyDescent="0.2">
      <c r="A48" s="49" t="s">
        <v>107</v>
      </c>
      <c r="B48" s="50" t="s">
        <v>462</v>
      </c>
      <c r="C48" s="275">
        <f t="shared" si="23"/>
        <v>161.85499999999999</v>
      </c>
      <c r="D48" s="51">
        <v>219</v>
      </c>
      <c r="E48" s="51">
        <v>250</v>
      </c>
      <c r="F48" s="51">
        <f t="shared" si="4"/>
        <v>234.5</v>
      </c>
      <c r="G48" s="83" t="s">
        <v>517</v>
      </c>
      <c r="H48" s="84">
        <v>5</v>
      </c>
      <c r="I48" s="85">
        <v>5</v>
      </c>
      <c r="J48" s="85">
        <v>6</v>
      </c>
      <c r="K48" s="89">
        <f t="shared" si="21"/>
        <v>4.166666666666667</v>
      </c>
      <c r="L48" s="51">
        <v>164</v>
      </c>
      <c r="M48" s="51">
        <v>109</v>
      </c>
      <c r="N48" s="51">
        <v>70</v>
      </c>
      <c r="O48" s="52">
        <v>62.79</v>
      </c>
      <c r="P48" s="52">
        <v>18.93</v>
      </c>
      <c r="Q48" s="52">
        <v>6.74</v>
      </c>
      <c r="R48" s="52">
        <v>6.7000000000000004E-2</v>
      </c>
      <c r="S48" s="52">
        <v>1.6</v>
      </c>
      <c r="T48" s="52">
        <v>0.25</v>
      </c>
      <c r="U48" s="52">
        <v>0.09</v>
      </c>
      <c r="V48" s="52">
        <v>2.11</v>
      </c>
      <c r="W48" s="52">
        <v>0.6</v>
      </c>
      <c r="X48" s="52">
        <v>0</v>
      </c>
      <c r="Y48" s="52">
        <v>7.07</v>
      </c>
      <c r="Z48" s="52">
        <v>100.3</v>
      </c>
      <c r="AA48" s="52">
        <v>14</v>
      </c>
      <c r="AB48" s="52">
        <v>2</v>
      </c>
      <c r="AC48" s="52">
        <v>111</v>
      </c>
      <c r="AD48" s="52">
        <v>0</v>
      </c>
      <c r="AE48" s="52">
        <v>11</v>
      </c>
      <c r="AF48" s="52">
        <v>0</v>
      </c>
      <c r="AG48" s="52">
        <v>10</v>
      </c>
      <c r="AH48" s="52">
        <v>100</v>
      </c>
      <c r="AI48" s="52">
        <v>24</v>
      </c>
      <c r="AJ48" s="52">
        <v>2</v>
      </c>
      <c r="AK48" s="52">
        <v>0</v>
      </c>
      <c r="AL48" s="52">
        <v>136</v>
      </c>
      <c r="AM48" s="52">
        <v>25</v>
      </c>
      <c r="AN48" s="52">
        <v>13</v>
      </c>
      <c r="AO48" s="52">
        <v>149</v>
      </c>
      <c r="AP48" s="52">
        <v>6</v>
      </c>
      <c r="AQ48" s="52" t="s">
        <v>72</v>
      </c>
      <c r="AR48" s="52" t="s">
        <v>74</v>
      </c>
      <c r="AS48" s="52" t="s">
        <v>73</v>
      </c>
      <c r="AT48" s="52">
        <v>2</v>
      </c>
      <c r="AU48" s="52" t="s">
        <v>74</v>
      </c>
      <c r="AV48" s="52">
        <v>3.5</v>
      </c>
      <c r="AW48" s="52">
        <v>251</v>
      </c>
      <c r="AX48" s="52" t="s">
        <v>75</v>
      </c>
      <c r="AY48" s="52">
        <v>47.9</v>
      </c>
      <c r="AZ48" s="52">
        <v>46.3</v>
      </c>
      <c r="BA48" s="52">
        <v>11.3</v>
      </c>
      <c r="BB48" s="52">
        <v>39.200000000000003</v>
      </c>
      <c r="BC48" s="52">
        <v>5.9</v>
      </c>
      <c r="BD48" s="52">
        <v>1.1100000000000001</v>
      </c>
      <c r="BE48" s="52">
        <v>3.6</v>
      </c>
      <c r="BF48" s="52">
        <v>0.5</v>
      </c>
      <c r="BG48" s="52">
        <v>2.6</v>
      </c>
      <c r="BH48" s="52">
        <v>0.5</v>
      </c>
      <c r="BI48" s="52">
        <v>1.6</v>
      </c>
      <c r="BJ48" s="52">
        <v>0.23</v>
      </c>
      <c r="BK48" s="52">
        <v>1.6</v>
      </c>
      <c r="BL48" s="52">
        <v>0.27</v>
      </c>
      <c r="BM48" s="52">
        <v>3.8</v>
      </c>
      <c r="BN48" s="52">
        <v>0.4</v>
      </c>
      <c r="BO48" s="52">
        <v>0</v>
      </c>
      <c r="BP48" s="52">
        <v>0.6</v>
      </c>
      <c r="BQ48" s="52">
        <v>16</v>
      </c>
      <c r="BR48" s="52">
        <v>17.399999999999999</v>
      </c>
      <c r="BS48" s="52">
        <v>1.8</v>
      </c>
      <c r="BT48" s="53">
        <f t="shared" si="5"/>
        <v>0.49150743099787686</v>
      </c>
      <c r="BU48" s="280">
        <f t="shared" si="6"/>
        <v>162.60999999999999</v>
      </c>
      <c r="BV48" s="54">
        <f t="shared" si="7"/>
        <v>234.5</v>
      </c>
      <c r="BW48" s="71">
        <f t="shared" si="8"/>
        <v>88.54069223573434</v>
      </c>
      <c r="BX48" s="69">
        <f t="shared" si="13"/>
        <v>0.49150743099787686</v>
      </c>
      <c r="BY48" s="53">
        <v>9.3000000000000007</v>
      </c>
      <c r="BZ48" s="53">
        <v>0</v>
      </c>
      <c r="CA48" s="53">
        <v>31.6</v>
      </c>
      <c r="CB48" s="53">
        <v>2.7875999999999999</v>
      </c>
      <c r="CC48" s="53">
        <v>0.24239999999999998</v>
      </c>
      <c r="CD48" s="53">
        <v>0</v>
      </c>
      <c r="CE48" s="53">
        <v>0</v>
      </c>
      <c r="CF48" s="53">
        <v>0</v>
      </c>
      <c r="CG48" s="53">
        <v>0</v>
      </c>
      <c r="CH48" s="53">
        <v>0.15</v>
      </c>
      <c r="CI48" s="53">
        <v>0</v>
      </c>
      <c r="CJ48" s="53">
        <v>0</v>
      </c>
      <c r="CK48" s="53">
        <v>20.68</v>
      </c>
      <c r="CL48" s="53">
        <v>14.89</v>
      </c>
      <c r="CM48" s="53">
        <v>0</v>
      </c>
      <c r="CN48" s="53">
        <v>0</v>
      </c>
      <c r="CO48" s="53">
        <v>17.57</v>
      </c>
      <c r="CP48" s="53">
        <v>2.78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280">
        <v>100</v>
      </c>
      <c r="CZ48" s="284">
        <v>0.34840132304299898</v>
      </c>
      <c r="DA48" s="284">
        <v>3.0734288864388094E-2</v>
      </c>
      <c r="DB48" s="284">
        <v>2.6725468577728775E-3</v>
      </c>
      <c r="DC48" s="284">
        <v>0</v>
      </c>
      <c r="DD48" s="284">
        <v>0</v>
      </c>
      <c r="DE48" s="284">
        <v>0</v>
      </c>
      <c r="DF48" s="284">
        <v>0</v>
      </c>
      <c r="DG48" s="284">
        <v>1.6538037486218305E-3</v>
      </c>
      <c r="DH48" s="284">
        <v>0</v>
      </c>
      <c r="DI48" s="284">
        <v>0</v>
      </c>
      <c r="DJ48" s="284">
        <v>0.22800441014332967</v>
      </c>
      <c r="DK48" s="284">
        <v>0.16416758544652704</v>
      </c>
      <c r="DL48" s="284">
        <v>0</v>
      </c>
      <c r="DM48" s="284">
        <v>0</v>
      </c>
      <c r="DN48" s="284">
        <v>0.19371554575523708</v>
      </c>
      <c r="DO48" s="284">
        <v>3.0650496141124587E-2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v>0</v>
      </c>
      <c r="DV48" s="284">
        <v>0</v>
      </c>
      <c r="DW48" s="284">
        <v>0</v>
      </c>
      <c r="DX48" s="53">
        <v>1.0000000000000002</v>
      </c>
      <c r="DY48" s="71">
        <v>64.795566201994191</v>
      </c>
      <c r="DZ48" s="71">
        <v>21.544610543294272</v>
      </c>
      <c r="EA48" s="71">
        <v>0.48900425034837414</v>
      </c>
      <c r="EB48" s="71">
        <v>3.1518339650785556</v>
      </c>
      <c r="EC48" s="71">
        <v>0</v>
      </c>
      <c r="ED48" s="71">
        <v>1.1502012065622571</v>
      </c>
      <c r="EE48" s="71">
        <v>2.6688514643263519E-2</v>
      </c>
      <c r="EF48" s="71">
        <v>3.1595859734628418E-2</v>
      </c>
      <c r="EG48" s="71">
        <v>1.9294097739317622</v>
      </c>
      <c r="EH48" s="71">
        <v>0.41828409572317671</v>
      </c>
      <c r="EI48" s="71">
        <v>0</v>
      </c>
      <c r="EJ48" s="71">
        <v>6.4628055886895259</v>
      </c>
      <c r="EK48" s="71">
        <v>0</v>
      </c>
      <c r="EL48" s="71">
        <v>100.00000000000003</v>
      </c>
      <c r="EM48" s="53">
        <v>91.553338381604235</v>
      </c>
      <c r="EN48" s="53" t="s">
        <v>107</v>
      </c>
      <c r="EO48" s="288">
        <v>3.9245032722839995E-2</v>
      </c>
      <c r="EP48" s="257">
        <f t="shared" si="14"/>
        <v>3.9245032722839994</v>
      </c>
      <c r="EQ48" s="257">
        <f t="shared" si="15"/>
        <v>60.439932318104908</v>
      </c>
      <c r="ER48" s="324">
        <f t="shared" si="16"/>
        <v>2.7536591416521955E-2</v>
      </c>
      <c r="ES48" s="257">
        <f t="shared" si="9"/>
        <v>0.49150743099787686</v>
      </c>
      <c r="ET48">
        <f t="shared" si="10"/>
        <v>234.5</v>
      </c>
      <c r="EU48" s="324">
        <f t="shared" si="17"/>
        <v>5.6024771305321124E-2</v>
      </c>
      <c r="EV48" s="39">
        <f t="shared" si="18"/>
        <v>161.85499999999999</v>
      </c>
      <c r="EW48"/>
      <c r="EX48">
        <f t="shared" si="19"/>
        <v>26</v>
      </c>
      <c r="EY48"/>
      <c r="EZ48"/>
      <c r="FA48"/>
      <c r="FB48"/>
      <c r="FC48"/>
      <c r="FD48"/>
    </row>
    <row r="49" spans="1:160" s="54" customFormat="1" ht="13" customHeight="1" x14ac:dyDescent="0.2">
      <c r="A49" s="49" t="s">
        <v>108</v>
      </c>
      <c r="B49" s="50" t="s">
        <v>462</v>
      </c>
      <c r="C49" s="275">
        <f t="shared" si="23"/>
        <v>160.69999999999999</v>
      </c>
      <c r="D49" s="51">
        <v>300</v>
      </c>
      <c r="E49" s="51">
        <v>400</v>
      </c>
      <c r="F49" s="51">
        <f t="shared" si="4"/>
        <v>350</v>
      </c>
      <c r="G49" s="83" t="s">
        <v>524</v>
      </c>
      <c r="H49" s="84">
        <v>7.5</v>
      </c>
      <c r="I49" s="85">
        <v>5</v>
      </c>
      <c r="J49" s="85">
        <v>4</v>
      </c>
      <c r="K49" s="89">
        <f t="shared" si="21"/>
        <v>9.375</v>
      </c>
      <c r="L49" s="51">
        <v>150</v>
      </c>
      <c r="M49" s="51">
        <v>115</v>
      </c>
      <c r="N49" s="51">
        <v>84</v>
      </c>
      <c r="O49" s="52">
        <v>68.540000000000006</v>
      </c>
      <c r="P49" s="52">
        <v>16.57</v>
      </c>
      <c r="Q49" s="52">
        <v>4.0599999999999996</v>
      </c>
      <c r="R49" s="52">
        <v>5.7000000000000002E-2</v>
      </c>
      <c r="S49" s="52">
        <v>0.92</v>
      </c>
      <c r="T49" s="52">
        <v>0.2</v>
      </c>
      <c r="U49" s="52">
        <v>0.15</v>
      </c>
      <c r="V49" s="52">
        <v>2.68</v>
      </c>
      <c r="W49" s="52">
        <v>0.315</v>
      </c>
      <c r="X49" s="52">
        <v>0</v>
      </c>
      <c r="Y49" s="52">
        <v>5.93</v>
      </c>
      <c r="Z49" s="52">
        <v>99.42</v>
      </c>
      <c r="AA49" s="52">
        <v>9</v>
      </c>
      <c r="AB49" s="52">
        <v>2</v>
      </c>
      <c r="AC49" s="52">
        <v>57</v>
      </c>
      <c r="AD49" s="52">
        <v>0</v>
      </c>
      <c r="AE49" s="52">
        <v>9</v>
      </c>
      <c r="AF49" s="52">
        <v>0</v>
      </c>
      <c r="AG49" s="52">
        <v>20</v>
      </c>
      <c r="AH49" s="52">
        <v>60</v>
      </c>
      <c r="AI49" s="52">
        <v>18</v>
      </c>
      <c r="AJ49" s="52">
        <v>2</v>
      </c>
      <c r="AK49" s="52">
        <v>0</v>
      </c>
      <c r="AL49" s="52">
        <v>105</v>
      </c>
      <c r="AM49" s="52">
        <v>40</v>
      </c>
      <c r="AN49" s="52">
        <v>8</v>
      </c>
      <c r="AO49" s="52">
        <v>96</v>
      </c>
      <c r="AP49" s="52">
        <v>4</v>
      </c>
      <c r="AQ49" s="52" t="s">
        <v>72</v>
      </c>
      <c r="AR49" s="52" t="s">
        <v>74</v>
      </c>
      <c r="AS49" s="52" t="s">
        <v>73</v>
      </c>
      <c r="AT49" s="52">
        <v>2</v>
      </c>
      <c r="AU49" s="52" t="s">
        <v>74</v>
      </c>
      <c r="AV49" s="52">
        <v>2.2000000000000002</v>
      </c>
      <c r="AW49" s="52">
        <v>460</v>
      </c>
      <c r="AX49" s="52" t="s">
        <v>75</v>
      </c>
      <c r="AY49" s="52">
        <v>19</v>
      </c>
      <c r="AZ49" s="52">
        <v>38.799999999999997</v>
      </c>
      <c r="BA49" s="52">
        <v>3.77</v>
      </c>
      <c r="BB49" s="52">
        <v>12.9</v>
      </c>
      <c r="BC49" s="52">
        <v>2</v>
      </c>
      <c r="BD49" s="52">
        <v>0.48</v>
      </c>
      <c r="BE49" s="52">
        <v>1.5</v>
      </c>
      <c r="BF49" s="52">
        <v>0.2</v>
      </c>
      <c r="BG49" s="52">
        <v>1.3</v>
      </c>
      <c r="BH49" s="52">
        <v>0.3</v>
      </c>
      <c r="BI49" s="52">
        <v>0.9</v>
      </c>
      <c r="BJ49" s="52">
        <v>0.13</v>
      </c>
      <c r="BK49" s="52">
        <v>0.9</v>
      </c>
      <c r="BL49" s="52">
        <v>0.16</v>
      </c>
      <c r="BM49" s="52">
        <v>2.8</v>
      </c>
      <c r="BN49" s="52">
        <v>0.3</v>
      </c>
      <c r="BO49" s="52">
        <v>0</v>
      </c>
      <c r="BP49" s="52">
        <v>0.4</v>
      </c>
      <c r="BQ49" s="52">
        <v>18</v>
      </c>
      <c r="BR49" s="52">
        <v>9.4</v>
      </c>
      <c r="BS49" s="52">
        <v>0.9</v>
      </c>
      <c r="BT49" s="53">
        <f t="shared" si="5"/>
        <v>0.67128027681660896</v>
      </c>
      <c r="BU49" s="280">
        <f t="shared" si="6"/>
        <v>82.34</v>
      </c>
      <c r="BV49" s="54">
        <f t="shared" si="7"/>
        <v>350</v>
      </c>
      <c r="BW49" s="71">
        <f t="shared" si="8"/>
        <v>84.540816326530617</v>
      </c>
      <c r="BX49" s="69">
        <f t="shared" si="13"/>
        <v>0.67128027681660896</v>
      </c>
      <c r="BY49" s="53">
        <v>9.59</v>
      </c>
      <c r="BZ49" s="53">
        <v>0.63</v>
      </c>
      <c r="CA49" s="53">
        <v>38.33</v>
      </c>
      <c r="CB49" s="53">
        <v>7.9855999999999998</v>
      </c>
      <c r="CC49" s="53">
        <v>0.69440000000000002</v>
      </c>
      <c r="CD49" s="53">
        <v>0</v>
      </c>
      <c r="CE49" s="53">
        <v>0</v>
      </c>
      <c r="CF49" s="53">
        <v>0</v>
      </c>
      <c r="CG49" s="53">
        <v>0</v>
      </c>
      <c r="CH49" s="53">
        <v>0</v>
      </c>
      <c r="CI49" s="53">
        <v>0</v>
      </c>
      <c r="CJ49" s="53">
        <v>0</v>
      </c>
      <c r="CK49" s="53">
        <v>12.71</v>
      </c>
      <c r="CL49" s="53">
        <v>14.81</v>
      </c>
      <c r="CM49" s="53">
        <v>0</v>
      </c>
      <c r="CN49" s="53">
        <v>0</v>
      </c>
      <c r="CO49" s="53">
        <v>14.2</v>
      </c>
      <c r="CP49" s="53">
        <v>1.03</v>
      </c>
      <c r="CQ49" s="53">
        <v>0</v>
      </c>
      <c r="CR49" s="53">
        <v>0</v>
      </c>
      <c r="CS49" s="53">
        <v>0</v>
      </c>
      <c r="CT49" s="53">
        <v>0</v>
      </c>
      <c r="CU49" s="53">
        <v>0</v>
      </c>
      <c r="CV49" s="53">
        <v>0</v>
      </c>
      <c r="CW49" s="53">
        <v>0</v>
      </c>
      <c r="CX49" s="53">
        <v>0</v>
      </c>
      <c r="CY49" s="280">
        <v>99.98</v>
      </c>
      <c r="CZ49" s="284">
        <v>0.42702762923351156</v>
      </c>
      <c r="DA49" s="284">
        <v>8.8966131907308371E-2</v>
      </c>
      <c r="DB49" s="284">
        <v>7.7361853832442068E-3</v>
      </c>
      <c r="DC49" s="284">
        <v>0</v>
      </c>
      <c r="DD49" s="284">
        <v>0</v>
      </c>
      <c r="DE49" s="284">
        <v>0</v>
      </c>
      <c r="DF49" s="284">
        <v>0</v>
      </c>
      <c r="DG49" s="284">
        <v>0</v>
      </c>
      <c r="DH49" s="284">
        <v>0</v>
      </c>
      <c r="DI49" s="284">
        <v>0</v>
      </c>
      <c r="DJ49" s="284">
        <v>0.14159982174688057</v>
      </c>
      <c r="DK49" s="284">
        <v>0.16499554367201424</v>
      </c>
      <c r="DL49" s="284">
        <v>0</v>
      </c>
      <c r="DM49" s="284">
        <v>0</v>
      </c>
      <c r="DN49" s="284">
        <v>0.15819964349376112</v>
      </c>
      <c r="DO49" s="284">
        <v>1.1475044563279857E-2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v>0</v>
      </c>
      <c r="DV49" s="284">
        <v>0</v>
      </c>
      <c r="DW49" s="284">
        <v>0</v>
      </c>
      <c r="DX49" s="53">
        <v>1</v>
      </c>
      <c r="DY49" s="71">
        <v>70.3556510802063</v>
      </c>
      <c r="DZ49" s="71">
        <v>18.037405789400129</v>
      </c>
      <c r="EA49" s="71">
        <v>0.21782900748475859</v>
      </c>
      <c r="EB49" s="71">
        <v>2.5131351030927696</v>
      </c>
      <c r="EC49" s="71">
        <v>0</v>
      </c>
      <c r="ED49" s="71">
        <v>0.9056434221114773</v>
      </c>
      <c r="EE49" s="71">
        <v>2.1795429403879771E-2</v>
      </c>
      <c r="EF49" s="71">
        <v>9.1460109497859071E-2</v>
      </c>
      <c r="EG49" s="71">
        <v>2.4991892565931</v>
      </c>
      <c r="EH49" s="71">
        <v>0.34159568642016358</v>
      </c>
      <c r="EI49" s="71">
        <v>0</v>
      </c>
      <c r="EJ49" s="71">
        <v>5.0162951157895623</v>
      </c>
      <c r="EK49" s="71">
        <v>0</v>
      </c>
      <c r="EL49" s="71">
        <v>99.999999999999986</v>
      </c>
      <c r="EM49" s="53">
        <v>87.348844076354723</v>
      </c>
      <c r="EN49" s="53" t="s">
        <v>108</v>
      </c>
      <c r="EO49" s="288">
        <v>2.9571462698558777E-2</v>
      </c>
      <c r="EP49" s="257">
        <f t="shared" si="14"/>
        <v>2.9571462698558775</v>
      </c>
      <c r="EQ49" s="257">
        <f t="shared" si="15"/>
        <v>53.509624732646309</v>
      </c>
      <c r="ER49" s="324">
        <f t="shared" si="16"/>
        <v>3.5874439461883408E-2</v>
      </c>
      <c r="ES49" s="257">
        <f t="shared" si="9"/>
        <v>0.67128027681660896</v>
      </c>
      <c r="ET49">
        <f t="shared" si="10"/>
        <v>350</v>
      </c>
      <c r="EU49" s="324">
        <f t="shared" si="17"/>
        <v>5.3441819610743839E-2</v>
      </c>
      <c r="EV49" s="39">
        <f t="shared" si="18"/>
        <v>160.69999999999999</v>
      </c>
      <c r="EW49"/>
      <c r="EX49">
        <f t="shared" si="19"/>
        <v>26.666666666666668</v>
      </c>
      <c r="EY49"/>
      <c r="EZ49"/>
      <c r="FA49"/>
      <c r="FB49"/>
      <c r="FC49"/>
      <c r="FD49"/>
    </row>
    <row r="50" spans="1:160" s="54" customFormat="1" ht="13" customHeight="1" x14ac:dyDescent="0.2">
      <c r="A50" s="49" t="s">
        <v>109</v>
      </c>
      <c r="B50" s="50" t="s">
        <v>462</v>
      </c>
      <c r="C50" s="275">
        <f t="shared" si="23"/>
        <v>159.69999999999999</v>
      </c>
      <c r="D50" s="51">
        <v>400</v>
      </c>
      <c r="E50" s="51">
        <v>500</v>
      </c>
      <c r="F50" s="51">
        <f t="shared" si="4"/>
        <v>450</v>
      </c>
      <c r="G50" s="83" t="s">
        <v>508</v>
      </c>
      <c r="H50" s="84">
        <v>7.5</v>
      </c>
      <c r="I50" s="85">
        <v>5</v>
      </c>
      <c r="J50" s="85">
        <v>6</v>
      </c>
      <c r="K50" s="89">
        <f t="shared" si="21"/>
        <v>6.25</v>
      </c>
      <c r="L50" s="51">
        <v>161</v>
      </c>
      <c r="M50" s="51">
        <v>111</v>
      </c>
      <c r="N50" s="51">
        <v>63</v>
      </c>
      <c r="O50" s="52">
        <v>54.05</v>
      </c>
      <c r="P50" s="52">
        <v>20.72</v>
      </c>
      <c r="Q50" s="52">
        <v>10.32</v>
      </c>
      <c r="R50" s="52">
        <v>0.17899999999999999</v>
      </c>
      <c r="S50" s="52">
        <v>1.2</v>
      </c>
      <c r="T50" s="52">
        <v>0.06</v>
      </c>
      <c r="U50" s="52">
        <v>0.12</v>
      </c>
      <c r="V50" s="52">
        <v>1.97</v>
      </c>
      <c r="W50" s="52">
        <v>0.88</v>
      </c>
      <c r="X50" s="52">
        <v>0.04</v>
      </c>
      <c r="Y50" s="52">
        <v>9.76</v>
      </c>
      <c r="Z50" s="52">
        <v>99.3</v>
      </c>
      <c r="AA50" s="52">
        <v>28</v>
      </c>
      <c r="AB50" s="52">
        <v>2</v>
      </c>
      <c r="AC50" s="52">
        <v>155</v>
      </c>
      <c r="AD50" s="52">
        <v>0</v>
      </c>
      <c r="AE50" s="52">
        <v>34</v>
      </c>
      <c r="AF50" s="52">
        <v>0</v>
      </c>
      <c r="AG50" s="52">
        <v>80</v>
      </c>
      <c r="AH50" s="52">
        <v>80</v>
      </c>
      <c r="AI50" s="52">
        <v>24</v>
      </c>
      <c r="AJ50" s="52">
        <v>2</v>
      </c>
      <c r="AK50" s="52">
        <v>0</v>
      </c>
      <c r="AL50" s="52">
        <v>107</v>
      </c>
      <c r="AM50" s="52">
        <v>27</v>
      </c>
      <c r="AN50" s="52">
        <v>16</v>
      </c>
      <c r="AO50" s="52">
        <v>123</v>
      </c>
      <c r="AP50" s="52">
        <v>4</v>
      </c>
      <c r="AQ50" s="52" t="s">
        <v>72</v>
      </c>
      <c r="AR50" s="52" t="s">
        <v>74</v>
      </c>
      <c r="AS50" s="52" t="s">
        <v>73</v>
      </c>
      <c r="AT50" s="52">
        <v>1</v>
      </c>
      <c r="AU50" s="52" t="s">
        <v>74</v>
      </c>
      <c r="AV50" s="52">
        <v>2.8</v>
      </c>
      <c r="AW50" s="52">
        <v>374</v>
      </c>
      <c r="AX50" s="52" t="s">
        <v>75</v>
      </c>
      <c r="AY50" s="52">
        <v>34.1</v>
      </c>
      <c r="AZ50" s="52">
        <v>42.2</v>
      </c>
      <c r="BA50" s="52">
        <v>6.87</v>
      </c>
      <c r="BB50" s="52">
        <v>23.2</v>
      </c>
      <c r="BC50" s="52">
        <v>4.2</v>
      </c>
      <c r="BD50" s="52">
        <v>1.1100000000000001</v>
      </c>
      <c r="BE50" s="52">
        <v>3.3</v>
      </c>
      <c r="BF50" s="52">
        <v>0.5</v>
      </c>
      <c r="BG50" s="52">
        <v>3.2</v>
      </c>
      <c r="BH50" s="52">
        <v>0.7</v>
      </c>
      <c r="BI50" s="52">
        <v>2</v>
      </c>
      <c r="BJ50" s="52">
        <v>0.33</v>
      </c>
      <c r="BK50" s="52">
        <v>2.2000000000000002</v>
      </c>
      <c r="BL50" s="52">
        <v>0.35</v>
      </c>
      <c r="BM50" s="52">
        <v>3.7</v>
      </c>
      <c r="BN50" s="52">
        <v>0.3</v>
      </c>
      <c r="BO50" s="52">
        <v>0</v>
      </c>
      <c r="BP50" s="52">
        <v>0.6</v>
      </c>
      <c r="BQ50" s="52">
        <v>15</v>
      </c>
      <c r="BR50" s="52">
        <v>4.8</v>
      </c>
      <c r="BS50" s="52">
        <v>2.1</v>
      </c>
      <c r="BT50" s="53">
        <f t="shared" si="5"/>
        <v>0.55307994757536039</v>
      </c>
      <c r="BU50" s="280">
        <f t="shared" si="6"/>
        <v>124.26000000000002</v>
      </c>
      <c r="BV50" s="54">
        <f t="shared" si="7"/>
        <v>450</v>
      </c>
      <c r="BW50" s="71">
        <f t="shared" si="8"/>
        <v>90.599038041101892</v>
      </c>
      <c r="BX50" s="69">
        <f t="shared" si="13"/>
        <v>0.55307994757536039</v>
      </c>
      <c r="BY50" s="53">
        <v>9.6199999999999992</v>
      </c>
      <c r="BZ50" s="53">
        <v>0.72</v>
      </c>
      <c r="CA50" s="53">
        <v>22.01</v>
      </c>
      <c r="CB50" s="53">
        <v>5.6487999999999996</v>
      </c>
      <c r="CC50" s="53">
        <v>0.49119999999999997</v>
      </c>
      <c r="CD50" s="53">
        <v>0</v>
      </c>
      <c r="CE50" s="53">
        <v>0</v>
      </c>
      <c r="CF50" s="53">
        <v>0</v>
      </c>
      <c r="CG50" s="53">
        <v>0</v>
      </c>
      <c r="CH50" s="53">
        <v>0.61</v>
      </c>
      <c r="CI50" s="53">
        <v>0</v>
      </c>
      <c r="CJ50" s="53">
        <v>0</v>
      </c>
      <c r="CK50" s="53">
        <v>29.61</v>
      </c>
      <c r="CL50" s="53">
        <v>14.03</v>
      </c>
      <c r="CM50" s="53">
        <v>0</v>
      </c>
      <c r="CN50" s="53">
        <v>0</v>
      </c>
      <c r="CO50" s="53">
        <v>15.54</v>
      </c>
      <c r="CP50" s="53">
        <v>1.73</v>
      </c>
      <c r="CQ50" s="53">
        <v>0</v>
      </c>
      <c r="CR50" s="53">
        <v>0</v>
      </c>
      <c r="CS50" s="53">
        <v>0</v>
      </c>
      <c r="CT50" s="53">
        <v>0</v>
      </c>
      <c r="CU50" s="53">
        <v>0</v>
      </c>
      <c r="CV50" s="53">
        <v>0</v>
      </c>
      <c r="CW50" s="53">
        <v>0</v>
      </c>
      <c r="CX50" s="53">
        <v>0</v>
      </c>
      <c r="CY50" s="280">
        <v>100.01</v>
      </c>
      <c r="CZ50" s="284">
        <v>0.24545555927288951</v>
      </c>
      <c r="DA50" s="284">
        <v>6.2995427679268426E-2</v>
      </c>
      <c r="DB50" s="284">
        <v>5.4778632764581241E-3</v>
      </c>
      <c r="DC50" s="284">
        <v>0</v>
      </c>
      <c r="DD50" s="284">
        <v>0</v>
      </c>
      <c r="DE50" s="284">
        <v>0</v>
      </c>
      <c r="DF50" s="284">
        <v>0</v>
      </c>
      <c r="DG50" s="284">
        <v>6.8027210884353739E-3</v>
      </c>
      <c r="DH50" s="284">
        <v>0</v>
      </c>
      <c r="DI50" s="284">
        <v>0</v>
      </c>
      <c r="DJ50" s="284">
        <v>0.33021077283372363</v>
      </c>
      <c r="DK50" s="284">
        <v>0.15646258503401358</v>
      </c>
      <c r="DL50" s="284">
        <v>0</v>
      </c>
      <c r="DM50" s="284">
        <v>0</v>
      </c>
      <c r="DN50" s="284">
        <v>0.17330210772833723</v>
      </c>
      <c r="DO50" s="284">
        <v>1.9292963086874095E-2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v>0</v>
      </c>
      <c r="DV50" s="284">
        <v>0</v>
      </c>
      <c r="DW50" s="284">
        <v>0</v>
      </c>
      <c r="DX50" s="53">
        <v>1</v>
      </c>
      <c r="DY50" s="71">
        <v>59.722027272750744</v>
      </c>
      <c r="DZ50" s="71">
        <v>25.027573861330648</v>
      </c>
      <c r="EA50" s="71">
        <v>1.0766740526136724</v>
      </c>
      <c r="EB50" s="71">
        <v>2.7832213442908813</v>
      </c>
      <c r="EC50" s="71">
        <v>0</v>
      </c>
      <c r="ED50" s="71">
        <v>1.0088020085819362</v>
      </c>
      <c r="EE50" s="71">
        <v>2.3876121153746481E-2</v>
      </c>
      <c r="EF50" s="71">
        <v>6.4761371433043627E-2</v>
      </c>
      <c r="EG50" s="71">
        <v>2.2325413551159587</v>
      </c>
      <c r="EH50" s="71">
        <v>0.37420597885138163</v>
      </c>
      <c r="EI50" s="71">
        <v>0</v>
      </c>
      <c r="EJ50" s="71">
        <v>7.6863166338779987</v>
      </c>
      <c r="EK50" s="71">
        <v>0</v>
      </c>
      <c r="EL50" s="71">
        <v>99.999999999999986</v>
      </c>
      <c r="EM50" s="53">
        <v>91.512670166723709</v>
      </c>
      <c r="EN50" s="53" t="s">
        <v>109</v>
      </c>
      <c r="EO50" s="288">
        <v>4.1103853178907329E-2</v>
      </c>
      <c r="EP50" s="257">
        <f t="shared" si="14"/>
        <v>4.1103853178907332</v>
      </c>
      <c r="EQ50" s="257">
        <f t="shared" si="15"/>
        <v>65.40053207212533</v>
      </c>
      <c r="ER50" s="324">
        <f t="shared" si="16"/>
        <v>4.566022213081037E-2</v>
      </c>
      <c r="ES50" s="257">
        <f t="shared" si="9"/>
        <v>0.55307994757536039</v>
      </c>
      <c r="ET50">
        <f t="shared" si="10"/>
        <v>450</v>
      </c>
      <c r="EU50" s="324">
        <f t="shared" si="17"/>
        <v>8.2556278402389369E-2</v>
      </c>
      <c r="EV50" s="39">
        <f t="shared" si="18"/>
        <v>159.69999999999999</v>
      </c>
      <c r="EW50"/>
      <c r="EX50">
        <f t="shared" si="19"/>
        <v>22.857142857142858</v>
      </c>
      <c r="EY50"/>
      <c r="EZ50"/>
      <c r="FA50"/>
      <c r="FB50"/>
      <c r="FC50"/>
      <c r="FD50"/>
    </row>
    <row r="51" spans="1:160" s="54" customFormat="1" ht="13" customHeight="1" x14ac:dyDescent="0.2">
      <c r="A51" s="49" t="s">
        <v>110</v>
      </c>
      <c r="B51" s="50" t="s">
        <v>462</v>
      </c>
      <c r="C51" s="275">
        <f t="shared" si="23"/>
        <v>158.69999999999999</v>
      </c>
      <c r="D51" s="51">
        <v>500</v>
      </c>
      <c r="E51" s="51">
        <v>600</v>
      </c>
      <c r="F51" s="51">
        <f t="shared" si="4"/>
        <v>550</v>
      </c>
      <c r="G51" s="83" t="s">
        <v>508</v>
      </c>
      <c r="H51" s="84">
        <v>7.5</v>
      </c>
      <c r="I51" s="85">
        <v>5</v>
      </c>
      <c r="J51" s="85">
        <v>6</v>
      </c>
      <c r="K51" s="89">
        <f t="shared" si="21"/>
        <v>6.25</v>
      </c>
      <c r="L51" s="51">
        <v>161</v>
      </c>
      <c r="M51" s="51">
        <v>111</v>
      </c>
      <c r="N51" s="51">
        <v>63</v>
      </c>
      <c r="O51" s="52">
        <v>66.08</v>
      </c>
      <c r="P51" s="52">
        <v>17.71</v>
      </c>
      <c r="Q51" s="52">
        <v>5.86</v>
      </c>
      <c r="R51" s="52">
        <v>8.3000000000000004E-2</v>
      </c>
      <c r="S51" s="52">
        <v>0.8</v>
      </c>
      <c r="T51" s="52">
        <v>0.04</v>
      </c>
      <c r="U51" s="52">
        <v>0.13</v>
      </c>
      <c r="V51" s="52">
        <v>2.41</v>
      </c>
      <c r="W51" s="52">
        <v>0.45300000000000001</v>
      </c>
      <c r="X51" s="52">
        <v>0.02</v>
      </c>
      <c r="Y51" s="52">
        <v>7.09</v>
      </c>
      <c r="Z51" s="52">
        <v>100.7</v>
      </c>
      <c r="AA51" s="52">
        <v>14</v>
      </c>
      <c r="AB51" s="52">
        <v>2</v>
      </c>
      <c r="AC51" s="52">
        <v>83</v>
      </c>
      <c r="AD51" s="52">
        <v>0</v>
      </c>
      <c r="AE51" s="52">
        <v>14</v>
      </c>
      <c r="AF51" s="52">
        <v>0</v>
      </c>
      <c r="AG51" s="52">
        <v>60</v>
      </c>
      <c r="AH51" s="52">
        <v>60</v>
      </c>
      <c r="AI51" s="52">
        <v>18</v>
      </c>
      <c r="AJ51" s="52">
        <v>2</v>
      </c>
      <c r="AK51" s="52">
        <v>0</v>
      </c>
      <c r="AL51" s="52">
        <v>93</v>
      </c>
      <c r="AM51" s="52">
        <v>44</v>
      </c>
      <c r="AN51" s="52">
        <v>9</v>
      </c>
      <c r="AO51" s="52">
        <v>112</v>
      </c>
      <c r="AP51" s="52">
        <v>4</v>
      </c>
      <c r="AQ51" s="52" t="s">
        <v>72</v>
      </c>
      <c r="AR51" s="52" t="s">
        <v>74</v>
      </c>
      <c r="AS51" s="52" t="s">
        <v>73</v>
      </c>
      <c r="AT51" s="52">
        <v>1</v>
      </c>
      <c r="AU51" s="52" t="s">
        <v>74</v>
      </c>
      <c r="AV51" s="52">
        <v>2.2000000000000002</v>
      </c>
      <c r="AW51" s="52">
        <v>494</v>
      </c>
      <c r="AX51" s="52" t="s">
        <v>75</v>
      </c>
      <c r="AY51" s="52">
        <v>18.8</v>
      </c>
      <c r="AZ51" s="52">
        <v>44.3</v>
      </c>
      <c r="BA51" s="52">
        <v>3.77</v>
      </c>
      <c r="BB51" s="52">
        <v>12.9</v>
      </c>
      <c r="BC51" s="52">
        <v>2.1</v>
      </c>
      <c r="BD51" s="52">
        <v>0.57999999999999996</v>
      </c>
      <c r="BE51" s="52">
        <v>1.7</v>
      </c>
      <c r="BF51" s="52">
        <v>0.3</v>
      </c>
      <c r="BG51" s="52">
        <v>1.5</v>
      </c>
      <c r="BH51" s="52">
        <v>0.3</v>
      </c>
      <c r="BI51" s="52">
        <v>1</v>
      </c>
      <c r="BJ51" s="52">
        <v>0.16</v>
      </c>
      <c r="BK51" s="52">
        <v>1.1000000000000001</v>
      </c>
      <c r="BL51" s="52">
        <v>0.18</v>
      </c>
      <c r="BM51" s="52">
        <v>3.2</v>
      </c>
      <c r="BN51" s="52">
        <v>0.4</v>
      </c>
      <c r="BO51" s="52">
        <v>5</v>
      </c>
      <c r="BP51" s="52">
        <v>0.4</v>
      </c>
      <c r="BQ51" s="52">
        <v>16</v>
      </c>
      <c r="BR51" s="52">
        <v>8.1</v>
      </c>
      <c r="BS51" s="52">
        <v>1.6</v>
      </c>
      <c r="BT51" s="53">
        <f t="shared" si="5"/>
        <v>0.70206022187004757</v>
      </c>
      <c r="BU51" s="280">
        <f t="shared" si="6"/>
        <v>88.689999999999984</v>
      </c>
      <c r="BV51" s="54">
        <f t="shared" si="7"/>
        <v>550</v>
      </c>
      <c r="BW51" s="71">
        <f t="shared" si="8"/>
        <v>87.284376540167571</v>
      </c>
      <c r="BX51" s="69">
        <f t="shared" si="13"/>
        <v>0.70206022187004757</v>
      </c>
      <c r="BY51" s="53">
        <v>9.19</v>
      </c>
      <c r="BZ51" s="53">
        <v>0.44</v>
      </c>
      <c r="CA51" s="53">
        <v>33.369999999999997</v>
      </c>
      <c r="CB51" s="53">
        <v>6.9551999999999996</v>
      </c>
      <c r="CC51" s="53">
        <v>0.6048</v>
      </c>
      <c r="CD51" s="53">
        <v>0</v>
      </c>
      <c r="CE51" s="53">
        <v>0</v>
      </c>
      <c r="CF51" s="53">
        <v>0</v>
      </c>
      <c r="CG51" s="53">
        <v>0</v>
      </c>
      <c r="CH51" s="53">
        <v>0.22</v>
      </c>
      <c r="CI51" s="53">
        <v>0</v>
      </c>
      <c r="CJ51" s="53">
        <v>0</v>
      </c>
      <c r="CK51" s="53">
        <v>20.69</v>
      </c>
      <c r="CL51" s="53">
        <v>14.63</v>
      </c>
      <c r="CM51" s="53">
        <v>0</v>
      </c>
      <c r="CN51" s="53">
        <v>0</v>
      </c>
      <c r="CO51" s="53">
        <v>13.56</v>
      </c>
      <c r="CP51" s="53">
        <v>0.33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280">
        <v>99.99</v>
      </c>
      <c r="CZ51" s="284">
        <v>0.3693005754758743</v>
      </c>
      <c r="DA51" s="284">
        <v>7.6972111553784875E-2</v>
      </c>
      <c r="DB51" s="284">
        <v>6.6932270916334677E-3</v>
      </c>
      <c r="DC51" s="284">
        <v>0</v>
      </c>
      <c r="DD51" s="284">
        <v>0</v>
      </c>
      <c r="DE51" s="284">
        <v>0</v>
      </c>
      <c r="DF51" s="284">
        <v>0</v>
      </c>
      <c r="DG51" s="284">
        <v>2.4347056219566183E-3</v>
      </c>
      <c r="DH51" s="284">
        <v>0</v>
      </c>
      <c r="DI51" s="284">
        <v>0</v>
      </c>
      <c r="DJ51" s="284">
        <v>0.22897299690128381</v>
      </c>
      <c r="DK51" s="284">
        <v>0.16190792386011513</v>
      </c>
      <c r="DL51" s="284">
        <v>0</v>
      </c>
      <c r="DM51" s="284">
        <v>0</v>
      </c>
      <c r="DN51" s="284">
        <v>0.15006640106241703</v>
      </c>
      <c r="DO51" s="284">
        <v>3.6520584329349276E-3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v>0</v>
      </c>
      <c r="DV51" s="284">
        <v>0</v>
      </c>
      <c r="DW51" s="284">
        <v>0</v>
      </c>
      <c r="DX51" s="53">
        <v>1.0000000000000002</v>
      </c>
      <c r="DY51" s="71">
        <v>66.892950618350383</v>
      </c>
      <c r="DZ51" s="71">
        <v>20.633694400356706</v>
      </c>
      <c r="EA51" s="71">
        <v>0.55577644154313699</v>
      </c>
      <c r="EB51" s="71">
        <v>2.3514693199048793</v>
      </c>
      <c r="EC51" s="71">
        <v>0</v>
      </c>
      <c r="ED51" s="71">
        <v>0.84111292643840496</v>
      </c>
      <c r="EE51" s="71">
        <v>2.0674898994821105E-2</v>
      </c>
      <c r="EF51" s="71">
        <v>7.912986211792665E-2</v>
      </c>
      <c r="EG51" s="71">
        <v>2.1611258618243276</v>
      </c>
      <c r="EH51" s="71">
        <v>0.32403382300631745</v>
      </c>
      <c r="EI51" s="71">
        <v>0</v>
      </c>
      <c r="EJ51" s="71">
        <v>6.1400318474631179</v>
      </c>
      <c r="EK51" s="71">
        <v>0</v>
      </c>
      <c r="EL51" s="71">
        <v>100</v>
      </c>
      <c r="EM51" s="53">
        <v>90.124622610605215</v>
      </c>
      <c r="EN51" s="53" t="s">
        <v>110</v>
      </c>
      <c r="EO51" s="288">
        <v>3.1188780002394556E-2</v>
      </c>
      <c r="EP51" s="257">
        <f t="shared" si="14"/>
        <v>3.1188780002394556</v>
      </c>
      <c r="EQ51" s="257">
        <f t="shared" si="15"/>
        <v>62.361817862782942</v>
      </c>
      <c r="ER51" s="324">
        <f t="shared" si="16"/>
        <v>4.3026706231454E-2</v>
      </c>
      <c r="ES51" s="257">
        <f t="shared" si="9"/>
        <v>0.70206022187004757</v>
      </c>
      <c r="ET51">
        <f t="shared" si="10"/>
        <v>550</v>
      </c>
      <c r="EU51" s="324">
        <f t="shared" si="17"/>
        <v>6.1286346799204229E-2</v>
      </c>
      <c r="EV51" s="39">
        <f t="shared" si="18"/>
        <v>158.69999999999999</v>
      </c>
      <c r="EW51"/>
      <c r="EX51">
        <f t="shared" si="19"/>
        <v>30</v>
      </c>
      <c r="EY51"/>
      <c r="EZ51"/>
      <c r="FA51"/>
      <c r="FB51"/>
      <c r="FC51"/>
      <c r="FD51"/>
    </row>
    <row r="52" spans="1:160" s="54" customFormat="1" ht="13" customHeight="1" x14ac:dyDescent="0.2">
      <c r="A52" s="49" t="s">
        <v>111</v>
      </c>
      <c r="B52" s="50" t="s">
        <v>462</v>
      </c>
      <c r="C52" s="275">
        <f t="shared" si="23"/>
        <v>157.69999999999999</v>
      </c>
      <c r="D52" s="51">
        <v>600</v>
      </c>
      <c r="E52" s="51">
        <v>700</v>
      </c>
      <c r="F52" s="51">
        <f t="shared" si="4"/>
        <v>650</v>
      </c>
      <c r="G52" s="83" t="s">
        <v>516</v>
      </c>
      <c r="H52" s="84">
        <v>10</v>
      </c>
      <c r="I52" s="85">
        <v>5</v>
      </c>
      <c r="J52" s="85">
        <v>4</v>
      </c>
      <c r="K52" s="89">
        <f t="shared" si="21"/>
        <v>12.5</v>
      </c>
      <c r="L52" s="51">
        <v>146</v>
      </c>
      <c r="M52" s="51">
        <v>116</v>
      </c>
      <c r="N52" s="51">
        <v>79</v>
      </c>
      <c r="O52" s="52">
        <v>70.540000000000006</v>
      </c>
      <c r="P52" s="52">
        <v>16.3</v>
      </c>
      <c r="Q52" s="52">
        <v>3.49</v>
      </c>
      <c r="R52" s="52">
        <v>6.4000000000000001E-2</v>
      </c>
      <c r="S52" s="52">
        <v>0.63</v>
      </c>
      <c r="T52" s="52">
        <v>7.0000000000000007E-2</v>
      </c>
      <c r="U52" s="52">
        <v>0.2</v>
      </c>
      <c r="V52" s="52">
        <v>3.23</v>
      </c>
      <c r="W52" s="52">
        <v>0.254</v>
      </c>
      <c r="X52" s="52">
        <v>0</v>
      </c>
      <c r="Y52" s="52">
        <v>5.47</v>
      </c>
      <c r="Z52" s="52">
        <v>100.3</v>
      </c>
      <c r="AA52" s="52">
        <v>7</v>
      </c>
      <c r="AB52" s="52">
        <v>1</v>
      </c>
      <c r="AC52" s="52">
        <v>52</v>
      </c>
      <c r="AD52" s="52">
        <v>0</v>
      </c>
      <c r="AE52" s="52">
        <v>11</v>
      </c>
      <c r="AF52" s="52">
        <v>0</v>
      </c>
      <c r="AG52" s="52">
        <v>70</v>
      </c>
      <c r="AH52" s="52">
        <v>50</v>
      </c>
      <c r="AI52" s="52">
        <v>16</v>
      </c>
      <c r="AJ52" s="52">
        <v>2</v>
      </c>
      <c r="AK52" s="52">
        <v>0</v>
      </c>
      <c r="AL52" s="52">
        <v>100</v>
      </c>
      <c r="AM52" s="52">
        <v>52</v>
      </c>
      <c r="AN52" s="52">
        <v>6</v>
      </c>
      <c r="AO52" s="52">
        <v>85</v>
      </c>
      <c r="AP52" s="52">
        <v>4</v>
      </c>
      <c r="AQ52" s="52" t="s">
        <v>72</v>
      </c>
      <c r="AR52" s="52" t="s">
        <v>74</v>
      </c>
      <c r="AS52" s="52" t="s">
        <v>73</v>
      </c>
      <c r="AT52" s="52">
        <v>0</v>
      </c>
      <c r="AU52" s="52" t="s">
        <v>74</v>
      </c>
      <c r="AV52" s="52">
        <v>1.6</v>
      </c>
      <c r="AW52" s="52">
        <v>581</v>
      </c>
      <c r="AX52" s="52" t="s">
        <v>75</v>
      </c>
      <c r="AY52" s="52">
        <v>16.7</v>
      </c>
      <c r="AZ52" s="52">
        <v>32.700000000000003</v>
      </c>
      <c r="BA52" s="52">
        <v>3.19</v>
      </c>
      <c r="BB52" s="52">
        <v>10.6</v>
      </c>
      <c r="BC52" s="52">
        <v>1.6</v>
      </c>
      <c r="BD52" s="52">
        <v>0.42</v>
      </c>
      <c r="BE52" s="52">
        <v>1.3</v>
      </c>
      <c r="BF52" s="52">
        <v>0.2</v>
      </c>
      <c r="BG52" s="52">
        <v>1.2</v>
      </c>
      <c r="BH52" s="52">
        <v>0.2</v>
      </c>
      <c r="BI52" s="52">
        <v>0.7</v>
      </c>
      <c r="BJ52" s="52">
        <v>0.11</v>
      </c>
      <c r="BK52" s="52">
        <v>0.8</v>
      </c>
      <c r="BL52" s="52">
        <v>0.15</v>
      </c>
      <c r="BM52" s="52">
        <v>2.8</v>
      </c>
      <c r="BN52" s="52">
        <v>0.4</v>
      </c>
      <c r="BO52" s="52">
        <v>1</v>
      </c>
      <c r="BP52" s="52">
        <v>0.4</v>
      </c>
      <c r="BQ52" s="52">
        <v>17</v>
      </c>
      <c r="BR52" s="52">
        <v>8.8000000000000007</v>
      </c>
      <c r="BS52" s="52">
        <v>1.2</v>
      </c>
      <c r="BT52" s="53">
        <f t="shared" si="5"/>
        <v>0.66194331983805665</v>
      </c>
      <c r="BU52" s="280">
        <f t="shared" si="6"/>
        <v>69.870000000000019</v>
      </c>
      <c r="BV52" s="54">
        <f t="shared" si="7"/>
        <v>650</v>
      </c>
      <c r="BW52" s="71">
        <f t="shared" si="8"/>
        <v>82.323232323232318</v>
      </c>
      <c r="BX52" s="69">
        <f t="shared" si="13"/>
        <v>0.66194331983805665</v>
      </c>
      <c r="BY52" s="53">
        <v>9.66</v>
      </c>
      <c r="BZ52" s="53">
        <v>0.48</v>
      </c>
      <c r="CA52" s="53">
        <v>36.94</v>
      </c>
      <c r="CB52" s="53">
        <v>12.502800000000001</v>
      </c>
      <c r="CC52" s="53">
        <v>1.0871999999999999</v>
      </c>
      <c r="CD52" s="53">
        <v>0</v>
      </c>
      <c r="CE52" s="53">
        <v>0</v>
      </c>
      <c r="CF52" s="53">
        <v>0</v>
      </c>
      <c r="CG52" s="53">
        <v>0</v>
      </c>
      <c r="CH52" s="53">
        <v>0</v>
      </c>
      <c r="CI52" s="53">
        <v>0</v>
      </c>
      <c r="CJ52" s="53">
        <v>0</v>
      </c>
      <c r="CK52" s="53">
        <v>8.59</v>
      </c>
      <c r="CL52" s="53">
        <v>15.28</v>
      </c>
      <c r="CM52" s="53">
        <v>0</v>
      </c>
      <c r="CN52" s="53">
        <v>0</v>
      </c>
      <c r="CO52" s="53">
        <v>15.34</v>
      </c>
      <c r="CP52" s="53">
        <v>0.11</v>
      </c>
      <c r="CQ52" s="53">
        <v>0</v>
      </c>
      <c r="CR52" s="53">
        <v>0</v>
      </c>
      <c r="CS52" s="53">
        <v>0</v>
      </c>
      <c r="CT52" s="53">
        <v>0</v>
      </c>
      <c r="CU52" s="53">
        <v>0</v>
      </c>
      <c r="CV52" s="53">
        <v>0</v>
      </c>
      <c r="CW52" s="53">
        <v>0</v>
      </c>
      <c r="CX52" s="53">
        <v>0</v>
      </c>
      <c r="CY52" s="280">
        <v>99.990000000000009</v>
      </c>
      <c r="CZ52" s="284">
        <v>0.41112966054535333</v>
      </c>
      <c r="DA52" s="284">
        <v>0.13915191986644407</v>
      </c>
      <c r="DB52" s="284">
        <v>1.2100166944908178E-2</v>
      </c>
      <c r="DC52" s="284">
        <v>0</v>
      </c>
      <c r="DD52" s="284">
        <v>0</v>
      </c>
      <c r="DE52" s="284">
        <v>0</v>
      </c>
      <c r="DF52" s="284">
        <v>0</v>
      </c>
      <c r="DG52" s="284">
        <v>0</v>
      </c>
      <c r="DH52" s="284">
        <v>0</v>
      </c>
      <c r="DI52" s="284">
        <v>0</v>
      </c>
      <c r="DJ52" s="284">
        <v>9.5603784084585405E-2</v>
      </c>
      <c r="DK52" s="284">
        <v>0.17006121313299943</v>
      </c>
      <c r="DL52" s="284">
        <v>0</v>
      </c>
      <c r="DM52" s="284">
        <v>0</v>
      </c>
      <c r="DN52" s="284">
        <v>0.17072899276572062</v>
      </c>
      <c r="DO52" s="284">
        <v>1.2242626599888702E-3</v>
      </c>
      <c r="DP52" s="284">
        <v>0</v>
      </c>
      <c r="DQ52" s="284">
        <v>0</v>
      </c>
      <c r="DR52" s="284">
        <v>0</v>
      </c>
      <c r="DS52" s="284">
        <v>0</v>
      </c>
      <c r="DT52" s="284">
        <v>0</v>
      </c>
      <c r="DU52" s="284">
        <v>0</v>
      </c>
      <c r="DV52" s="284">
        <v>0</v>
      </c>
      <c r="DW52" s="284">
        <v>0</v>
      </c>
      <c r="DX52" s="53">
        <v>1</v>
      </c>
      <c r="DY52" s="71">
        <v>70.408680716981237</v>
      </c>
      <c r="DZ52" s="71">
        <v>17.540796279186516</v>
      </c>
      <c r="EA52" s="71">
        <v>0.14707135321228734</v>
      </c>
      <c r="EB52" s="71">
        <v>2.6620893995646226</v>
      </c>
      <c r="EC52" s="71">
        <v>0</v>
      </c>
      <c r="ED52" s="71">
        <v>0.94964439233358178</v>
      </c>
      <c r="EE52" s="71">
        <v>2.3521618802936895E-2</v>
      </c>
      <c r="EF52" s="71">
        <v>0.14305275001819875</v>
      </c>
      <c r="EG52" s="71">
        <v>3.2976688588995842</v>
      </c>
      <c r="EH52" s="71">
        <v>0.36864992984595085</v>
      </c>
      <c r="EI52" s="71">
        <v>0</v>
      </c>
      <c r="EJ52" s="71">
        <v>4.4588247011550823</v>
      </c>
      <c r="EK52" s="71">
        <v>0</v>
      </c>
      <c r="EL52" s="71">
        <v>100</v>
      </c>
      <c r="EM52" s="53">
        <v>83.507561475513782</v>
      </c>
      <c r="EN52" s="53" t="s">
        <v>111</v>
      </c>
      <c r="EO52" s="288">
        <v>3.048748798737726E-2</v>
      </c>
      <c r="EP52" s="257">
        <f t="shared" si="14"/>
        <v>3.048748798737726</v>
      </c>
      <c r="EQ52" s="257">
        <f t="shared" si="15"/>
        <v>45.114345114345113</v>
      </c>
      <c r="ER52" s="324">
        <f t="shared" si="16"/>
        <v>3.8112522686025406E-2</v>
      </c>
      <c r="ES52" s="257">
        <f t="shared" si="9"/>
        <v>0.66194331983805665</v>
      </c>
      <c r="ET52">
        <f t="shared" si="10"/>
        <v>650</v>
      </c>
      <c r="EU52" s="324">
        <f t="shared" si="17"/>
        <v>5.7576716229041439E-2</v>
      </c>
      <c r="EV52" s="39">
        <f t="shared" si="18"/>
        <v>157.69999999999999</v>
      </c>
      <c r="EW52"/>
      <c r="EX52">
        <f t="shared" si="19"/>
        <v>30</v>
      </c>
      <c r="EY52"/>
      <c r="EZ52"/>
      <c r="FA52"/>
      <c r="FB52"/>
      <c r="FC52"/>
      <c r="FD52"/>
    </row>
    <row r="53" spans="1:160" s="54" customFormat="1" ht="13" customHeight="1" x14ac:dyDescent="0.2">
      <c r="A53" s="49" t="s">
        <v>112</v>
      </c>
      <c r="B53" s="50" t="s">
        <v>462</v>
      </c>
      <c r="C53" s="275">
        <f t="shared" si="23"/>
        <v>156.69999999999999</v>
      </c>
      <c r="D53" s="51">
        <v>700</v>
      </c>
      <c r="E53" s="51">
        <v>800</v>
      </c>
      <c r="F53" s="51">
        <f t="shared" si="4"/>
        <v>750</v>
      </c>
      <c r="G53" s="83" t="s">
        <v>516</v>
      </c>
      <c r="H53" s="84">
        <v>10</v>
      </c>
      <c r="I53" s="85">
        <v>5</v>
      </c>
      <c r="J53" s="85">
        <v>4</v>
      </c>
      <c r="K53" s="89">
        <f t="shared" si="21"/>
        <v>12.5</v>
      </c>
      <c r="L53" s="51">
        <v>146</v>
      </c>
      <c r="M53" s="51">
        <v>116</v>
      </c>
      <c r="N53" s="51">
        <v>79</v>
      </c>
      <c r="O53" s="52">
        <v>72.84</v>
      </c>
      <c r="P53" s="52">
        <v>14.83</v>
      </c>
      <c r="Q53" s="52">
        <v>2.74</v>
      </c>
      <c r="R53" s="52">
        <v>4.3999999999999997E-2</v>
      </c>
      <c r="S53" s="52">
        <v>0.4</v>
      </c>
      <c r="T53" s="52">
        <v>0.09</v>
      </c>
      <c r="U53" s="52">
        <v>0.38</v>
      </c>
      <c r="V53" s="52">
        <v>5.74</v>
      </c>
      <c r="W53" s="52">
        <v>0.25800000000000001</v>
      </c>
      <c r="X53" s="52">
        <v>0.01</v>
      </c>
      <c r="Y53" s="52">
        <v>3.36</v>
      </c>
      <c r="Z53" s="52">
        <v>100.7</v>
      </c>
      <c r="AA53" s="52">
        <v>4</v>
      </c>
      <c r="AB53" s="52">
        <v>1</v>
      </c>
      <c r="AC53" s="52">
        <v>37</v>
      </c>
      <c r="AD53" s="52">
        <v>0</v>
      </c>
      <c r="AE53" s="52">
        <v>6</v>
      </c>
      <c r="AF53" s="52">
        <v>0</v>
      </c>
      <c r="AG53" s="52">
        <v>10</v>
      </c>
      <c r="AH53" s="52">
        <v>40</v>
      </c>
      <c r="AI53" s="52">
        <v>17</v>
      </c>
      <c r="AJ53" s="52">
        <v>1</v>
      </c>
      <c r="AK53" s="52">
        <v>0</v>
      </c>
      <c r="AL53" s="52">
        <v>140</v>
      </c>
      <c r="AM53" s="52">
        <v>129</v>
      </c>
      <c r="AN53" s="52">
        <v>13</v>
      </c>
      <c r="AO53" s="52">
        <v>234</v>
      </c>
      <c r="AP53" s="52">
        <v>5</v>
      </c>
      <c r="AQ53" s="52" t="s">
        <v>72</v>
      </c>
      <c r="AR53" s="52" t="s">
        <v>74</v>
      </c>
      <c r="AS53" s="52" t="s">
        <v>73</v>
      </c>
      <c r="AT53" s="52">
        <v>2</v>
      </c>
      <c r="AU53" s="52" t="s">
        <v>74</v>
      </c>
      <c r="AV53" s="52">
        <v>1.4</v>
      </c>
      <c r="AW53" s="52">
        <v>797</v>
      </c>
      <c r="AX53" s="52" t="s">
        <v>75</v>
      </c>
      <c r="AY53" s="52">
        <v>98.6</v>
      </c>
      <c r="AZ53" s="52">
        <v>235</v>
      </c>
      <c r="BA53" s="52">
        <v>20</v>
      </c>
      <c r="BB53" s="52">
        <v>61.7</v>
      </c>
      <c r="BC53" s="52">
        <v>7.7</v>
      </c>
      <c r="BD53" s="52">
        <v>1.26</v>
      </c>
      <c r="BE53" s="52">
        <v>3.9</v>
      </c>
      <c r="BF53" s="52">
        <v>0.5</v>
      </c>
      <c r="BG53" s="52">
        <v>2.5</v>
      </c>
      <c r="BH53" s="52">
        <v>0.5</v>
      </c>
      <c r="BI53" s="52">
        <v>1.4</v>
      </c>
      <c r="BJ53" s="52">
        <v>0.21</v>
      </c>
      <c r="BK53" s="52">
        <v>1.5</v>
      </c>
      <c r="BL53" s="52">
        <v>0.25</v>
      </c>
      <c r="BM53" s="52">
        <v>5.6</v>
      </c>
      <c r="BN53" s="52">
        <v>0.9</v>
      </c>
      <c r="BO53" s="52">
        <v>1</v>
      </c>
      <c r="BP53" s="52">
        <v>0.5</v>
      </c>
      <c r="BQ53" s="52">
        <v>28</v>
      </c>
      <c r="BR53" s="52">
        <v>35.9</v>
      </c>
      <c r="BS53" s="52">
        <v>2.4</v>
      </c>
      <c r="BT53" s="53">
        <f t="shared" si="5"/>
        <v>0.70443645083932849</v>
      </c>
      <c r="BU53" s="280">
        <f t="shared" si="6"/>
        <v>435.01999999999992</v>
      </c>
      <c r="BV53" s="54">
        <f t="shared" si="7"/>
        <v>750</v>
      </c>
      <c r="BW53" s="71">
        <f t="shared" si="8"/>
        <v>70.48479087452472</v>
      </c>
      <c r="BX53" s="69">
        <f t="shared" si="13"/>
        <v>0.70443645083932849</v>
      </c>
      <c r="BY53" s="53">
        <v>9.26</v>
      </c>
      <c r="BZ53" s="53">
        <v>0.38</v>
      </c>
      <c r="CA53" s="53">
        <v>35.14</v>
      </c>
      <c r="CB53" s="53">
        <v>21.7028</v>
      </c>
      <c r="CC53" s="53">
        <v>4.7772000000000006</v>
      </c>
      <c r="CD53" s="53">
        <v>0</v>
      </c>
      <c r="CE53" s="53">
        <v>0</v>
      </c>
      <c r="CF53" s="53">
        <v>0</v>
      </c>
      <c r="CG53" s="53">
        <v>0</v>
      </c>
      <c r="CH53" s="53">
        <v>0</v>
      </c>
      <c r="CI53" s="53">
        <v>0</v>
      </c>
      <c r="CJ53" s="53">
        <v>0</v>
      </c>
      <c r="CK53" s="53">
        <v>0.21</v>
      </c>
      <c r="CL53" s="53">
        <v>16.5</v>
      </c>
      <c r="CM53" s="53">
        <v>0</v>
      </c>
      <c r="CN53" s="53">
        <v>0</v>
      </c>
      <c r="CO53" s="53">
        <v>12.02</v>
      </c>
      <c r="CP53" s="53">
        <v>0</v>
      </c>
      <c r="CQ53" s="53">
        <v>0</v>
      </c>
      <c r="CR53" s="53">
        <v>0</v>
      </c>
      <c r="CS53" s="53">
        <v>0</v>
      </c>
      <c r="CT53" s="53">
        <v>0</v>
      </c>
      <c r="CU53" s="53">
        <v>0</v>
      </c>
      <c r="CV53" s="53">
        <v>0</v>
      </c>
      <c r="CW53" s="53">
        <v>0</v>
      </c>
      <c r="CX53" s="53">
        <v>0</v>
      </c>
      <c r="CY53" s="280">
        <v>99.989999999999981</v>
      </c>
      <c r="CZ53" s="284">
        <v>0.38893193137797455</v>
      </c>
      <c r="DA53" s="284">
        <v>0.24020807969009408</v>
      </c>
      <c r="DB53" s="284">
        <v>5.2874377421140019E-2</v>
      </c>
      <c r="DC53" s="284">
        <v>0</v>
      </c>
      <c r="DD53" s="284">
        <v>0</v>
      </c>
      <c r="DE53" s="284">
        <v>0</v>
      </c>
      <c r="DF53" s="284">
        <v>0</v>
      </c>
      <c r="DG53" s="284">
        <v>0</v>
      </c>
      <c r="DH53" s="284">
        <v>0</v>
      </c>
      <c r="DI53" s="284">
        <v>0</v>
      </c>
      <c r="DJ53" s="284">
        <v>2.324294410625346E-3</v>
      </c>
      <c r="DK53" s="284">
        <v>0.18262313226342006</v>
      </c>
      <c r="DL53" s="284">
        <v>0</v>
      </c>
      <c r="DM53" s="284">
        <v>0</v>
      </c>
      <c r="DN53" s="284">
        <v>0.13303818483674598</v>
      </c>
      <c r="DO53" s="284">
        <v>0</v>
      </c>
      <c r="DP53" s="284">
        <v>0</v>
      </c>
      <c r="DQ53" s="284">
        <v>0</v>
      </c>
      <c r="DR53" s="284">
        <v>0</v>
      </c>
      <c r="DS53" s="284">
        <v>0</v>
      </c>
      <c r="DT53" s="284">
        <v>0</v>
      </c>
      <c r="DU53" s="284">
        <v>0</v>
      </c>
      <c r="DV53" s="284">
        <v>0</v>
      </c>
      <c r="DW53" s="284">
        <v>0</v>
      </c>
      <c r="DX53" s="53">
        <v>1</v>
      </c>
      <c r="DY53" s="71">
        <v>72.181842270776244</v>
      </c>
      <c r="DZ53" s="71">
        <v>16.119269416098785</v>
      </c>
      <c r="EA53" s="71">
        <v>3.5755606068059533E-3</v>
      </c>
      <c r="EB53" s="71">
        <v>2.0701144441945978</v>
      </c>
      <c r="EC53" s="71">
        <v>0</v>
      </c>
      <c r="ED53" s="71">
        <v>0.7376269858624428</v>
      </c>
      <c r="EE53" s="71">
        <v>1.832889317316292E-2</v>
      </c>
      <c r="EF53" s="71">
        <v>0.62510088745322134</v>
      </c>
      <c r="EG53" s="71">
        <v>4.78887112844615</v>
      </c>
      <c r="EH53" s="71">
        <v>0.28726531277671974</v>
      </c>
      <c r="EI53" s="71">
        <v>0</v>
      </c>
      <c r="EJ53" s="71">
        <v>3.168005100611885</v>
      </c>
      <c r="EK53" s="71">
        <v>0</v>
      </c>
      <c r="EL53" s="71">
        <v>99.999999999999986</v>
      </c>
      <c r="EM53" s="53">
        <v>74.793943888497822</v>
      </c>
      <c r="EN53" s="53" t="s">
        <v>112</v>
      </c>
      <c r="EO53" s="288">
        <v>2.2600003047789176E-2</v>
      </c>
      <c r="EP53" s="257">
        <f t="shared" si="14"/>
        <v>2.2600003047789174</v>
      </c>
      <c r="EQ53" s="257">
        <f t="shared" si="15"/>
        <v>30.266256113023008</v>
      </c>
      <c r="ER53" s="324">
        <f t="shared" si="16"/>
        <v>2.0012706480304954E-2</v>
      </c>
      <c r="ES53" s="257">
        <f t="shared" si="9"/>
        <v>0.70443645083932849</v>
      </c>
      <c r="ET53">
        <f t="shared" si="10"/>
        <v>750</v>
      </c>
      <c r="EU53" s="324">
        <f t="shared" si="17"/>
        <v>2.8409527156722267E-2</v>
      </c>
      <c r="EV53" s="39">
        <f t="shared" si="18"/>
        <v>156.69999999999999</v>
      </c>
      <c r="EW53"/>
      <c r="EX53">
        <f t="shared" si="19"/>
        <v>26</v>
      </c>
      <c r="EY53"/>
      <c r="EZ53"/>
      <c r="FA53"/>
      <c r="FB53"/>
      <c r="FC53"/>
      <c r="FD53"/>
    </row>
    <row r="54" spans="1:160" s="77" customFormat="1" ht="13" customHeight="1" x14ac:dyDescent="0.2">
      <c r="A54" s="72" t="s">
        <v>128</v>
      </c>
      <c r="B54" s="73" t="s">
        <v>461</v>
      </c>
      <c r="C54" s="276">
        <f>164.6-F54/100</f>
        <v>164.56</v>
      </c>
      <c r="D54" s="74">
        <v>0</v>
      </c>
      <c r="E54" s="74">
        <v>8</v>
      </c>
      <c r="F54" s="75">
        <f t="shared" si="4"/>
        <v>4</v>
      </c>
      <c r="G54" s="73" t="s">
        <v>513</v>
      </c>
      <c r="H54" s="84">
        <v>7.5</v>
      </c>
      <c r="I54" s="85">
        <v>4</v>
      </c>
      <c r="J54" s="85">
        <v>6</v>
      </c>
      <c r="K54" s="89">
        <f t="shared" si="21"/>
        <v>5</v>
      </c>
      <c r="L54" s="75">
        <v>132</v>
      </c>
      <c r="M54" s="75">
        <v>86</v>
      </c>
      <c r="N54" s="75">
        <v>40</v>
      </c>
      <c r="O54" s="75">
        <v>74.97</v>
      </c>
      <c r="P54" s="75">
        <v>10.84</v>
      </c>
      <c r="Q54" s="75">
        <v>4.51</v>
      </c>
      <c r="R54" s="75">
        <v>0.112</v>
      </c>
      <c r="S54" s="75">
        <v>0.18</v>
      </c>
      <c r="T54" s="75">
        <v>0.06</v>
      </c>
      <c r="U54" s="75">
        <v>0.09</v>
      </c>
      <c r="V54" s="75">
        <v>0.9</v>
      </c>
      <c r="W54" s="75">
        <v>0.65300000000000002</v>
      </c>
      <c r="X54" s="75">
        <v>0.04</v>
      </c>
      <c r="Y54" s="75">
        <v>6.87</v>
      </c>
      <c r="Z54" s="75">
        <v>99.23</v>
      </c>
      <c r="AA54" s="75">
        <v>11</v>
      </c>
      <c r="AB54" s="75">
        <v>1</v>
      </c>
      <c r="AC54" s="75">
        <v>72</v>
      </c>
      <c r="AD54" s="75">
        <v>30</v>
      </c>
      <c r="AE54" s="75">
        <v>14</v>
      </c>
      <c r="AF54" s="75">
        <v>0</v>
      </c>
      <c r="AG54" s="75">
        <v>30</v>
      </c>
      <c r="AH54" s="75">
        <v>30</v>
      </c>
      <c r="AI54" s="75">
        <v>10</v>
      </c>
      <c r="AJ54" s="75">
        <v>0</v>
      </c>
      <c r="AK54" s="75">
        <v>0</v>
      </c>
      <c r="AL54" s="75">
        <v>45</v>
      </c>
      <c r="AM54" s="75">
        <v>36</v>
      </c>
      <c r="AN54" s="75">
        <v>33</v>
      </c>
      <c r="AO54" s="75">
        <v>326</v>
      </c>
      <c r="AP54" s="75">
        <v>4</v>
      </c>
      <c r="AQ54" s="75" t="s">
        <v>72</v>
      </c>
      <c r="AR54" s="75">
        <v>1.3</v>
      </c>
      <c r="AS54" s="75" t="s">
        <v>73</v>
      </c>
      <c r="AT54" s="75">
        <v>1</v>
      </c>
      <c r="AU54" s="75" t="s">
        <v>74</v>
      </c>
      <c r="AV54" s="75">
        <v>2</v>
      </c>
      <c r="AW54" s="75">
        <v>368</v>
      </c>
      <c r="AX54" s="75" t="s">
        <v>75</v>
      </c>
      <c r="AY54" s="75">
        <v>36.200000000000003</v>
      </c>
      <c r="AZ54" s="75">
        <v>80.400000000000006</v>
      </c>
      <c r="BA54" s="75">
        <v>8.7799999999999994</v>
      </c>
      <c r="BB54" s="75">
        <v>32.799999999999997</v>
      </c>
      <c r="BC54" s="75">
        <v>6.6</v>
      </c>
      <c r="BD54" s="75">
        <v>1.75</v>
      </c>
      <c r="BE54" s="75">
        <v>6</v>
      </c>
      <c r="BF54" s="75">
        <v>0.9</v>
      </c>
      <c r="BG54" s="75">
        <v>5.8</v>
      </c>
      <c r="BH54" s="75">
        <v>1.2</v>
      </c>
      <c r="BI54" s="75">
        <v>3.4</v>
      </c>
      <c r="BJ54" s="75">
        <v>0.51</v>
      </c>
      <c r="BK54" s="75">
        <v>3.5</v>
      </c>
      <c r="BL54" s="75">
        <v>0.52</v>
      </c>
      <c r="BM54" s="75">
        <v>7.2</v>
      </c>
      <c r="BN54" s="75">
        <v>0.5</v>
      </c>
      <c r="BO54" s="75">
        <v>0</v>
      </c>
      <c r="BP54" s="75">
        <v>0</v>
      </c>
      <c r="BQ54" s="75">
        <v>14</v>
      </c>
      <c r="BR54" s="75">
        <v>4.3</v>
      </c>
      <c r="BS54" s="75">
        <v>1.8</v>
      </c>
      <c r="BT54" s="76">
        <f t="shared" si="5"/>
        <v>0.68953687821612353</v>
      </c>
      <c r="BU54" s="281">
        <f t="shared" si="6"/>
        <v>188.36</v>
      </c>
      <c r="BV54" s="77">
        <f t="shared" si="7"/>
        <v>4</v>
      </c>
      <c r="BW54" s="78">
        <f t="shared" si="8"/>
        <v>91.169049621530689</v>
      </c>
      <c r="BX54" s="69">
        <f t="shared" si="13"/>
        <v>0.68953687821612353</v>
      </c>
      <c r="BY54" s="76">
        <v>10.74</v>
      </c>
      <c r="BZ54" s="76">
        <v>1.2390000000000001</v>
      </c>
      <c r="CA54" s="76">
        <v>54.11</v>
      </c>
      <c r="CB54" s="76">
        <v>2.99</v>
      </c>
      <c r="CC54" s="76">
        <v>0.26</v>
      </c>
      <c r="CD54" s="76">
        <v>0</v>
      </c>
      <c r="CE54" s="76">
        <v>0</v>
      </c>
      <c r="CF54" s="76">
        <v>0</v>
      </c>
      <c r="CG54" s="76">
        <v>0</v>
      </c>
      <c r="CH54" s="76">
        <v>0</v>
      </c>
      <c r="CI54" s="76">
        <v>0</v>
      </c>
      <c r="CJ54" s="76">
        <v>0</v>
      </c>
      <c r="CK54" s="76">
        <v>9.8800000000000008</v>
      </c>
      <c r="CL54" s="76">
        <v>15.01</v>
      </c>
      <c r="CM54" s="76">
        <v>0.16</v>
      </c>
      <c r="CN54" s="76">
        <v>0</v>
      </c>
      <c r="CO54" s="76">
        <v>0.69</v>
      </c>
      <c r="CP54" s="76">
        <v>4.83</v>
      </c>
      <c r="CQ54" s="76">
        <v>0</v>
      </c>
      <c r="CR54" s="76">
        <v>0</v>
      </c>
      <c r="CS54" s="76">
        <v>0</v>
      </c>
      <c r="CT54" s="76">
        <v>0</v>
      </c>
      <c r="CU54" s="76">
        <v>0</v>
      </c>
      <c r="CV54" s="76">
        <v>0</v>
      </c>
      <c r="CW54" s="76">
        <v>0</v>
      </c>
      <c r="CX54" s="76">
        <v>0</v>
      </c>
      <c r="CY54" s="281">
        <v>99.908999999999992</v>
      </c>
      <c r="CZ54" s="285">
        <v>0.61537586716706472</v>
      </c>
      <c r="DA54" s="285">
        <v>3.4004321619470035E-2</v>
      </c>
      <c r="DB54" s="285">
        <v>2.9568975321278292E-3</v>
      </c>
      <c r="DC54" s="285">
        <v>0</v>
      </c>
      <c r="DD54" s="285">
        <v>0</v>
      </c>
      <c r="DE54" s="285">
        <v>0</v>
      </c>
      <c r="DF54" s="285">
        <v>0</v>
      </c>
      <c r="DG54" s="285">
        <v>0</v>
      </c>
      <c r="DH54" s="285">
        <v>0</v>
      </c>
      <c r="DI54" s="285">
        <v>0</v>
      </c>
      <c r="DJ54" s="285">
        <v>0.11236210622085752</v>
      </c>
      <c r="DK54" s="285">
        <v>0.17070396906630275</v>
      </c>
      <c r="DL54" s="285">
        <v>1.8196292505402026E-3</v>
      </c>
      <c r="DM54" s="285">
        <v>0</v>
      </c>
      <c r="DN54" s="285">
        <v>7.8471511429546222E-3</v>
      </c>
      <c r="DO54" s="285">
        <v>5.4930058000682368E-2</v>
      </c>
      <c r="DP54" s="285">
        <v>0</v>
      </c>
      <c r="DQ54" s="285">
        <v>0</v>
      </c>
      <c r="DR54" s="285">
        <v>0</v>
      </c>
      <c r="DS54" s="285">
        <v>0</v>
      </c>
      <c r="DT54" s="285">
        <v>0</v>
      </c>
      <c r="DU54" s="285">
        <v>0</v>
      </c>
      <c r="DV54" s="285">
        <v>0</v>
      </c>
      <c r="DW54" s="285">
        <v>0</v>
      </c>
      <c r="DX54" s="76">
        <v>1</v>
      </c>
      <c r="DY54" s="78">
        <v>80.329572590632594</v>
      </c>
      <c r="DZ54" s="78">
        <v>13.383285770925434</v>
      </c>
      <c r="EA54" s="78">
        <v>0.17996888179510453</v>
      </c>
      <c r="EB54" s="78">
        <v>0.36863370281652635</v>
      </c>
      <c r="EC54" s="78">
        <v>0</v>
      </c>
      <c r="ED54" s="78">
        <v>0.18297370090650333</v>
      </c>
      <c r="EE54" s="78">
        <v>2.7473629972108683E-3</v>
      </c>
      <c r="EF54" s="78">
        <v>3.4957560950918024E-2</v>
      </c>
      <c r="EG54" s="78">
        <v>1.2632187325950175</v>
      </c>
      <c r="EH54" s="78">
        <v>1.6944115182067825E-2</v>
      </c>
      <c r="EI54" s="78">
        <v>0</v>
      </c>
      <c r="EJ54" s="78">
        <v>4.2376975811986304</v>
      </c>
      <c r="EK54" s="78">
        <v>0</v>
      </c>
      <c r="EL54" s="78">
        <v>100.00000000000003</v>
      </c>
      <c r="EM54" s="76">
        <v>91.140662607892182</v>
      </c>
      <c r="EN54" s="76" t="s">
        <v>128</v>
      </c>
      <c r="EO54" s="289">
        <v>5.8177961786511825E-3</v>
      </c>
      <c r="EP54" s="257">
        <f t="shared" si="14"/>
        <v>0.58177961786511823</v>
      </c>
      <c r="EQ54" s="257">
        <f t="shared" si="15"/>
        <v>73.94533571004159</v>
      </c>
      <c r="ER54" s="324">
        <f t="shared" si="16"/>
        <v>5.0651230101302465E-2</v>
      </c>
      <c r="ES54" s="257">
        <f t="shared" si="9"/>
        <v>0.68953687821612353</v>
      </c>
      <c r="ET54">
        <f t="shared" si="10"/>
        <v>4</v>
      </c>
      <c r="EU54" s="324">
        <f t="shared" si="17"/>
        <v>7.3456883455371477E-2</v>
      </c>
      <c r="EV54" s="39">
        <f t="shared" si="18"/>
        <v>164.56</v>
      </c>
      <c r="EW54"/>
      <c r="EX54">
        <f t="shared" si="19"/>
        <v>27.5</v>
      </c>
      <c r="EY54"/>
      <c r="EZ54"/>
      <c r="FA54"/>
      <c r="FB54"/>
      <c r="FC54"/>
      <c r="FD54"/>
    </row>
    <row r="55" spans="1:160" s="77" customFormat="1" ht="13" customHeight="1" x14ac:dyDescent="0.2">
      <c r="A55" s="72" t="s">
        <v>129</v>
      </c>
      <c r="B55" s="73" t="s">
        <v>461</v>
      </c>
      <c r="C55" s="276">
        <f t="shared" ref="C55:C65" si="24">164.6-F55/100</f>
        <v>164.42</v>
      </c>
      <c r="D55" s="74">
        <v>8</v>
      </c>
      <c r="E55" s="74">
        <v>28</v>
      </c>
      <c r="F55" s="75">
        <f t="shared" si="4"/>
        <v>18</v>
      </c>
      <c r="G55" s="73" t="s">
        <v>514</v>
      </c>
      <c r="H55" s="84">
        <v>7.5</v>
      </c>
      <c r="I55" s="85">
        <v>4</v>
      </c>
      <c r="J55" s="85">
        <v>4</v>
      </c>
      <c r="K55" s="89">
        <f t="shared" si="21"/>
        <v>7.5</v>
      </c>
      <c r="L55" s="75">
        <v>124</v>
      </c>
      <c r="M55" s="75">
        <v>89</v>
      </c>
      <c r="N55" s="75">
        <v>58</v>
      </c>
      <c r="O55" s="75">
        <v>64.52</v>
      </c>
      <c r="P55" s="75">
        <v>16.98</v>
      </c>
      <c r="Q55" s="75">
        <v>7.11</v>
      </c>
      <c r="R55" s="75">
        <v>2.9000000000000001E-2</v>
      </c>
      <c r="S55" s="75">
        <v>0.24</v>
      </c>
      <c r="T55" s="75">
        <v>0.02</v>
      </c>
      <c r="U55" s="75">
        <v>0.06</v>
      </c>
      <c r="V55" s="75">
        <v>0.72</v>
      </c>
      <c r="W55" s="75">
        <v>0.746</v>
      </c>
      <c r="X55" s="75">
        <v>0.04</v>
      </c>
      <c r="Y55" s="75">
        <v>8.67</v>
      </c>
      <c r="Z55" s="75">
        <v>99.14</v>
      </c>
      <c r="AA55" s="75">
        <v>19</v>
      </c>
      <c r="AB55" s="75">
        <v>1</v>
      </c>
      <c r="AC55" s="75">
        <v>118</v>
      </c>
      <c r="AD55" s="75">
        <v>30</v>
      </c>
      <c r="AE55" s="75">
        <v>10</v>
      </c>
      <c r="AF55" s="75">
        <v>0</v>
      </c>
      <c r="AG55" s="75">
        <v>40</v>
      </c>
      <c r="AH55" s="75">
        <v>50</v>
      </c>
      <c r="AI55" s="75">
        <v>18</v>
      </c>
      <c r="AJ55" s="75">
        <v>1</v>
      </c>
      <c r="AK55" s="75">
        <v>0</v>
      </c>
      <c r="AL55" s="75">
        <v>50</v>
      </c>
      <c r="AM55" s="75">
        <v>23</v>
      </c>
      <c r="AN55" s="75">
        <v>14</v>
      </c>
      <c r="AO55" s="75">
        <v>285</v>
      </c>
      <c r="AP55" s="75">
        <v>6</v>
      </c>
      <c r="AQ55" s="75" t="s">
        <v>72</v>
      </c>
      <c r="AR55" s="75">
        <v>1.2</v>
      </c>
      <c r="AS55" s="75" t="s">
        <v>73</v>
      </c>
      <c r="AT55" s="75">
        <v>1</v>
      </c>
      <c r="AU55" s="75" t="s">
        <v>74</v>
      </c>
      <c r="AV55" s="75">
        <v>2.5</v>
      </c>
      <c r="AW55" s="75">
        <v>230</v>
      </c>
      <c r="AX55" s="75" t="s">
        <v>75</v>
      </c>
      <c r="AY55" s="75">
        <v>19.3</v>
      </c>
      <c r="AZ55" s="75">
        <v>38.299999999999997</v>
      </c>
      <c r="BA55" s="75">
        <v>4.71</v>
      </c>
      <c r="BB55" s="75">
        <v>17.8</v>
      </c>
      <c r="BC55" s="75">
        <v>3.4</v>
      </c>
      <c r="BD55" s="75">
        <v>0.91</v>
      </c>
      <c r="BE55" s="75">
        <v>3</v>
      </c>
      <c r="BF55" s="75">
        <v>0.5</v>
      </c>
      <c r="BG55" s="75">
        <v>2.9</v>
      </c>
      <c r="BH55" s="75">
        <v>0.6</v>
      </c>
      <c r="BI55" s="75">
        <v>1.7</v>
      </c>
      <c r="BJ55" s="75">
        <v>0.26</v>
      </c>
      <c r="BK55" s="75">
        <v>1.7</v>
      </c>
      <c r="BL55" s="75">
        <v>0.31</v>
      </c>
      <c r="BM55" s="75">
        <v>6.5</v>
      </c>
      <c r="BN55" s="75">
        <v>0.5</v>
      </c>
      <c r="BO55" s="75">
        <v>0</v>
      </c>
      <c r="BP55" s="75">
        <v>0</v>
      </c>
      <c r="BQ55" s="75">
        <v>11</v>
      </c>
      <c r="BR55" s="75">
        <v>6.4</v>
      </c>
      <c r="BS55" s="75">
        <v>1.9</v>
      </c>
      <c r="BT55" s="76">
        <f t="shared" si="5"/>
        <v>0.66493055555555558</v>
      </c>
      <c r="BU55" s="281">
        <f t="shared" si="6"/>
        <v>95.390000000000015</v>
      </c>
      <c r="BV55" s="77">
        <f t="shared" si="7"/>
        <v>18</v>
      </c>
      <c r="BW55" s="78">
        <f t="shared" si="8"/>
        <v>95.500562429696302</v>
      </c>
      <c r="BX55" s="69">
        <f t="shared" si="13"/>
        <v>0.66493055555555558</v>
      </c>
      <c r="BY55" s="76">
        <v>8.82</v>
      </c>
      <c r="BZ55" s="76">
        <v>2.0099999999999998</v>
      </c>
      <c r="CA55" s="76">
        <v>42.52</v>
      </c>
      <c r="CB55" s="76">
        <v>2.4656000000000002</v>
      </c>
      <c r="CC55" s="76">
        <v>0.21440000000000001</v>
      </c>
      <c r="CD55" s="76">
        <v>0</v>
      </c>
      <c r="CE55" s="76">
        <v>0</v>
      </c>
      <c r="CF55" s="76">
        <v>0</v>
      </c>
      <c r="CG55" s="76">
        <v>0</v>
      </c>
      <c r="CH55" s="76">
        <v>0</v>
      </c>
      <c r="CI55" s="76">
        <v>0</v>
      </c>
      <c r="CJ55" s="76">
        <v>0</v>
      </c>
      <c r="CK55" s="76">
        <v>20.86</v>
      </c>
      <c r="CL55" s="76">
        <v>14.72</v>
      </c>
      <c r="CM55" s="76">
        <v>3.58</v>
      </c>
      <c r="CN55" s="76">
        <v>0</v>
      </c>
      <c r="CO55" s="76">
        <v>1.02</v>
      </c>
      <c r="CP55" s="76">
        <v>4.03</v>
      </c>
      <c r="CQ55" s="76">
        <v>0</v>
      </c>
      <c r="CR55" s="76">
        <v>0</v>
      </c>
      <c r="CS55" s="76">
        <v>0</v>
      </c>
      <c r="CT55" s="76">
        <v>0</v>
      </c>
      <c r="CU55" s="76">
        <v>0</v>
      </c>
      <c r="CV55" s="76">
        <v>0</v>
      </c>
      <c r="CW55" s="76">
        <v>0</v>
      </c>
      <c r="CX55" s="76">
        <v>0</v>
      </c>
      <c r="CY55" s="281">
        <v>100.24</v>
      </c>
      <c r="CZ55" s="285">
        <v>0.47556201767140144</v>
      </c>
      <c r="DA55" s="285">
        <v>2.757633374342915E-2</v>
      </c>
      <c r="DB55" s="285">
        <v>2.3979420646460131E-3</v>
      </c>
      <c r="DC55" s="285">
        <v>0</v>
      </c>
      <c r="DD55" s="285">
        <v>0</v>
      </c>
      <c r="DE55" s="285">
        <v>0</v>
      </c>
      <c r="DF55" s="285">
        <v>0</v>
      </c>
      <c r="DG55" s="285">
        <v>0</v>
      </c>
      <c r="DH55" s="285">
        <v>0</v>
      </c>
      <c r="DI55" s="285">
        <v>0</v>
      </c>
      <c r="DJ55" s="285">
        <v>0.23330723632703276</v>
      </c>
      <c r="DK55" s="285">
        <v>0.16463482831897999</v>
      </c>
      <c r="DL55" s="285">
        <v>4.0040263952578016E-2</v>
      </c>
      <c r="DM55" s="285">
        <v>0</v>
      </c>
      <c r="DN55" s="285">
        <v>1.1408119897103233E-2</v>
      </c>
      <c r="DO55" s="285">
        <v>4.5073258024829442E-2</v>
      </c>
      <c r="DP55" s="285">
        <v>0</v>
      </c>
      <c r="DQ55" s="285">
        <v>0</v>
      </c>
      <c r="DR55" s="285">
        <v>0</v>
      </c>
      <c r="DS55" s="285">
        <v>0</v>
      </c>
      <c r="DT55" s="285">
        <v>0</v>
      </c>
      <c r="DU55" s="285">
        <v>0</v>
      </c>
      <c r="DV55" s="285">
        <v>0</v>
      </c>
      <c r="DW55" s="285">
        <v>0</v>
      </c>
      <c r="DX55" s="76">
        <v>1</v>
      </c>
      <c r="DY55" s="78">
        <v>72.362232015451596</v>
      </c>
      <c r="DZ55" s="78">
        <v>18.99089349110394</v>
      </c>
      <c r="EA55" s="78">
        <v>0.51552415645270533</v>
      </c>
      <c r="EB55" s="78">
        <v>0.37980549890809384</v>
      </c>
      <c r="EC55" s="78">
        <v>0</v>
      </c>
      <c r="ED55" s="78">
        <v>0.24110775477667379</v>
      </c>
      <c r="EE55" s="78">
        <v>3.8236879405634999E-2</v>
      </c>
      <c r="EF55" s="78">
        <v>2.8349378012200031E-2</v>
      </c>
      <c r="EG55" s="78">
        <v>1.2099496122718043</v>
      </c>
      <c r="EH55" s="78">
        <v>2.4633206883100139E-2</v>
      </c>
      <c r="EI55" s="78">
        <v>0</v>
      </c>
      <c r="EJ55" s="78">
        <v>6.2092680067342494</v>
      </c>
      <c r="EK55" s="78">
        <v>0</v>
      </c>
      <c r="EL55" s="78">
        <v>100</v>
      </c>
      <c r="EM55" s="76">
        <v>93.701540304075067</v>
      </c>
      <c r="EN55" s="76" t="s">
        <v>129</v>
      </c>
      <c r="EO55" s="289">
        <v>9.2951215026252764E-3</v>
      </c>
      <c r="EP55" s="257">
        <f t="shared" si="14"/>
        <v>0.92951215026252765</v>
      </c>
      <c r="EQ55" s="257">
        <f t="shared" si="15"/>
        <v>82.151927961209907</v>
      </c>
      <c r="ER55" s="324">
        <f t="shared" si="16"/>
        <v>4.8637092463923039E-2</v>
      </c>
      <c r="ES55" s="257">
        <f t="shared" si="9"/>
        <v>0.66493055555555558</v>
      </c>
      <c r="ET55">
        <f t="shared" si="10"/>
        <v>18</v>
      </c>
      <c r="EU55" s="324">
        <f t="shared" si="17"/>
        <v>7.3146123392218459E-2</v>
      </c>
      <c r="EV55" s="39">
        <f t="shared" si="18"/>
        <v>164.42</v>
      </c>
      <c r="EW55"/>
      <c r="EX55">
        <f t="shared" si="19"/>
        <v>23.333333333333336</v>
      </c>
      <c r="EY55"/>
      <c r="EZ55"/>
      <c r="FA55"/>
      <c r="FB55"/>
      <c r="FC55"/>
      <c r="FD55"/>
    </row>
    <row r="56" spans="1:160" s="77" customFormat="1" ht="13" customHeight="1" x14ac:dyDescent="0.2">
      <c r="A56" s="72" t="s">
        <v>130</v>
      </c>
      <c r="B56" s="73" t="s">
        <v>461</v>
      </c>
      <c r="C56" s="276">
        <f t="shared" si="24"/>
        <v>164.07</v>
      </c>
      <c r="D56" s="74">
        <v>28</v>
      </c>
      <c r="E56" s="74">
        <v>78</v>
      </c>
      <c r="F56" s="75">
        <f t="shared" si="4"/>
        <v>53</v>
      </c>
      <c r="G56" s="73" t="s">
        <v>517</v>
      </c>
      <c r="H56" s="84">
        <v>5</v>
      </c>
      <c r="I56" s="85">
        <v>5</v>
      </c>
      <c r="J56" s="85">
        <v>6</v>
      </c>
      <c r="K56" s="89">
        <f t="shared" si="21"/>
        <v>4.166666666666667</v>
      </c>
      <c r="L56" s="75">
        <v>164</v>
      </c>
      <c r="M56" s="75">
        <v>109</v>
      </c>
      <c r="N56" s="75">
        <v>70</v>
      </c>
      <c r="O56" s="75">
        <v>52.37</v>
      </c>
      <c r="P56" s="75">
        <v>23.66</v>
      </c>
      <c r="Q56" s="75">
        <v>11.31</v>
      </c>
      <c r="R56" s="75">
        <v>2.7E-2</v>
      </c>
      <c r="S56" s="75">
        <v>0.28999999999999998</v>
      </c>
      <c r="T56" s="75">
        <v>0.01</v>
      </c>
      <c r="U56" s="75">
        <v>0.04</v>
      </c>
      <c r="V56" s="75">
        <v>0.43</v>
      </c>
      <c r="W56" s="75">
        <v>0.75600000000000001</v>
      </c>
      <c r="X56" s="75">
        <v>0.06</v>
      </c>
      <c r="Y56" s="75">
        <v>11.85</v>
      </c>
      <c r="Z56" s="75">
        <v>100.8</v>
      </c>
      <c r="AA56" s="75">
        <v>31</v>
      </c>
      <c r="AB56" s="75">
        <v>2</v>
      </c>
      <c r="AC56" s="75">
        <v>172</v>
      </c>
      <c r="AD56" s="75">
        <v>30</v>
      </c>
      <c r="AE56" s="75">
        <v>7</v>
      </c>
      <c r="AF56" s="75">
        <v>0</v>
      </c>
      <c r="AG56" s="75">
        <v>60</v>
      </c>
      <c r="AH56" s="75">
        <v>70</v>
      </c>
      <c r="AI56" s="75">
        <v>24</v>
      </c>
      <c r="AJ56" s="75">
        <v>1</v>
      </c>
      <c r="AK56" s="75">
        <v>0</v>
      </c>
      <c r="AL56" s="75">
        <v>35</v>
      </c>
      <c r="AM56" s="75">
        <v>9</v>
      </c>
      <c r="AN56" s="75">
        <v>5</v>
      </c>
      <c r="AO56" s="75">
        <v>143</v>
      </c>
      <c r="AP56" s="75">
        <v>6</v>
      </c>
      <c r="AQ56" s="75" t="s">
        <v>72</v>
      </c>
      <c r="AR56" s="75">
        <v>0.6</v>
      </c>
      <c r="AS56" s="75" t="s">
        <v>73</v>
      </c>
      <c r="AT56" s="75">
        <v>2</v>
      </c>
      <c r="AU56" s="75" t="s">
        <v>74</v>
      </c>
      <c r="AV56" s="75">
        <v>2</v>
      </c>
      <c r="AW56" s="75">
        <v>90</v>
      </c>
      <c r="AX56" s="75" t="s">
        <v>75</v>
      </c>
      <c r="AY56" s="75">
        <v>9.1999999999999993</v>
      </c>
      <c r="AZ56" s="75">
        <v>19.8</v>
      </c>
      <c r="BA56" s="75">
        <v>2.19</v>
      </c>
      <c r="BB56" s="75">
        <v>8.4</v>
      </c>
      <c r="BC56" s="75">
        <v>1.6</v>
      </c>
      <c r="BD56" s="75">
        <v>0.41</v>
      </c>
      <c r="BE56" s="75">
        <v>1.3</v>
      </c>
      <c r="BF56" s="75">
        <v>0.2</v>
      </c>
      <c r="BG56" s="75">
        <v>1.3</v>
      </c>
      <c r="BH56" s="75">
        <v>0.2</v>
      </c>
      <c r="BI56" s="75">
        <v>0.8</v>
      </c>
      <c r="BJ56" s="75">
        <v>0.12</v>
      </c>
      <c r="BK56" s="75">
        <v>0.9</v>
      </c>
      <c r="BL56" s="75">
        <v>0.15</v>
      </c>
      <c r="BM56" s="75">
        <v>3.5</v>
      </c>
      <c r="BN56" s="75">
        <v>0.4</v>
      </c>
      <c r="BO56" s="75">
        <v>0</v>
      </c>
      <c r="BP56" s="75">
        <v>0</v>
      </c>
      <c r="BQ56" s="75">
        <v>11</v>
      </c>
      <c r="BR56" s="75">
        <v>8.1</v>
      </c>
      <c r="BS56" s="75">
        <v>1.4</v>
      </c>
      <c r="BT56" s="76">
        <f t="shared" si="5"/>
        <v>0.6827586206896552</v>
      </c>
      <c r="BU56" s="281">
        <f t="shared" si="6"/>
        <v>46.569999999999993</v>
      </c>
      <c r="BV56" s="77">
        <f t="shared" si="7"/>
        <v>53</v>
      </c>
      <c r="BW56" s="78">
        <f t="shared" si="8"/>
        <v>98.011599005799496</v>
      </c>
      <c r="BX56" s="69">
        <f t="shared" si="13"/>
        <v>0.6827586206896552</v>
      </c>
      <c r="BY56" s="76">
        <v>9.26</v>
      </c>
      <c r="BZ56" s="76">
        <v>2.06</v>
      </c>
      <c r="CA56" s="76">
        <v>27.41</v>
      </c>
      <c r="CB56" s="76">
        <v>0.21160000000000001</v>
      </c>
      <c r="CC56" s="76">
        <v>1.84E-2</v>
      </c>
      <c r="CD56" s="76">
        <v>0</v>
      </c>
      <c r="CE56" s="76">
        <v>0</v>
      </c>
      <c r="CF56" s="76">
        <v>0</v>
      </c>
      <c r="CG56" s="76">
        <v>0</v>
      </c>
      <c r="CH56" s="76">
        <v>11.8</v>
      </c>
      <c r="CI56" s="76">
        <v>2.09</v>
      </c>
      <c r="CJ56" s="76">
        <v>0</v>
      </c>
      <c r="CK56" s="76">
        <v>23.36</v>
      </c>
      <c r="CL56" s="76">
        <v>16.350000000000001</v>
      </c>
      <c r="CM56" s="76">
        <v>0.2</v>
      </c>
      <c r="CN56" s="76">
        <v>0</v>
      </c>
      <c r="CO56" s="76">
        <v>1.02</v>
      </c>
      <c r="CP56" s="76">
        <v>6.25</v>
      </c>
      <c r="CQ56" s="76">
        <v>0</v>
      </c>
      <c r="CR56" s="76">
        <v>0</v>
      </c>
      <c r="CS56" s="76">
        <v>0</v>
      </c>
      <c r="CT56" s="76">
        <v>0</v>
      </c>
      <c r="CU56" s="76">
        <v>0</v>
      </c>
      <c r="CV56" s="76">
        <v>0</v>
      </c>
      <c r="CW56" s="76">
        <v>0</v>
      </c>
      <c r="CX56" s="76">
        <v>0</v>
      </c>
      <c r="CY56" s="281">
        <v>100.03</v>
      </c>
      <c r="CZ56" s="285">
        <v>0.3089843309660692</v>
      </c>
      <c r="DA56" s="285">
        <v>2.3853004170893925E-3</v>
      </c>
      <c r="DB56" s="285">
        <v>2.0741742757299063E-4</v>
      </c>
      <c r="DC56" s="285">
        <v>0</v>
      </c>
      <c r="DD56" s="285">
        <v>0</v>
      </c>
      <c r="DE56" s="285">
        <v>0</v>
      </c>
      <c r="DF56" s="285">
        <v>0</v>
      </c>
      <c r="DG56" s="285">
        <v>0.13301769811746139</v>
      </c>
      <c r="DH56" s="285">
        <v>2.355991432758426E-2</v>
      </c>
      <c r="DI56" s="285">
        <v>0</v>
      </c>
      <c r="DJ56" s="285">
        <v>0.26332995152744898</v>
      </c>
      <c r="DK56" s="285">
        <v>0.18430842069665201</v>
      </c>
      <c r="DL56" s="285">
        <v>2.2545372562281589E-3</v>
      </c>
      <c r="DM56" s="285">
        <v>0</v>
      </c>
      <c r="DN56" s="285">
        <v>1.1498140006763611E-2</v>
      </c>
      <c r="DO56" s="285">
        <v>7.0454289257129973E-2</v>
      </c>
      <c r="DP56" s="285">
        <v>0</v>
      </c>
      <c r="DQ56" s="285">
        <v>0</v>
      </c>
      <c r="DR56" s="285">
        <v>0</v>
      </c>
      <c r="DS56" s="285">
        <v>0</v>
      </c>
      <c r="DT56" s="285">
        <v>0</v>
      </c>
      <c r="DU56" s="285">
        <v>0</v>
      </c>
      <c r="DV56" s="285">
        <v>0</v>
      </c>
      <c r="DW56" s="285">
        <v>0</v>
      </c>
      <c r="DX56" s="76">
        <v>0.99999999999999989</v>
      </c>
      <c r="DY56" s="78">
        <v>56.046329303637258</v>
      </c>
      <c r="DZ56" s="78">
        <v>21.901605333243829</v>
      </c>
      <c r="EA56" s="78">
        <v>11.533981419338875</v>
      </c>
      <c r="EB56" s="78">
        <v>0.49511794957736105</v>
      </c>
      <c r="EC56" s="78">
        <v>0</v>
      </c>
      <c r="ED56" s="78">
        <v>0.2425014148370836</v>
      </c>
      <c r="EE56" s="78">
        <v>3.6486142912956375E-3</v>
      </c>
      <c r="EF56" s="78">
        <v>2.4521672759649712E-3</v>
      </c>
      <c r="EG56" s="78">
        <v>0.92990882996537694</v>
      </c>
      <c r="EH56" s="78">
        <v>2.4827584572404277E-2</v>
      </c>
      <c r="EI56" s="78">
        <v>0</v>
      </c>
      <c r="EJ56" s="78">
        <v>8.8196273832605474</v>
      </c>
      <c r="EK56" s="78">
        <v>0</v>
      </c>
      <c r="EL56" s="78">
        <v>100</v>
      </c>
      <c r="EM56" s="76">
        <v>95.901456374511966</v>
      </c>
      <c r="EN56" s="76" t="s">
        <v>130</v>
      </c>
      <c r="EO56" s="289">
        <v>0.12073659984378199</v>
      </c>
      <c r="EP56" s="257">
        <f t="shared" si="14"/>
        <v>12.0736599843782</v>
      </c>
      <c r="EQ56" s="257">
        <f t="shared" si="15"/>
        <v>87.725040916530276</v>
      </c>
      <c r="ER56" s="324">
        <f t="shared" si="16"/>
        <v>4.6538024971623147E-2</v>
      </c>
      <c r="ES56" s="257">
        <f t="shared" si="9"/>
        <v>0.6827586206896552</v>
      </c>
      <c r="ET56">
        <f t="shared" si="10"/>
        <v>53</v>
      </c>
      <c r="EU56" s="324">
        <f t="shared" si="17"/>
        <v>6.8161753746316722E-2</v>
      </c>
      <c r="EV56" s="39">
        <f t="shared" si="18"/>
        <v>164.07</v>
      </c>
      <c r="EW56"/>
      <c r="EX56">
        <f t="shared" si="19"/>
        <v>25</v>
      </c>
      <c r="EY56"/>
      <c r="EZ56"/>
      <c r="FA56"/>
      <c r="FB56"/>
      <c r="FC56"/>
      <c r="FD56"/>
    </row>
    <row r="57" spans="1:160" s="77" customFormat="1" ht="13" customHeight="1" x14ac:dyDescent="0.2">
      <c r="A57" s="72" t="s">
        <v>131</v>
      </c>
      <c r="B57" s="73" t="s">
        <v>461</v>
      </c>
      <c r="C57" s="276">
        <f t="shared" si="24"/>
        <v>163.66</v>
      </c>
      <c r="D57" s="74">
        <v>78</v>
      </c>
      <c r="E57" s="74">
        <v>110</v>
      </c>
      <c r="F57" s="75">
        <f t="shared" si="4"/>
        <v>94</v>
      </c>
      <c r="G57" s="73" t="s">
        <v>518</v>
      </c>
      <c r="H57" s="84">
        <v>2.5</v>
      </c>
      <c r="I57" s="85">
        <v>4</v>
      </c>
      <c r="J57" s="85">
        <v>8</v>
      </c>
      <c r="K57" s="89">
        <f t="shared" si="21"/>
        <v>1.25</v>
      </c>
      <c r="L57" s="75">
        <v>150</v>
      </c>
      <c r="M57" s="75">
        <v>75</v>
      </c>
      <c r="N57" s="75">
        <v>38</v>
      </c>
      <c r="O57" s="75">
        <v>54.6</v>
      </c>
      <c r="P57" s="75">
        <v>22.62</v>
      </c>
      <c r="Q57" s="75">
        <v>10.56</v>
      </c>
      <c r="R57" s="75">
        <v>2.5000000000000001E-2</v>
      </c>
      <c r="S57" s="75">
        <v>0.4</v>
      </c>
      <c r="T57" s="75">
        <v>0.03</v>
      </c>
      <c r="U57" s="75">
        <v>0.04</v>
      </c>
      <c r="V57" s="75">
        <v>0.32</v>
      </c>
      <c r="W57" s="75">
        <v>0.75800000000000001</v>
      </c>
      <c r="X57" s="75">
        <v>7.0000000000000007E-2</v>
      </c>
      <c r="Y57" s="75">
        <v>11.01</v>
      </c>
      <c r="Z57" s="75">
        <v>100.4</v>
      </c>
      <c r="AA57" s="75">
        <v>35</v>
      </c>
      <c r="AB57" s="75">
        <v>2</v>
      </c>
      <c r="AC57" s="75">
        <v>152</v>
      </c>
      <c r="AD57" s="75">
        <v>30</v>
      </c>
      <c r="AE57" s="75">
        <v>5</v>
      </c>
      <c r="AF57" s="75">
        <v>0</v>
      </c>
      <c r="AG57" s="75">
        <v>60</v>
      </c>
      <c r="AH57" s="75">
        <v>60</v>
      </c>
      <c r="AI57" s="75">
        <v>23</v>
      </c>
      <c r="AJ57" s="75">
        <v>1</v>
      </c>
      <c r="AK57" s="75">
        <v>0</v>
      </c>
      <c r="AL57" s="75">
        <v>24</v>
      </c>
      <c r="AM57" s="75">
        <v>4</v>
      </c>
      <c r="AN57" s="75" t="s">
        <v>72</v>
      </c>
      <c r="AO57" s="75">
        <v>107</v>
      </c>
      <c r="AP57" s="75">
        <v>5</v>
      </c>
      <c r="AQ57" s="75" t="s">
        <v>72</v>
      </c>
      <c r="AR57" s="75" t="s">
        <v>74</v>
      </c>
      <c r="AS57" s="75" t="s">
        <v>73</v>
      </c>
      <c r="AT57" s="75">
        <v>1</v>
      </c>
      <c r="AU57" s="75" t="s">
        <v>74</v>
      </c>
      <c r="AV57" s="75">
        <v>1.4</v>
      </c>
      <c r="AW57" s="75">
        <v>46</v>
      </c>
      <c r="AX57" s="75" t="s">
        <v>75</v>
      </c>
      <c r="AY57" s="75">
        <v>4.7</v>
      </c>
      <c r="AZ57" s="75">
        <v>12.2</v>
      </c>
      <c r="BA57" s="75">
        <v>1.2</v>
      </c>
      <c r="BB57" s="75">
        <v>4.5</v>
      </c>
      <c r="BC57" s="75">
        <v>0.9</v>
      </c>
      <c r="BD57" s="75">
        <v>0.25</v>
      </c>
      <c r="BE57" s="75">
        <v>0.6</v>
      </c>
      <c r="BF57" s="75">
        <v>0.1</v>
      </c>
      <c r="BG57" s="75">
        <v>0.7</v>
      </c>
      <c r="BH57" s="75">
        <v>0.2</v>
      </c>
      <c r="BI57" s="75">
        <v>0.5</v>
      </c>
      <c r="BJ57" s="75">
        <v>0.08</v>
      </c>
      <c r="BK57" s="75">
        <v>0.6</v>
      </c>
      <c r="BL57" s="75">
        <v>0.1</v>
      </c>
      <c r="BM57" s="75">
        <v>2.7</v>
      </c>
      <c r="BN57" s="75">
        <v>0.4</v>
      </c>
      <c r="BO57" s="75">
        <v>0</v>
      </c>
      <c r="BP57" s="75">
        <v>0</v>
      </c>
      <c r="BQ57" s="75">
        <v>11</v>
      </c>
      <c r="BR57" s="75">
        <v>5.3</v>
      </c>
      <c r="BS57" s="75">
        <v>0.9</v>
      </c>
      <c r="BT57" s="76">
        <f t="shared" si="5"/>
        <v>0.72189349112426038</v>
      </c>
      <c r="BU57" s="281">
        <f t="shared" si="6"/>
        <v>26.63</v>
      </c>
      <c r="BV57" s="77">
        <f t="shared" si="7"/>
        <v>94</v>
      </c>
      <c r="BW57" s="78">
        <f t="shared" si="8"/>
        <v>98.305084745762699</v>
      </c>
      <c r="BX57" s="69">
        <f t="shared" si="13"/>
        <v>0.72189349112426038</v>
      </c>
      <c r="BY57" s="76">
        <v>8.2799999999999994</v>
      </c>
      <c r="BZ57" s="76">
        <v>1.82</v>
      </c>
      <c r="CA57" s="76">
        <v>24.26</v>
      </c>
      <c r="CB57" s="76">
        <v>0.1012</v>
      </c>
      <c r="CC57" s="76">
        <v>8.8000000000000005E-3</v>
      </c>
      <c r="CD57" s="76">
        <v>0</v>
      </c>
      <c r="CE57" s="76">
        <v>0</v>
      </c>
      <c r="CF57" s="76">
        <v>0</v>
      </c>
      <c r="CG57" s="76">
        <v>0</v>
      </c>
      <c r="CH57" s="76">
        <v>8.1</v>
      </c>
      <c r="CI57" s="76">
        <v>1.6</v>
      </c>
      <c r="CJ57" s="76">
        <v>0</v>
      </c>
      <c r="CK57" s="76">
        <v>26.39</v>
      </c>
      <c r="CL57" s="76">
        <v>13.89</v>
      </c>
      <c r="CM57" s="76">
        <v>0.18</v>
      </c>
      <c r="CN57" s="76">
        <v>0</v>
      </c>
      <c r="CO57" s="76">
        <v>12.07</v>
      </c>
      <c r="CP57" s="76">
        <v>3.3</v>
      </c>
      <c r="CQ57" s="76">
        <v>0</v>
      </c>
      <c r="CR57" s="76">
        <v>0</v>
      </c>
      <c r="CS57" s="76">
        <v>0</v>
      </c>
      <c r="CT57" s="76">
        <v>0</v>
      </c>
      <c r="CU57" s="76">
        <v>0</v>
      </c>
      <c r="CV57" s="76">
        <v>0</v>
      </c>
      <c r="CW57" s="76">
        <v>0</v>
      </c>
      <c r="CX57" s="76">
        <v>0</v>
      </c>
      <c r="CY57" s="281">
        <v>100.00000000000001</v>
      </c>
      <c r="CZ57" s="285">
        <v>0.26985539488320359</v>
      </c>
      <c r="DA57" s="285">
        <v>1.1256952169076753E-3</v>
      </c>
      <c r="DB57" s="285">
        <v>9.7886540600667426E-5</v>
      </c>
      <c r="DC57" s="285">
        <v>0</v>
      </c>
      <c r="DD57" s="285">
        <v>0</v>
      </c>
      <c r="DE57" s="285">
        <v>0</v>
      </c>
      <c r="DF57" s="285">
        <v>0</v>
      </c>
      <c r="DG57" s="285">
        <v>9.0100111234705238E-2</v>
      </c>
      <c r="DH57" s="285">
        <v>1.7797552836484987E-2</v>
      </c>
      <c r="DI57" s="285">
        <v>0</v>
      </c>
      <c r="DJ57" s="285">
        <v>0.29354838709677422</v>
      </c>
      <c r="DK57" s="285">
        <v>0.15450500556173527</v>
      </c>
      <c r="DL57" s="285">
        <v>2.0022246941045607E-3</v>
      </c>
      <c r="DM57" s="285">
        <v>0</v>
      </c>
      <c r="DN57" s="285">
        <v>0.13426028921023361</v>
      </c>
      <c r="DO57" s="285">
        <v>3.6707452725250278E-2</v>
      </c>
      <c r="DP57" s="285">
        <v>0</v>
      </c>
      <c r="DQ57" s="285">
        <v>0</v>
      </c>
      <c r="DR57" s="285">
        <v>0</v>
      </c>
      <c r="DS57" s="285">
        <v>0</v>
      </c>
      <c r="DT57" s="285">
        <v>0</v>
      </c>
      <c r="DU57" s="285">
        <v>0</v>
      </c>
      <c r="DV57" s="285">
        <v>0</v>
      </c>
      <c r="DW57" s="285">
        <v>0</v>
      </c>
      <c r="DX57" s="76">
        <v>1.0000000000000002</v>
      </c>
      <c r="DY57" s="78">
        <v>55.367886034630509</v>
      </c>
      <c r="DZ57" s="78">
        <v>23.488437657595046</v>
      </c>
      <c r="EA57" s="78">
        <v>7.991637775192113</v>
      </c>
      <c r="EB57" s="78">
        <v>2.2538761813992365</v>
      </c>
      <c r="EC57" s="78">
        <v>0</v>
      </c>
      <c r="ED57" s="78">
        <v>0.83889526135226045</v>
      </c>
      <c r="EE57" s="78">
        <v>2.0330716387624941E-2</v>
      </c>
      <c r="EF57" s="78">
        <v>1.1572517045796678E-3</v>
      </c>
      <c r="EG57" s="78">
        <v>1.1832301795078148</v>
      </c>
      <c r="EH57" s="78">
        <v>0.28990416564085436</v>
      </c>
      <c r="EI57" s="78">
        <v>0</v>
      </c>
      <c r="EJ57" s="78">
        <v>8.5646447765899723</v>
      </c>
      <c r="EK57" s="78">
        <v>0</v>
      </c>
      <c r="EL57" s="78">
        <v>100</v>
      </c>
      <c r="EM57" s="76">
        <v>95.121246724784498</v>
      </c>
      <c r="EN57" s="76" t="s">
        <v>131</v>
      </c>
      <c r="EO57" s="289">
        <v>0.10448362812917281</v>
      </c>
      <c r="EP57" s="257">
        <f t="shared" si="14"/>
        <v>10.448362812917281</v>
      </c>
      <c r="EQ57" s="257">
        <f t="shared" si="15"/>
        <v>76.351970669110898</v>
      </c>
      <c r="ER57" s="324">
        <f t="shared" si="16"/>
        <v>5.2631578947368418E-2</v>
      </c>
      <c r="ES57" s="257">
        <f t="shared" si="9"/>
        <v>0.72189349112426038</v>
      </c>
      <c r="ET57">
        <f t="shared" si="10"/>
        <v>94</v>
      </c>
      <c r="EU57" s="324">
        <f t="shared" si="17"/>
        <v>7.2907679033649697E-2</v>
      </c>
      <c r="EV57" s="39">
        <f t="shared" si="18"/>
        <v>163.66</v>
      </c>
      <c r="EW57"/>
      <c r="EX57"/>
      <c r="EY57"/>
      <c r="EZ57"/>
      <c r="FA57"/>
      <c r="FB57"/>
      <c r="FC57"/>
      <c r="FD57"/>
    </row>
    <row r="58" spans="1:160" s="77" customFormat="1" ht="13" customHeight="1" x14ac:dyDescent="0.2">
      <c r="A58" s="72" t="s">
        <v>132</v>
      </c>
      <c r="B58" s="73" t="s">
        <v>461</v>
      </c>
      <c r="C58" s="276">
        <f t="shared" si="24"/>
        <v>163.31</v>
      </c>
      <c r="D58" s="74">
        <v>110</v>
      </c>
      <c r="E58" s="74">
        <v>148</v>
      </c>
      <c r="F58" s="75">
        <f t="shared" si="4"/>
        <v>129</v>
      </c>
      <c r="G58" s="73" t="s">
        <v>518</v>
      </c>
      <c r="H58" s="84">
        <v>2.5</v>
      </c>
      <c r="I58" s="85">
        <v>4</v>
      </c>
      <c r="J58" s="85">
        <v>8</v>
      </c>
      <c r="K58" s="89">
        <f t="shared" si="21"/>
        <v>1.25</v>
      </c>
      <c r="L58" s="75">
        <v>150</v>
      </c>
      <c r="M58" s="75">
        <v>75</v>
      </c>
      <c r="N58" s="75">
        <v>38</v>
      </c>
      <c r="O58" s="75">
        <v>53.81</v>
      </c>
      <c r="P58" s="75">
        <v>23.58</v>
      </c>
      <c r="Q58" s="75">
        <v>10.49</v>
      </c>
      <c r="R58" s="75">
        <v>2.9000000000000001E-2</v>
      </c>
      <c r="S58" s="75">
        <v>0.38</v>
      </c>
      <c r="T58" s="75">
        <v>0</v>
      </c>
      <c r="U58" s="75">
        <v>0.05</v>
      </c>
      <c r="V58" s="75">
        <v>0.4</v>
      </c>
      <c r="W58" s="75">
        <v>0.76300000000000001</v>
      </c>
      <c r="X58" s="75">
        <v>0.05</v>
      </c>
      <c r="Y58" s="75">
        <v>10.9</v>
      </c>
      <c r="Z58" s="75">
        <v>100.5</v>
      </c>
      <c r="AA58" s="75">
        <v>34</v>
      </c>
      <c r="AB58" s="75">
        <v>2</v>
      </c>
      <c r="AC58" s="75">
        <v>151</v>
      </c>
      <c r="AD58" s="75">
        <v>30</v>
      </c>
      <c r="AE58" s="75">
        <v>6</v>
      </c>
      <c r="AF58" s="75">
        <v>0</v>
      </c>
      <c r="AG58" s="75">
        <v>60</v>
      </c>
      <c r="AH58" s="75">
        <v>70</v>
      </c>
      <c r="AI58" s="75">
        <v>22</v>
      </c>
      <c r="AJ58" s="75">
        <v>1</v>
      </c>
      <c r="AK58" s="75">
        <v>0</v>
      </c>
      <c r="AL58" s="75">
        <v>27</v>
      </c>
      <c r="AM58" s="75">
        <v>4</v>
      </c>
      <c r="AN58" s="75">
        <v>2</v>
      </c>
      <c r="AO58" s="75">
        <v>148</v>
      </c>
      <c r="AP58" s="75">
        <v>5</v>
      </c>
      <c r="AQ58" s="75" t="s">
        <v>72</v>
      </c>
      <c r="AR58" s="75" t="s">
        <v>74</v>
      </c>
      <c r="AS58" s="75" t="s">
        <v>73</v>
      </c>
      <c r="AT58" s="75">
        <v>1</v>
      </c>
      <c r="AU58" s="75" t="s">
        <v>74</v>
      </c>
      <c r="AV58" s="75">
        <v>1.6</v>
      </c>
      <c r="AW58" s="75">
        <v>57</v>
      </c>
      <c r="AX58" s="75" t="s">
        <v>75</v>
      </c>
      <c r="AY58" s="75">
        <v>5.6</v>
      </c>
      <c r="AZ58" s="75">
        <v>15.5</v>
      </c>
      <c r="BA58" s="75">
        <v>1.41</v>
      </c>
      <c r="BB58" s="75">
        <v>5.3</v>
      </c>
      <c r="BC58" s="75">
        <v>1.1000000000000001</v>
      </c>
      <c r="BD58" s="75">
        <v>0.28999999999999998</v>
      </c>
      <c r="BE58" s="75">
        <v>0.8</v>
      </c>
      <c r="BF58" s="75">
        <v>0.1</v>
      </c>
      <c r="BG58" s="75">
        <v>0.8</v>
      </c>
      <c r="BH58" s="75">
        <v>0.2</v>
      </c>
      <c r="BI58" s="75">
        <v>0.5</v>
      </c>
      <c r="BJ58" s="75">
        <v>0.09</v>
      </c>
      <c r="BK58" s="75">
        <v>0.7</v>
      </c>
      <c r="BL58" s="75">
        <v>0.12</v>
      </c>
      <c r="BM58" s="75">
        <v>3.5</v>
      </c>
      <c r="BN58" s="75">
        <v>0.3</v>
      </c>
      <c r="BO58" s="75">
        <v>0</v>
      </c>
      <c r="BP58" s="75">
        <v>0</v>
      </c>
      <c r="BQ58" s="75">
        <v>12</v>
      </c>
      <c r="BR58" s="75">
        <v>5.5</v>
      </c>
      <c r="BS58" s="75">
        <v>1</v>
      </c>
      <c r="BT58" s="76">
        <f t="shared" si="5"/>
        <v>0.73459715639810419</v>
      </c>
      <c r="BU58" s="281">
        <f t="shared" si="6"/>
        <v>32.510000000000005</v>
      </c>
      <c r="BV58" s="77">
        <f t="shared" si="7"/>
        <v>129</v>
      </c>
      <c r="BW58" s="78">
        <f t="shared" si="8"/>
        <v>98.127340823970044</v>
      </c>
      <c r="BX58" s="69">
        <f t="shared" si="13"/>
        <v>0.73459715639810419</v>
      </c>
      <c r="BY58" s="76">
        <v>9.9700000000000006</v>
      </c>
      <c r="BZ58" s="76">
        <v>1.18</v>
      </c>
      <c r="CA58" s="76">
        <v>26.75</v>
      </c>
      <c r="CB58" s="76">
        <v>0</v>
      </c>
      <c r="CC58" s="76">
        <v>0</v>
      </c>
      <c r="CD58" s="76">
        <v>0</v>
      </c>
      <c r="CE58" s="76">
        <v>0</v>
      </c>
      <c r="CF58" s="76">
        <v>0</v>
      </c>
      <c r="CG58" s="76">
        <v>0</v>
      </c>
      <c r="CH58" s="76">
        <v>8.02</v>
      </c>
      <c r="CI58" s="76">
        <v>2.81</v>
      </c>
      <c r="CJ58" s="76">
        <v>0</v>
      </c>
      <c r="CK58" s="76">
        <v>24.87</v>
      </c>
      <c r="CL58" s="76">
        <v>14.98</v>
      </c>
      <c r="CM58" s="76">
        <v>0</v>
      </c>
      <c r="CN58" s="76">
        <v>0</v>
      </c>
      <c r="CO58" s="76">
        <v>6.94</v>
      </c>
      <c r="CP58" s="76">
        <v>4.2300000000000004</v>
      </c>
      <c r="CQ58" s="76">
        <v>0</v>
      </c>
      <c r="CR58" s="76">
        <v>0</v>
      </c>
      <c r="CS58" s="76">
        <v>0</v>
      </c>
      <c r="CT58" s="76">
        <v>0</v>
      </c>
      <c r="CU58" s="76">
        <v>0</v>
      </c>
      <c r="CV58" s="76">
        <v>0</v>
      </c>
      <c r="CW58" s="76">
        <v>0</v>
      </c>
      <c r="CX58" s="76">
        <v>0</v>
      </c>
      <c r="CY58" s="281">
        <v>99.750000000000014</v>
      </c>
      <c r="CZ58" s="285">
        <v>0.3019187358916478</v>
      </c>
      <c r="DA58" s="285">
        <v>0</v>
      </c>
      <c r="DB58" s="285">
        <v>0</v>
      </c>
      <c r="DC58" s="285">
        <v>0</v>
      </c>
      <c r="DD58" s="285">
        <v>0</v>
      </c>
      <c r="DE58" s="285">
        <v>0</v>
      </c>
      <c r="DF58" s="285">
        <v>0</v>
      </c>
      <c r="DG58" s="285">
        <v>9.0519187358916467E-2</v>
      </c>
      <c r="DH58" s="285">
        <v>3.1715575620767489E-2</v>
      </c>
      <c r="DI58" s="285">
        <v>0</v>
      </c>
      <c r="DJ58" s="285">
        <v>0.28069977426636566</v>
      </c>
      <c r="DK58" s="285">
        <v>0.16907449209932279</v>
      </c>
      <c r="DL58" s="285">
        <v>0</v>
      </c>
      <c r="DM58" s="285">
        <v>0</v>
      </c>
      <c r="DN58" s="285">
        <v>7.83295711060948E-2</v>
      </c>
      <c r="DO58" s="285">
        <v>4.7742663656884878E-2</v>
      </c>
      <c r="DP58" s="285">
        <v>0</v>
      </c>
      <c r="DQ58" s="285">
        <v>0</v>
      </c>
      <c r="DR58" s="285">
        <v>0</v>
      </c>
      <c r="DS58" s="285">
        <v>0</v>
      </c>
      <c r="DT58" s="285">
        <v>0</v>
      </c>
      <c r="DU58" s="285">
        <v>0</v>
      </c>
      <c r="DV58" s="285">
        <v>0</v>
      </c>
      <c r="DW58" s="285">
        <v>0</v>
      </c>
      <c r="DX58" s="76">
        <v>0.99999999999999989</v>
      </c>
      <c r="DY58" s="78">
        <v>56.760027831218288</v>
      </c>
      <c r="DZ58" s="78">
        <v>23.238422910978809</v>
      </c>
      <c r="EA58" s="78">
        <v>7.9990746023086894</v>
      </c>
      <c r="EB58" s="78">
        <v>1.4331040108402877</v>
      </c>
      <c r="EC58" s="78">
        <v>0</v>
      </c>
      <c r="ED58" s="78">
        <v>0.55291135308088091</v>
      </c>
      <c r="EE58" s="78">
        <v>1.0791595983251363E-2</v>
      </c>
      <c r="EF58" s="78">
        <v>0</v>
      </c>
      <c r="EG58" s="78">
        <v>0.98031162747975986</v>
      </c>
      <c r="EH58" s="78">
        <v>0.16913466439030675</v>
      </c>
      <c r="EI58" s="78">
        <v>0</v>
      </c>
      <c r="EJ58" s="78">
        <v>8.8562214037197187</v>
      </c>
      <c r="EK58" s="78">
        <v>0</v>
      </c>
      <c r="EL58" s="78">
        <v>99.999999999999972</v>
      </c>
      <c r="EM58" s="76">
        <v>95.909522877320427</v>
      </c>
      <c r="EN58" s="76" t="s">
        <v>132</v>
      </c>
      <c r="EO58" s="289">
        <v>9.5611579741246039E-2</v>
      </c>
      <c r="EP58" s="257">
        <f t="shared" si="14"/>
        <v>9.5611579741246047</v>
      </c>
      <c r="EQ58" s="257">
        <f t="shared" si="15"/>
        <v>81.9401778496362</v>
      </c>
      <c r="ER58" s="324">
        <f t="shared" si="16"/>
        <v>5.1878354203935599E-2</v>
      </c>
      <c r="ES58" s="257">
        <f t="shared" si="9"/>
        <v>0.73459715639810419</v>
      </c>
      <c r="ET58">
        <f t="shared" si="10"/>
        <v>129</v>
      </c>
      <c r="EU58" s="324">
        <f t="shared" si="17"/>
        <v>7.062150152922847E-2</v>
      </c>
      <c r="EV58" s="39">
        <f t="shared" si="18"/>
        <v>163.31</v>
      </c>
      <c r="EW58"/>
      <c r="EX58">
        <f t="shared" si="19"/>
        <v>10</v>
      </c>
      <c r="EY58"/>
      <c r="EZ58"/>
      <c r="FA58"/>
      <c r="FB58"/>
      <c r="FC58"/>
      <c r="FD58"/>
    </row>
    <row r="59" spans="1:160" s="77" customFormat="1" ht="13" customHeight="1" x14ac:dyDescent="0.2">
      <c r="A59" s="72" t="s">
        <v>133</v>
      </c>
      <c r="B59" s="73" t="s">
        <v>461</v>
      </c>
      <c r="C59" s="276">
        <f t="shared" si="24"/>
        <v>162.85999999999999</v>
      </c>
      <c r="D59" s="74">
        <v>148</v>
      </c>
      <c r="E59" s="74">
        <v>200</v>
      </c>
      <c r="F59" s="75">
        <f t="shared" si="4"/>
        <v>174</v>
      </c>
      <c r="G59" s="73" t="s">
        <v>517</v>
      </c>
      <c r="H59" s="84">
        <v>5</v>
      </c>
      <c r="I59" s="85">
        <v>5</v>
      </c>
      <c r="J59" s="85">
        <v>6</v>
      </c>
      <c r="K59" s="89">
        <f t="shared" si="21"/>
        <v>4.166666666666667</v>
      </c>
      <c r="L59" s="75">
        <v>164</v>
      </c>
      <c r="M59" s="75">
        <v>109</v>
      </c>
      <c r="N59" s="75">
        <v>70</v>
      </c>
      <c r="O59" s="75">
        <v>56.35</v>
      </c>
      <c r="P59" s="75">
        <v>22.1</v>
      </c>
      <c r="Q59" s="75">
        <v>9.8699999999999992</v>
      </c>
      <c r="R59" s="75">
        <v>4.2000000000000003E-2</v>
      </c>
      <c r="S59" s="75">
        <v>0.53</v>
      </c>
      <c r="T59" s="75">
        <v>0.01</v>
      </c>
      <c r="U59" s="75">
        <v>0.03</v>
      </c>
      <c r="V59" s="75">
        <v>0.46</v>
      </c>
      <c r="W59" s="75">
        <v>0.73</v>
      </c>
      <c r="X59" s="75">
        <v>0.05</v>
      </c>
      <c r="Y59" s="75">
        <v>9.99</v>
      </c>
      <c r="Z59" s="75">
        <v>100.2</v>
      </c>
      <c r="AA59" s="75">
        <v>32</v>
      </c>
      <c r="AB59" s="75">
        <v>2</v>
      </c>
      <c r="AC59" s="75">
        <v>141</v>
      </c>
      <c r="AD59" s="75">
        <v>20</v>
      </c>
      <c r="AE59" s="75">
        <v>8</v>
      </c>
      <c r="AF59" s="75">
        <v>0</v>
      </c>
      <c r="AG59" s="75">
        <v>60</v>
      </c>
      <c r="AH59" s="75">
        <v>80</v>
      </c>
      <c r="AI59" s="75">
        <v>21</v>
      </c>
      <c r="AJ59" s="75">
        <v>1</v>
      </c>
      <c r="AK59" s="75">
        <v>0</v>
      </c>
      <c r="AL59" s="75">
        <v>28</v>
      </c>
      <c r="AM59" s="75">
        <v>2</v>
      </c>
      <c r="AN59" s="75">
        <v>4</v>
      </c>
      <c r="AO59" s="75">
        <v>121</v>
      </c>
      <c r="AP59" s="75">
        <v>4</v>
      </c>
      <c r="AQ59" s="75" t="s">
        <v>72</v>
      </c>
      <c r="AR59" s="75" t="s">
        <v>74</v>
      </c>
      <c r="AS59" s="75" t="s">
        <v>73</v>
      </c>
      <c r="AT59" s="75">
        <v>1</v>
      </c>
      <c r="AU59" s="75" t="s">
        <v>74</v>
      </c>
      <c r="AV59" s="75">
        <v>1.4</v>
      </c>
      <c r="AW59" s="75">
        <v>69</v>
      </c>
      <c r="AX59" s="75" t="s">
        <v>75</v>
      </c>
      <c r="AY59" s="75">
        <v>7.4</v>
      </c>
      <c r="AZ59" s="75">
        <v>23.4</v>
      </c>
      <c r="BA59" s="75">
        <v>2.04</v>
      </c>
      <c r="BB59" s="75">
        <v>7.7</v>
      </c>
      <c r="BC59" s="75">
        <v>1.6</v>
      </c>
      <c r="BD59" s="75">
        <v>0.39</v>
      </c>
      <c r="BE59" s="75">
        <v>1.2</v>
      </c>
      <c r="BF59" s="75">
        <v>0.2</v>
      </c>
      <c r="BG59" s="75">
        <v>1.1000000000000001</v>
      </c>
      <c r="BH59" s="75">
        <v>0.2</v>
      </c>
      <c r="BI59" s="75">
        <v>0.6</v>
      </c>
      <c r="BJ59" s="75">
        <v>0.1</v>
      </c>
      <c r="BK59" s="75">
        <v>0.8</v>
      </c>
      <c r="BL59" s="75">
        <v>0.13</v>
      </c>
      <c r="BM59" s="75">
        <v>3</v>
      </c>
      <c r="BN59" s="75">
        <v>0.3</v>
      </c>
      <c r="BO59" s="75">
        <v>0</v>
      </c>
      <c r="BP59" s="75">
        <v>0</v>
      </c>
      <c r="BQ59" s="75">
        <v>11</v>
      </c>
      <c r="BR59" s="75">
        <v>4.2</v>
      </c>
      <c r="BS59" s="75">
        <v>0.7</v>
      </c>
      <c r="BT59" s="76">
        <f t="shared" si="5"/>
        <v>0.75974025974025972</v>
      </c>
      <c r="BU59" s="281">
        <f t="shared" si="6"/>
        <v>46.860000000000014</v>
      </c>
      <c r="BV59" s="77">
        <f t="shared" si="7"/>
        <v>174</v>
      </c>
      <c r="BW59" s="78">
        <f t="shared" si="8"/>
        <v>97.787610619469007</v>
      </c>
      <c r="BX59" s="69">
        <f t="shared" si="13"/>
        <v>0.75974025974025972</v>
      </c>
      <c r="BY59" s="76">
        <v>9.85</v>
      </c>
      <c r="BZ59" s="76">
        <v>0.61</v>
      </c>
      <c r="CA59" s="76">
        <v>30.08</v>
      </c>
      <c r="CB59" s="76">
        <v>1.84E-2</v>
      </c>
      <c r="CC59" s="76">
        <v>1.6000000000000001E-3</v>
      </c>
      <c r="CD59" s="76">
        <v>0</v>
      </c>
      <c r="CE59" s="76">
        <v>0</v>
      </c>
      <c r="CF59" s="76">
        <v>0</v>
      </c>
      <c r="CG59" s="76">
        <v>0</v>
      </c>
      <c r="CH59" s="76">
        <v>8.86</v>
      </c>
      <c r="CI59" s="76">
        <v>1.76</v>
      </c>
      <c r="CJ59" s="76">
        <v>0</v>
      </c>
      <c r="CK59" s="76">
        <v>26.84</v>
      </c>
      <c r="CL59" s="76">
        <v>15.76</v>
      </c>
      <c r="CM59" s="76">
        <v>0.18</v>
      </c>
      <c r="CN59" s="76">
        <v>0</v>
      </c>
      <c r="CO59" s="76">
        <v>1.49</v>
      </c>
      <c r="CP59" s="76">
        <v>4.53</v>
      </c>
      <c r="CQ59" s="76">
        <v>0</v>
      </c>
      <c r="CR59" s="76">
        <v>0</v>
      </c>
      <c r="CS59" s="76">
        <v>0</v>
      </c>
      <c r="CT59" s="76">
        <v>0</v>
      </c>
      <c r="CU59" s="76">
        <v>0</v>
      </c>
      <c r="CV59" s="76">
        <v>0</v>
      </c>
      <c r="CW59" s="76">
        <v>0</v>
      </c>
      <c r="CX59" s="76">
        <v>0</v>
      </c>
      <c r="CY59" s="281">
        <v>99.98</v>
      </c>
      <c r="CZ59" s="285">
        <v>0.3360142984807864</v>
      </c>
      <c r="DA59" s="285">
        <v>2.0554066130473638E-4</v>
      </c>
      <c r="DB59" s="285">
        <v>1.7873100983020557E-5</v>
      </c>
      <c r="DC59" s="285">
        <v>0</v>
      </c>
      <c r="DD59" s="285">
        <v>0</v>
      </c>
      <c r="DE59" s="285">
        <v>0</v>
      </c>
      <c r="DF59" s="285">
        <v>0</v>
      </c>
      <c r="DG59" s="285">
        <v>9.8972296693476319E-2</v>
      </c>
      <c r="DH59" s="285">
        <v>1.9660411081322611E-2</v>
      </c>
      <c r="DI59" s="285">
        <v>0</v>
      </c>
      <c r="DJ59" s="285">
        <v>0.29982126899016981</v>
      </c>
      <c r="DK59" s="285">
        <v>0.17605004468275245</v>
      </c>
      <c r="DL59" s="285">
        <v>2.0107238605898124E-3</v>
      </c>
      <c r="DM59" s="285">
        <v>0</v>
      </c>
      <c r="DN59" s="285">
        <v>1.664432529043789E-2</v>
      </c>
      <c r="DO59" s="285">
        <v>5.060321715817695E-2</v>
      </c>
      <c r="DP59" s="285">
        <v>0</v>
      </c>
      <c r="DQ59" s="285">
        <v>0</v>
      </c>
      <c r="DR59" s="285">
        <v>0</v>
      </c>
      <c r="DS59" s="285">
        <v>0</v>
      </c>
      <c r="DT59" s="285">
        <v>0</v>
      </c>
      <c r="DU59" s="285">
        <v>0</v>
      </c>
      <c r="DV59" s="285">
        <v>0</v>
      </c>
      <c r="DW59" s="285">
        <v>0</v>
      </c>
      <c r="DX59" s="76">
        <v>0.99999999999999989</v>
      </c>
      <c r="DY59" s="78">
        <v>59.07361556816079</v>
      </c>
      <c r="DZ59" s="78">
        <v>22.094915942474248</v>
      </c>
      <c r="EA59" s="78">
        <v>8.7430216636705698</v>
      </c>
      <c r="EB59" s="78">
        <v>0.4861012549333627</v>
      </c>
      <c r="EC59" s="78">
        <v>0</v>
      </c>
      <c r="ED59" s="78">
        <v>0.22131391938456044</v>
      </c>
      <c r="EE59" s="78">
        <v>4.1343511262588659E-3</v>
      </c>
      <c r="EF59" s="78">
        <v>2.1130255959402093E-4</v>
      </c>
      <c r="EG59" s="78">
        <v>0.68952231585448043</v>
      </c>
      <c r="EH59" s="78">
        <v>3.5939586190103151E-2</v>
      </c>
      <c r="EI59" s="78">
        <v>0</v>
      </c>
      <c r="EJ59" s="78">
        <v>8.6512240956460342</v>
      </c>
      <c r="EK59" s="78">
        <v>0</v>
      </c>
      <c r="EL59" s="78">
        <v>100</v>
      </c>
      <c r="EM59" s="76">
        <v>96.955221602788058</v>
      </c>
      <c r="EN59" s="76" t="s">
        <v>133</v>
      </c>
      <c r="EO59" s="289">
        <v>9.2728720315479352E-2</v>
      </c>
      <c r="EP59" s="257">
        <f t="shared" si="14"/>
        <v>9.2728720315479354</v>
      </c>
      <c r="EQ59" s="257">
        <f t="shared" si="15"/>
        <v>89.807627404657438</v>
      </c>
      <c r="ER59" s="324">
        <f t="shared" si="16"/>
        <v>4.8207663782447466E-2</v>
      </c>
      <c r="ES59" s="257">
        <f t="shared" si="9"/>
        <v>0.75974025974025972</v>
      </c>
      <c r="ET59">
        <f t="shared" si="10"/>
        <v>174</v>
      </c>
      <c r="EU59" s="324">
        <f t="shared" si="17"/>
        <v>6.3452822414503507E-2</v>
      </c>
      <c r="EV59" s="39">
        <f t="shared" si="18"/>
        <v>162.85999999999999</v>
      </c>
      <c r="EW59"/>
      <c r="EX59">
        <f t="shared" si="19"/>
        <v>20</v>
      </c>
      <c r="EY59"/>
      <c r="EZ59"/>
      <c r="FA59"/>
      <c r="FB59"/>
      <c r="FC59"/>
      <c r="FD59"/>
    </row>
    <row r="60" spans="1:160" s="77" customFormat="1" ht="13" customHeight="1" x14ac:dyDescent="0.2">
      <c r="A60" s="72" t="s">
        <v>134</v>
      </c>
      <c r="B60" s="73" t="s">
        <v>461</v>
      </c>
      <c r="C60" s="276">
        <f t="shared" si="24"/>
        <v>162.04999999999998</v>
      </c>
      <c r="D60" s="74">
        <v>210</v>
      </c>
      <c r="E60" s="74">
        <v>300</v>
      </c>
      <c r="F60" s="75">
        <f t="shared" si="4"/>
        <v>255</v>
      </c>
      <c r="G60" s="73" t="s">
        <v>517</v>
      </c>
      <c r="H60" s="84">
        <v>5</v>
      </c>
      <c r="I60" s="85">
        <v>5</v>
      </c>
      <c r="J60" s="85">
        <v>6</v>
      </c>
      <c r="K60" s="89">
        <f t="shared" si="21"/>
        <v>4.166666666666667</v>
      </c>
      <c r="L60" s="75">
        <v>164</v>
      </c>
      <c r="M60" s="75">
        <v>109</v>
      </c>
      <c r="N60" s="75">
        <v>70</v>
      </c>
      <c r="O60" s="75">
        <v>58.26</v>
      </c>
      <c r="P60" s="75">
        <v>20.92</v>
      </c>
      <c r="Q60" s="75">
        <v>8.9700000000000006</v>
      </c>
      <c r="R60" s="75">
        <v>9.5000000000000001E-2</v>
      </c>
      <c r="S60" s="75">
        <v>0.69</v>
      </c>
      <c r="T60" s="75">
        <v>0</v>
      </c>
      <c r="U60" s="75">
        <v>0.04</v>
      </c>
      <c r="V60" s="75">
        <v>0.63</v>
      </c>
      <c r="W60" s="75">
        <v>0.67400000000000004</v>
      </c>
      <c r="X60" s="75">
        <v>0.04</v>
      </c>
      <c r="Y60" s="75">
        <v>9.69</v>
      </c>
      <c r="Z60" s="75">
        <v>100</v>
      </c>
      <c r="AA60" s="75">
        <v>27</v>
      </c>
      <c r="AB60" s="75">
        <v>2</v>
      </c>
      <c r="AC60" s="75">
        <v>134</v>
      </c>
      <c r="AD60" s="75">
        <v>0</v>
      </c>
      <c r="AE60" s="75">
        <v>19</v>
      </c>
      <c r="AF60" s="75">
        <v>0</v>
      </c>
      <c r="AG60" s="75">
        <v>50</v>
      </c>
      <c r="AH60" s="75">
        <v>100</v>
      </c>
      <c r="AI60" s="75">
        <v>20</v>
      </c>
      <c r="AJ60" s="75">
        <v>1</v>
      </c>
      <c r="AK60" s="75">
        <v>0</v>
      </c>
      <c r="AL60" s="75">
        <v>36</v>
      </c>
      <c r="AM60" s="75" t="s">
        <v>72</v>
      </c>
      <c r="AN60" s="75">
        <v>8</v>
      </c>
      <c r="AO60" s="75">
        <v>126</v>
      </c>
      <c r="AP60" s="75">
        <v>4</v>
      </c>
      <c r="AQ60" s="75" t="s">
        <v>72</v>
      </c>
      <c r="AR60" s="75" t="s">
        <v>74</v>
      </c>
      <c r="AS60" s="75" t="s">
        <v>73</v>
      </c>
      <c r="AT60" s="75">
        <v>0</v>
      </c>
      <c r="AU60" s="75" t="s">
        <v>74</v>
      </c>
      <c r="AV60" s="75">
        <v>1.6</v>
      </c>
      <c r="AW60" s="75">
        <v>107</v>
      </c>
      <c r="AX60" s="75" t="s">
        <v>75</v>
      </c>
      <c r="AY60" s="75">
        <v>13.4</v>
      </c>
      <c r="AZ60" s="75">
        <v>39.4</v>
      </c>
      <c r="BA60" s="75">
        <v>3.51</v>
      </c>
      <c r="BB60" s="75">
        <v>13.7</v>
      </c>
      <c r="BC60" s="75">
        <v>2.7</v>
      </c>
      <c r="BD60" s="75">
        <v>0.72</v>
      </c>
      <c r="BE60" s="75">
        <v>2.2000000000000002</v>
      </c>
      <c r="BF60" s="75">
        <v>0.3</v>
      </c>
      <c r="BG60" s="75">
        <v>1.9</v>
      </c>
      <c r="BH60" s="75">
        <v>0.4</v>
      </c>
      <c r="BI60" s="75">
        <v>1.1000000000000001</v>
      </c>
      <c r="BJ60" s="75">
        <v>0.18</v>
      </c>
      <c r="BK60" s="75">
        <v>1.3</v>
      </c>
      <c r="BL60" s="75">
        <v>0.2</v>
      </c>
      <c r="BM60" s="75">
        <v>3</v>
      </c>
      <c r="BN60" s="75">
        <v>0.2</v>
      </c>
      <c r="BO60" s="75">
        <v>0</v>
      </c>
      <c r="BP60" s="75">
        <v>0</v>
      </c>
      <c r="BQ60" s="75">
        <v>58</v>
      </c>
      <c r="BR60" s="75">
        <v>3.4</v>
      </c>
      <c r="BS60" s="75">
        <v>0.6</v>
      </c>
      <c r="BT60" s="76">
        <f t="shared" si="5"/>
        <v>0.74621212121212122</v>
      </c>
      <c r="BU60" s="281">
        <f t="shared" si="6"/>
        <v>81.010000000000005</v>
      </c>
      <c r="BV60" s="77">
        <f t="shared" si="7"/>
        <v>255</v>
      </c>
      <c r="BW60" s="78">
        <f t="shared" si="8"/>
        <v>96.89671144048171</v>
      </c>
      <c r="BX60" s="69">
        <f t="shared" si="13"/>
        <v>0.74621212121212122</v>
      </c>
      <c r="BY60" s="76">
        <v>9.86</v>
      </c>
      <c r="BZ60" s="76">
        <v>0.03</v>
      </c>
      <c r="CA60" s="76">
        <v>34.57</v>
      </c>
      <c r="CB60" s="76">
        <v>0</v>
      </c>
      <c r="CC60" s="76">
        <v>0</v>
      </c>
      <c r="CD60" s="76">
        <v>0</v>
      </c>
      <c r="CE60" s="76">
        <v>0</v>
      </c>
      <c r="CF60" s="76">
        <v>0</v>
      </c>
      <c r="CG60" s="76">
        <v>0</v>
      </c>
      <c r="CH60" s="76">
        <v>6.16</v>
      </c>
      <c r="CI60" s="76">
        <v>1.36</v>
      </c>
      <c r="CJ60" s="76">
        <v>0</v>
      </c>
      <c r="CK60" s="76">
        <v>25.85</v>
      </c>
      <c r="CL60" s="76">
        <v>15.91</v>
      </c>
      <c r="CM60" s="76">
        <v>0.14000000000000001</v>
      </c>
      <c r="CN60" s="76">
        <v>0</v>
      </c>
      <c r="CO60" s="76">
        <v>0.69</v>
      </c>
      <c r="CP60" s="76">
        <v>5.44</v>
      </c>
      <c r="CQ60" s="76">
        <v>0</v>
      </c>
      <c r="CR60" s="76">
        <v>0</v>
      </c>
      <c r="CS60" s="76">
        <v>0</v>
      </c>
      <c r="CT60" s="76">
        <v>0</v>
      </c>
      <c r="CU60" s="76">
        <v>0</v>
      </c>
      <c r="CV60" s="76">
        <v>0</v>
      </c>
      <c r="CW60" s="76">
        <v>0</v>
      </c>
      <c r="CX60" s="76">
        <v>0</v>
      </c>
      <c r="CY60" s="281">
        <v>100.01</v>
      </c>
      <c r="CZ60" s="285">
        <v>0.38359964491788728</v>
      </c>
      <c r="DA60" s="285">
        <v>0</v>
      </c>
      <c r="DB60" s="285">
        <v>0</v>
      </c>
      <c r="DC60" s="285">
        <v>0</v>
      </c>
      <c r="DD60" s="285">
        <v>0</v>
      </c>
      <c r="DE60" s="285">
        <v>0</v>
      </c>
      <c r="DF60" s="285">
        <v>0</v>
      </c>
      <c r="DG60" s="285">
        <v>6.835330670217489E-2</v>
      </c>
      <c r="DH60" s="285">
        <v>1.5090989791389262E-2</v>
      </c>
      <c r="DI60" s="285">
        <v>0</v>
      </c>
      <c r="DJ60" s="285">
        <v>0.28683976919662679</v>
      </c>
      <c r="DK60" s="285">
        <v>0.17654238792720819</v>
      </c>
      <c r="DL60" s="285">
        <v>1.5534842432312476E-3</v>
      </c>
      <c r="DM60" s="285">
        <v>0</v>
      </c>
      <c r="DN60" s="285">
        <v>7.6564580559254332E-3</v>
      </c>
      <c r="DO60" s="285">
        <v>6.0363959165557049E-2</v>
      </c>
      <c r="DP60" s="285">
        <v>0</v>
      </c>
      <c r="DQ60" s="285">
        <v>0</v>
      </c>
      <c r="DR60" s="285">
        <v>0</v>
      </c>
      <c r="DS60" s="285">
        <v>0</v>
      </c>
      <c r="DT60" s="285">
        <v>0</v>
      </c>
      <c r="DU60" s="285">
        <v>0</v>
      </c>
      <c r="DV60" s="285">
        <v>0</v>
      </c>
      <c r="DW60" s="285">
        <v>0</v>
      </c>
      <c r="DX60" s="76">
        <v>1.0000000000000002</v>
      </c>
      <c r="DY60" s="78">
        <v>63.356229106882623</v>
      </c>
      <c r="DZ60" s="78">
        <v>21.131484371156279</v>
      </c>
      <c r="EA60" s="78">
        <v>6.1615635857360891</v>
      </c>
      <c r="EB60" s="78">
        <v>0.39005416067413762</v>
      </c>
      <c r="EC60" s="78">
        <v>0</v>
      </c>
      <c r="ED60" s="78">
        <v>0.19497888944364752</v>
      </c>
      <c r="EE60" s="78">
        <v>2.4773799546945986E-3</v>
      </c>
      <c r="EF60" s="78">
        <v>0</v>
      </c>
      <c r="EG60" s="78">
        <v>0.74871492694320685</v>
      </c>
      <c r="EH60" s="78">
        <v>1.6532357389694007E-2</v>
      </c>
      <c r="EI60" s="78">
        <v>0</v>
      </c>
      <c r="EJ60" s="78">
        <v>7.9979652218196362</v>
      </c>
      <c r="EK60" s="78">
        <v>0</v>
      </c>
      <c r="EL60" s="78">
        <v>100</v>
      </c>
      <c r="EM60" s="76">
        <v>96.567182717408329</v>
      </c>
      <c r="EN60" s="76" t="s">
        <v>134</v>
      </c>
      <c r="EO60" s="289">
        <v>6.5867226208708995E-2</v>
      </c>
      <c r="EP60" s="257">
        <f t="shared" si="14"/>
        <v>6.5867226208708995</v>
      </c>
      <c r="EQ60" s="257">
        <f t="shared" si="15"/>
        <v>88.937014979245632</v>
      </c>
      <c r="ER60" s="324">
        <f t="shared" si="16"/>
        <v>4.9930651872399444E-2</v>
      </c>
      <c r="ES60" s="257">
        <f t="shared" si="9"/>
        <v>0.74621212121212122</v>
      </c>
      <c r="ET60">
        <f t="shared" si="10"/>
        <v>255</v>
      </c>
      <c r="EU60" s="324">
        <f t="shared" si="17"/>
        <v>6.6912142610728184E-2</v>
      </c>
      <c r="EV60" s="39">
        <f t="shared" si="18"/>
        <v>162.04999999999998</v>
      </c>
      <c r="EW60"/>
      <c r="EX60">
        <f t="shared" si="19"/>
        <v>20</v>
      </c>
      <c r="EY60"/>
      <c r="EZ60"/>
      <c r="FA60"/>
      <c r="FB60"/>
      <c r="FC60"/>
      <c r="FD60"/>
    </row>
    <row r="61" spans="1:160" s="77" customFormat="1" ht="13" customHeight="1" x14ac:dyDescent="0.2">
      <c r="A61" s="72" t="s">
        <v>135</v>
      </c>
      <c r="B61" s="73" t="s">
        <v>461</v>
      </c>
      <c r="C61" s="276">
        <f t="shared" si="24"/>
        <v>161.1</v>
      </c>
      <c r="D61" s="74">
        <v>300</v>
      </c>
      <c r="E61" s="74">
        <v>400</v>
      </c>
      <c r="F61" s="75">
        <f t="shared" si="4"/>
        <v>350</v>
      </c>
      <c r="G61" s="73" t="s">
        <v>506</v>
      </c>
      <c r="H61" s="84">
        <v>5</v>
      </c>
      <c r="I61" s="85">
        <v>4</v>
      </c>
      <c r="J61" s="85">
        <v>6</v>
      </c>
      <c r="K61" s="89">
        <f t="shared" si="21"/>
        <v>3.3333333333333335</v>
      </c>
      <c r="L61" s="75">
        <v>136</v>
      </c>
      <c r="M61" s="75">
        <v>83</v>
      </c>
      <c r="N61" s="75">
        <v>47</v>
      </c>
      <c r="O61" s="75">
        <v>58.97</v>
      </c>
      <c r="P61" s="75">
        <v>20.079999999999998</v>
      </c>
      <c r="Q61" s="75">
        <v>8.8699999999999992</v>
      </c>
      <c r="R61" s="75">
        <v>0.14099999999999999</v>
      </c>
      <c r="S61" s="75">
        <v>0.95</v>
      </c>
      <c r="T61" s="75">
        <v>0.01</v>
      </c>
      <c r="U61" s="75">
        <v>0.04</v>
      </c>
      <c r="V61" s="75">
        <v>0.83</v>
      </c>
      <c r="W61" s="75">
        <v>0.68100000000000005</v>
      </c>
      <c r="X61" s="75">
        <v>0.03</v>
      </c>
      <c r="Y61" s="75">
        <v>9.23</v>
      </c>
      <c r="Z61" s="75">
        <v>99.85</v>
      </c>
      <c r="AA61" s="75">
        <v>26</v>
      </c>
      <c r="AB61" s="75">
        <v>2</v>
      </c>
      <c r="AC61" s="75">
        <v>130</v>
      </c>
      <c r="AD61" s="75">
        <v>0</v>
      </c>
      <c r="AE61" s="75">
        <v>33</v>
      </c>
      <c r="AF61" s="75">
        <v>0</v>
      </c>
      <c r="AG61" s="75">
        <v>40</v>
      </c>
      <c r="AH61" s="75">
        <v>90</v>
      </c>
      <c r="AI61" s="75">
        <v>19</v>
      </c>
      <c r="AJ61" s="75">
        <v>1</v>
      </c>
      <c r="AK61" s="75">
        <v>0</v>
      </c>
      <c r="AL61" s="75">
        <v>46</v>
      </c>
      <c r="AM61" s="75" t="s">
        <v>72</v>
      </c>
      <c r="AN61" s="75">
        <v>13</v>
      </c>
      <c r="AO61" s="75">
        <v>132</v>
      </c>
      <c r="AP61" s="75">
        <v>4</v>
      </c>
      <c r="AQ61" s="75" t="s">
        <v>72</v>
      </c>
      <c r="AR61" s="75" t="s">
        <v>74</v>
      </c>
      <c r="AS61" s="75" t="s">
        <v>73</v>
      </c>
      <c r="AT61" s="75">
        <v>1</v>
      </c>
      <c r="AU61" s="75" t="s">
        <v>74</v>
      </c>
      <c r="AV61" s="75">
        <v>2.2000000000000002</v>
      </c>
      <c r="AW61" s="75">
        <v>144</v>
      </c>
      <c r="AX61" s="75" t="s">
        <v>75</v>
      </c>
      <c r="AY61" s="75">
        <v>17.899999999999999</v>
      </c>
      <c r="AZ61" s="75">
        <v>42.4</v>
      </c>
      <c r="BA61" s="75">
        <v>4.42</v>
      </c>
      <c r="BB61" s="75">
        <v>16.8</v>
      </c>
      <c r="BC61" s="75">
        <v>3.4</v>
      </c>
      <c r="BD61" s="75">
        <v>0.88</v>
      </c>
      <c r="BE61" s="75">
        <v>3</v>
      </c>
      <c r="BF61" s="75">
        <v>0.4</v>
      </c>
      <c r="BG61" s="75">
        <v>2.6</v>
      </c>
      <c r="BH61" s="75">
        <v>0.5</v>
      </c>
      <c r="BI61" s="75">
        <v>1.6</v>
      </c>
      <c r="BJ61" s="75">
        <v>0.24</v>
      </c>
      <c r="BK61" s="75">
        <v>1.7</v>
      </c>
      <c r="BL61" s="75">
        <v>0.26</v>
      </c>
      <c r="BM61" s="75">
        <v>3.4</v>
      </c>
      <c r="BN61" s="75">
        <v>0.2</v>
      </c>
      <c r="BO61" s="75">
        <v>4</v>
      </c>
      <c r="BP61" s="75">
        <v>0</v>
      </c>
      <c r="BQ61" s="75">
        <v>351</v>
      </c>
      <c r="BR61" s="75">
        <v>4.2</v>
      </c>
      <c r="BS61" s="75">
        <v>0.7</v>
      </c>
      <c r="BT61" s="76">
        <f t="shared" si="5"/>
        <v>0.70315091210613601</v>
      </c>
      <c r="BU61" s="281">
        <f t="shared" si="6"/>
        <v>96.1</v>
      </c>
      <c r="BV61" s="77">
        <f t="shared" si="7"/>
        <v>350</v>
      </c>
      <c r="BW61" s="78">
        <f t="shared" si="8"/>
        <v>95.801526717557252</v>
      </c>
      <c r="BX61" s="69">
        <f t="shared" si="13"/>
        <v>0.70315091210613601</v>
      </c>
      <c r="BY61" s="76">
        <v>8.4499999999999993</v>
      </c>
      <c r="BZ61" s="76">
        <v>0.23</v>
      </c>
      <c r="CA61" s="76">
        <v>29.28</v>
      </c>
      <c r="CB61" s="76">
        <v>0</v>
      </c>
      <c r="CC61" s="76">
        <v>0</v>
      </c>
      <c r="CD61" s="76">
        <v>0</v>
      </c>
      <c r="CE61" s="76">
        <v>0</v>
      </c>
      <c r="CF61" s="76">
        <v>0</v>
      </c>
      <c r="CG61" s="76">
        <v>0</v>
      </c>
      <c r="CH61" s="76">
        <v>5.75</v>
      </c>
      <c r="CI61" s="76">
        <v>2.21</v>
      </c>
      <c r="CJ61" s="76">
        <v>0</v>
      </c>
      <c r="CK61" s="76">
        <v>21.07</v>
      </c>
      <c r="CL61" s="76">
        <v>13.53</v>
      </c>
      <c r="CM61" s="76">
        <v>0</v>
      </c>
      <c r="CN61" s="76">
        <v>0</v>
      </c>
      <c r="CO61" s="76">
        <v>17.329999999999998</v>
      </c>
      <c r="CP61" s="76">
        <v>2.14</v>
      </c>
      <c r="CQ61" s="76">
        <v>0</v>
      </c>
      <c r="CR61" s="76">
        <v>0</v>
      </c>
      <c r="CS61" s="76">
        <v>0</v>
      </c>
      <c r="CT61" s="76">
        <v>0</v>
      </c>
      <c r="CU61" s="76">
        <v>0</v>
      </c>
      <c r="CV61" s="76">
        <v>0</v>
      </c>
      <c r="CW61" s="76">
        <v>0</v>
      </c>
      <c r="CX61" s="76">
        <v>0</v>
      </c>
      <c r="CY61" s="281">
        <v>99.990000000000009</v>
      </c>
      <c r="CZ61" s="285">
        <v>0.32066586354178073</v>
      </c>
      <c r="DA61" s="285">
        <v>0</v>
      </c>
      <c r="DB61" s="285">
        <v>0</v>
      </c>
      <c r="DC61" s="285">
        <v>0</v>
      </c>
      <c r="DD61" s="285">
        <v>0</v>
      </c>
      <c r="DE61" s="285">
        <v>0</v>
      </c>
      <c r="DF61" s="285">
        <v>0</v>
      </c>
      <c r="DG61" s="285">
        <v>6.2972292191435769E-2</v>
      </c>
      <c r="DH61" s="285">
        <v>2.4203263607490963E-2</v>
      </c>
      <c r="DI61" s="285">
        <v>0</v>
      </c>
      <c r="DJ61" s="285">
        <v>0.23075238199540027</v>
      </c>
      <c r="DK61" s="285">
        <v>0.1481765414521958</v>
      </c>
      <c r="DL61" s="285">
        <v>0</v>
      </c>
      <c r="DM61" s="285">
        <v>0</v>
      </c>
      <c r="DN61" s="285">
        <v>0.18979301281349248</v>
      </c>
      <c r="DO61" s="285">
        <v>2.3436644398203921E-2</v>
      </c>
      <c r="DP61" s="285">
        <v>0</v>
      </c>
      <c r="DQ61" s="285">
        <v>0</v>
      </c>
      <c r="DR61" s="285">
        <v>0</v>
      </c>
      <c r="DS61" s="285">
        <v>0</v>
      </c>
      <c r="DT61" s="285">
        <v>0</v>
      </c>
      <c r="DU61" s="285">
        <v>0</v>
      </c>
      <c r="DV61" s="285">
        <v>0</v>
      </c>
      <c r="DW61" s="285">
        <v>0</v>
      </c>
      <c r="DX61" s="76">
        <v>0.99999999999999989</v>
      </c>
      <c r="DY61" s="78">
        <v>58.695439608449618</v>
      </c>
      <c r="DZ61" s="78">
        <v>22.067742906584854</v>
      </c>
      <c r="EA61" s="78">
        <v>5.6193611349033183</v>
      </c>
      <c r="EB61" s="78">
        <v>3.0584219312297711</v>
      </c>
      <c r="EC61" s="78">
        <v>0</v>
      </c>
      <c r="ED61" s="78">
        <v>1.1105302601197753</v>
      </c>
      <c r="EE61" s="78">
        <v>2.6148100721157815E-2</v>
      </c>
      <c r="EF61" s="78">
        <v>0</v>
      </c>
      <c r="EG61" s="78">
        <v>1.3041390884010524</v>
      </c>
      <c r="EH61" s="78">
        <v>0.40981428945086495</v>
      </c>
      <c r="EI61" s="78">
        <v>0</v>
      </c>
      <c r="EJ61" s="78">
        <v>7.7084026801395895</v>
      </c>
      <c r="EK61" s="78">
        <v>0</v>
      </c>
      <c r="EL61" s="78">
        <v>100</v>
      </c>
      <c r="EM61" s="76">
        <v>94.314533387294503</v>
      </c>
      <c r="EN61" s="76" t="s">
        <v>135</v>
      </c>
      <c r="EO61" s="289">
        <v>8.9530410399437682E-2</v>
      </c>
      <c r="EP61" s="257">
        <f t="shared" si="14"/>
        <v>8.9530410399437681</v>
      </c>
      <c r="EQ61" s="257">
        <f t="shared" si="15"/>
        <v>68.611961953893271</v>
      </c>
      <c r="ER61" s="324">
        <f t="shared" si="16"/>
        <v>4.9773755656108601E-2</v>
      </c>
      <c r="ES61" s="257">
        <f t="shared" si="9"/>
        <v>0.70315091210613601</v>
      </c>
      <c r="ET61">
        <f t="shared" si="10"/>
        <v>350</v>
      </c>
      <c r="EU61" s="324">
        <f t="shared" si="17"/>
        <v>7.0786732690173312E-2</v>
      </c>
      <c r="EV61" s="39">
        <f t="shared" si="18"/>
        <v>161.1</v>
      </c>
      <c r="EW61"/>
      <c r="EX61">
        <f t="shared" si="19"/>
        <v>26</v>
      </c>
      <c r="EY61"/>
      <c r="EZ61"/>
      <c r="FA61"/>
      <c r="FB61"/>
      <c r="FC61"/>
      <c r="FD61"/>
    </row>
    <row r="62" spans="1:160" s="77" customFormat="1" ht="13" customHeight="1" x14ac:dyDescent="0.2">
      <c r="A62" s="72" t="s">
        <v>136</v>
      </c>
      <c r="B62" s="73" t="s">
        <v>461</v>
      </c>
      <c r="C62" s="276">
        <f t="shared" si="24"/>
        <v>160.1</v>
      </c>
      <c r="D62" s="74">
        <v>400</v>
      </c>
      <c r="E62" s="74">
        <v>500</v>
      </c>
      <c r="F62" s="75">
        <f t="shared" si="4"/>
        <v>450</v>
      </c>
      <c r="G62" s="73" t="s">
        <v>506</v>
      </c>
      <c r="H62" s="84">
        <v>5</v>
      </c>
      <c r="I62" s="85">
        <v>4</v>
      </c>
      <c r="J62" s="85">
        <v>6</v>
      </c>
      <c r="K62" s="89">
        <f t="shared" si="21"/>
        <v>3.3333333333333335</v>
      </c>
      <c r="L62" s="75">
        <v>136</v>
      </c>
      <c r="M62" s="75">
        <v>83</v>
      </c>
      <c r="N62" s="75">
        <v>47</v>
      </c>
      <c r="O62" s="75">
        <v>58.48</v>
      </c>
      <c r="P62" s="75">
        <v>20.86</v>
      </c>
      <c r="Q62" s="75">
        <v>8.9</v>
      </c>
      <c r="R62" s="75">
        <v>0.16600000000000001</v>
      </c>
      <c r="S62" s="75">
        <v>0.9</v>
      </c>
      <c r="T62" s="75">
        <v>0.01</v>
      </c>
      <c r="U62" s="75">
        <v>0.04</v>
      </c>
      <c r="V62" s="75">
        <v>0.76</v>
      </c>
      <c r="W62" s="75">
        <v>0.68500000000000005</v>
      </c>
      <c r="X62" s="75">
        <v>0.03</v>
      </c>
      <c r="Y62" s="75">
        <v>9.4700000000000006</v>
      </c>
      <c r="Z62" s="75">
        <v>100.3</v>
      </c>
      <c r="AA62" s="75">
        <v>27</v>
      </c>
      <c r="AB62" s="75">
        <v>2</v>
      </c>
      <c r="AC62" s="75">
        <v>128</v>
      </c>
      <c r="AD62" s="75">
        <v>0</v>
      </c>
      <c r="AE62" s="75">
        <v>40</v>
      </c>
      <c r="AF62" s="75">
        <v>0</v>
      </c>
      <c r="AG62" s="75">
        <v>60</v>
      </c>
      <c r="AH62" s="75">
        <v>100</v>
      </c>
      <c r="AI62" s="75">
        <v>19</v>
      </c>
      <c r="AJ62" s="75">
        <v>1</v>
      </c>
      <c r="AK62" s="75">
        <v>0</v>
      </c>
      <c r="AL62" s="75">
        <v>41</v>
      </c>
      <c r="AM62" s="75" t="s">
        <v>72</v>
      </c>
      <c r="AN62" s="75">
        <v>15</v>
      </c>
      <c r="AO62" s="75">
        <v>142</v>
      </c>
      <c r="AP62" s="75">
        <v>3</v>
      </c>
      <c r="AQ62" s="75" t="s">
        <v>72</v>
      </c>
      <c r="AR62" s="75" t="s">
        <v>74</v>
      </c>
      <c r="AS62" s="75" t="s">
        <v>73</v>
      </c>
      <c r="AT62" s="75">
        <v>0</v>
      </c>
      <c r="AU62" s="75" t="s">
        <v>74</v>
      </c>
      <c r="AV62" s="75">
        <v>1.7</v>
      </c>
      <c r="AW62" s="75">
        <v>151</v>
      </c>
      <c r="AX62" s="75" t="s">
        <v>75</v>
      </c>
      <c r="AY62" s="75">
        <v>17.899999999999999</v>
      </c>
      <c r="AZ62" s="75">
        <v>36.799999999999997</v>
      </c>
      <c r="BA62" s="75">
        <v>4.34</v>
      </c>
      <c r="BB62" s="75">
        <v>17</v>
      </c>
      <c r="BC62" s="75">
        <v>3.5</v>
      </c>
      <c r="BD62" s="75">
        <v>0.98</v>
      </c>
      <c r="BE62" s="75">
        <v>3.1</v>
      </c>
      <c r="BF62" s="75">
        <v>0.5</v>
      </c>
      <c r="BG62" s="75">
        <v>3</v>
      </c>
      <c r="BH62" s="75">
        <v>0.6</v>
      </c>
      <c r="BI62" s="75">
        <v>1.8</v>
      </c>
      <c r="BJ62" s="75">
        <v>0.28000000000000003</v>
      </c>
      <c r="BK62" s="75">
        <v>1.9</v>
      </c>
      <c r="BL62" s="75">
        <v>0.3</v>
      </c>
      <c r="BM62" s="75">
        <v>3.5</v>
      </c>
      <c r="BN62" s="75">
        <v>0.2</v>
      </c>
      <c r="BO62" s="75">
        <v>0</v>
      </c>
      <c r="BP62" s="75">
        <v>0</v>
      </c>
      <c r="BQ62" s="75">
        <v>161</v>
      </c>
      <c r="BR62" s="75">
        <v>2.7</v>
      </c>
      <c r="BS62" s="75">
        <v>0.6</v>
      </c>
      <c r="BT62" s="76">
        <f t="shared" si="5"/>
        <v>0.67276051188299812</v>
      </c>
      <c r="BU62" s="281">
        <f t="shared" si="6"/>
        <v>91.999999999999986</v>
      </c>
      <c r="BV62" s="77">
        <f t="shared" si="7"/>
        <v>450</v>
      </c>
      <c r="BW62" s="78">
        <f t="shared" si="8"/>
        <v>96.262113520996763</v>
      </c>
      <c r="BX62" s="69">
        <f t="shared" si="13"/>
        <v>0.67276051188299812</v>
      </c>
      <c r="BY62" s="76">
        <v>9.09</v>
      </c>
      <c r="BZ62" s="76">
        <v>0.17</v>
      </c>
      <c r="CA62" s="76">
        <v>31.19</v>
      </c>
      <c r="CB62" s="76">
        <v>0</v>
      </c>
      <c r="CC62" s="76">
        <v>0</v>
      </c>
      <c r="CD62" s="76">
        <v>0</v>
      </c>
      <c r="CE62" s="76">
        <v>0</v>
      </c>
      <c r="CF62" s="76">
        <v>0</v>
      </c>
      <c r="CG62" s="76">
        <v>0</v>
      </c>
      <c r="CH62" s="76">
        <v>5.94</v>
      </c>
      <c r="CI62" s="76">
        <v>4</v>
      </c>
      <c r="CJ62" s="76">
        <v>0</v>
      </c>
      <c r="CK62" s="76">
        <v>13.5</v>
      </c>
      <c r="CL62" s="76">
        <v>13.15</v>
      </c>
      <c r="CM62" s="76">
        <v>0</v>
      </c>
      <c r="CN62" s="76">
        <v>0</v>
      </c>
      <c r="CO62" s="76">
        <v>20.11</v>
      </c>
      <c r="CP62" s="76">
        <v>2.86</v>
      </c>
      <c r="CQ62" s="76">
        <v>0</v>
      </c>
      <c r="CR62" s="76">
        <v>0</v>
      </c>
      <c r="CS62" s="76">
        <v>0</v>
      </c>
      <c r="CT62" s="76">
        <v>0</v>
      </c>
      <c r="CU62" s="76">
        <v>0</v>
      </c>
      <c r="CV62" s="76">
        <v>0</v>
      </c>
      <c r="CW62" s="76">
        <v>0</v>
      </c>
      <c r="CX62" s="76">
        <v>0</v>
      </c>
      <c r="CY62" s="281">
        <v>100.01</v>
      </c>
      <c r="CZ62" s="285">
        <v>0.34369146005509643</v>
      </c>
      <c r="DA62" s="285">
        <v>0</v>
      </c>
      <c r="DB62" s="285">
        <v>0</v>
      </c>
      <c r="DC62" s="285">
        <v>0</v>
      </c>
      <c r="DD62" s="285">
        <v>0</v>
      </c>
      <c r="DE62" s="285">
        <v>0</v>
      </c>
      <c r="DF62" s="285">
        <v>0</v>
      </c>
      <c r="DG62" s="285">
        <v>6.545454545454546E-2</v>
      </c>
      <c r="DH62" s="285">
        <v>4.4077134986225897E-2</v>
      </c>
      <c r="DI62" s="285">
        <v>0</v>
      </c>
      <c r="DJ62" s="285">
        <v>0.1487603305785124</v>
      </c>
      <c r="DK62" s="285">
        <v>0.14490358126721764</v>
      </c>
      <c r="DL62" s="285">
        <v>0</v>
      </c>
      <c r="DM62" s="285">
        <v>0</v>
      </c>
      <c r="DN62" s="285">
        <v>0.22159779614325067</v>
      </c>
      <c r="DO62" s="285">
        <v>3.1515151515151517E-2</v>
      </c>
      <c r="DP62" s="285">
        <v>0</v>
      </c>
      <c r="DQ62" s="285">
        <v>0</v>
      </c>
      <c r="DR62" s="285">
        <v>0</v>
      </c>
      <c r="DS62" s="285">
        <v>0</v>
      </c>
      <c r="DT62" s="285">
        <v>0</v>
      </c>
      <c r="DU62" s="285">
        <v>0</v>
      </c>
      <c r="DV62" s="285">
        <v>0</v>
      </c>
      <c r="DW62" s="285">
        <v>0</v>
      </c>
      <c r="DX62" s="76">
        <v>1</v>
      </c>
      <c r="DY62" s="78">
        <v>58.783825464707363</v>
      </c>
      <c r="DZ62" s="78">
        <v>21.123105101197716</v>
      </c>
      <c r="EA62" s="78">
        <v>5.7007417707072365</v>
      </c>
      <c r="EB62" s="78">
        <v>3.5895708540038576</v>
      </c>
      <c r="EC62" s="78">
        <v>0</v>
      </c>
      <c r="ED62" s="78">
        <v>1.3069418723875448</v>
      </c>
      <c r="EE62" s="78">
        <v>3.0529898900094766E-2</v>
      </c>
      <c r="EF62" s="78">
        <v>0</v>
      </c>
      <c r="EG62" s="78">
        <v>1.5708851356814448</v>
      </c>
      <c r="EH62" s="78">
        <v>0.47848939233377241</v>
      </c>
      <c r="EI62" s="78">
        <v>0</v>
      </c>
      <c r="EJ62" s="78">
        <v>7.4159105100809821</v>
      </c>
      <c r="EK62" s="78">
        <v>0</v>
      </c>
      <c r="EL62" s="78">
        <v>100.00000000000003</v>
      </c>
      <c r="EM62" s="76">
        <v>92.952920347654995</v>
      </c>
      <c r="EN62" s="76" t="s">
        <v>136</v>
      </c>
      <c r="EO62" s="289">
        <v>9.6133740015714411E-2</v>
      </c>
      <c r="EP62" s="257">
        <f t="shared" si="14"/>
        <v>9.613374001571442</v>
      </c>
      <c r="EQ62" s="257">
        <f t="shared" si="15"/>
        <v>61.43384822028208</v>
      </c>
      <c r="ER62" s="324">
        <f t="shared" si="16"/>
        <v>5.4505005561735258E-2</v>
      </c>
      <c r="ES62" s="257">
        <f t="shared" si="9"/>
        <v>0.67276051188299812</v>
      </c>
      <c r="ET62">
        <f t="shared" si="10"/>
        <v>450</v>
      </c>
      <c r="EU62" s="324">
        <f t="shared" si="17"/>
        <v>8.1016951201818441E-2</v>
      </c>
      <c r="EV62" s="39">
        <f t="shared" si="18"/>
        <v>160.1</v>
      </c>
      <c r="EW62"/>
      <c r="EX62">
        <f t="shared" si="19"/>
        <v>25</v>
      </c>
      <c r="EY62"/>
      <c r="EZ62"/>
      <c r="FA62"/>
      <c r="FB62"/>
      <c r="FC62"/>
      <c r="FD62"/>
    </row>
    <row r="63" spans="1:160" s="77" customFormat="1" ht="13" customHeight="1" x14ac:dyDescent="0.2">
      <c r="A63" s="72" t="s">
        <v>137</v>
      </c>
      <c r="B63" s="73" t="s">
        <v>461</v>
      </c>
      <c r="C63" s="276">
        <f t="shared" si="24"/>
        <v>159.1</v>
      </c>
      <c r="D63" s="74">
        <v>500</v>
      </c>
      <c r="E63" s="74">
        <v>600</v>
      </c>
      <c r="F63" s="75">
        <f t="shared" si="4"/>
        <v>550</v>
      </c>
      <c r="G63" s="73" t="s">
        <v>523</v>
      </c>
      <c r="H63" s="84">
        <v>7.5</v>
      </c>
      <c r="I63" s="85">
        <v>5</v>
      </c>
      <c r="J63" s="85">
        <v>8</v>
      </c>
      <c r="K63" s="89">
        <f t="shared" si="21"/>
        <v>4.6875</v>
      </c>
      <c r="L63" s="75">
        <v>169</v>
      </c>
      <c r="M63" s="75">
        <v>108</v>
      </c>
      <c r="N63" s="75">
        <v>39</v>
      </c>
      <c r="O63" s="75">
        <v>57.42</v>
      </c>
      <c r="P63" s="75">
        <v>21.36</v>
      </c>
      <c r="Q63" s="75">
        <v>9.23</v>
      </c>
      <c r="R63" s="75">
        <v>0.223</v>
      </c>
      <c r="S63" s="75">
        <v>0.97</v>
      </c>
      <c r="T63" s="75">
        <v>0.01</v>
      </c>
      <c r="U63" s="75">
        <v>0.03</v>
      </c>
      <c r="V63" s="75">
        <v>0.81</v>
      </c>
      <c r="W63" s="75">
        <v>0.71599999999999997</v>
      </c>
      <c r="X63" s="75">
        <v>0.04</v>
      </c>
      <c r="Y63" s="75">
        <v>9.83</v>
      </c>
      <c r="Z63" s="75">
        <v>100.7</v>
      </c>
      <c r="AA63" s="75">
        <v>28</v>
      </c>
      <c r="AB63" s="75">
        <v>1</v>
      </c>
      <c r="AC63" s="75">
        <v>138</v>
      </c>
      <c r="AD63" s="75">
        <v>0</v>
      </c>
      <c r="AE63" s="75">
        <v>52</v>
      </c>
      <c r="AF63" s="75">
        <v>0</v>
      </c>
      <c r="AG63" s="75">
        <v>70</v>
      </c>
      <c r="AH63" s="75">
        <v>90</v>
      </c>
      <c r="AI63" s="75">
        <v>19</v>
      </c>
      <c r="AJ63" s="75">
        <v>1</v>
      </c>
      <c r="AK63" s="75">
        <v>0</v>
      </c>
      <c r="AL63" s="75">
        <v>42</v>
      </c>
      <c r="AM63" s="75" t="s">
        <v>72</v>
      </c>
      <c r="AN63" s="75">
        <v>17</v>
      </c>
      <c r="AO63" s="75">
        <v>149</v>
      </c>
      <c r="AP63" s="75">
        <v>4</v>
      </c>
      <c r="AQ63" s="75" t="s">
        <v>72</v>
      </c>
      <c r="AR63" s="75" t="s">
        <v>74</v>
      </c>
      <c r="AS63" s="75" t="s">
        <v>73</v>
      </c>
      <c r="AT63" s="75">
        <v>0</v>
      </c>
      <c r="AU63" s="75" t="s">
        <v>74</v>
      </c>
      <c r="AV63" s="75">
        <v>1.6</v>
      </c>
      <c r="AW63" s="75">
        <v>168</v>
      </c>
      <c r="AX63" s="75" t="s">
        <v>75</v>
      </c>
      <c r="AY63" s="75">
        <v>17.600000000000001</v>
      </c>
      <c r="AZ63" s="75">
        <v>37</v>
      </c>
      <c r="BA63" s="75">
        <v>4.47</v>
      </c>
      <c r="BB63" s="75">
        <v>17.3</v>
      </c>
      <c r="BC63" s="75">
        <v>3.7</v>
      </c>
      <c r="BD63" s="75">
        <v>1.0900000000000001</v>
      </c>
      <c r="BE63" s="75">
        <v>3.6</v>
      </c>
      <c r="BF63" s="75">
        <v>0.6</v>
      </c>
      <c r="BG63" s="75">
        <v>3.4</v>
      </c>
      <c r="BH63" s="75">
        <v>0.7</v>
      </c>
      <c r="BI63" s="75">
        <v>2.1</v>
      </c>
      <c r="BJ63" s="75">
        <v>0.31</v>
      </c>
      <c r="BK63" s="75">
        <v>2.2000000000000002</v>
      </c>
      <c r="BL63" s="75">
        <v>0.35</v>
      </c>
      <c r="BM63" s="75">
        <v>3.7</v>
      </c>
      <c r="BN63" s="75">
        <v>0.2</v>
      </c>
      <c r="BO63" s="75">
        <v>0</v>
      </c>
      <c r="BP63" s="75">
        <v>0</v>
      </c>
      <c r="BQ63" s="75">
        <v>24</v>
      </c>
      <c r="BR63" s="75">
        <v>2.9</v>
      </c>
      <c r="BS63" s="75">
        <v>0.6</v>
      </c>
      <c r="BT63" s="76">
        <f t="shared" si="5"/>
        <v>0.67765567765567769</v>
      </c>
      <c r="BU63" s="281">
        <f t="shared" si="6"/>
        <v>94.42</v>
      </c>
      <c r="BV63" s="77">
        <f t="shared" si="7"/>
        <v>550</v>
      </c>
      <c r="BW63" s="78">
        <f t="shared" si="8"/>
        <v>96.172895092300763</v>
      </c>
      <c r="BX63" s="69">
        <f t="shared" si="13"/>
        <v>0.67765567765567769</v>
      </c>
      <c r="BY63" s="76">
        <v>7.95</v>
      </c>
      <c r="BZ63" s="76">
        <v>0.17</v>
      </c>
      <c r="CA63" s="76">
        <v>28.66</v>
      </c>
      <c r="CB63" s="76">
        <v>0</v>
      </c>
      <c r="CC63" s="76">
        <v>0</v>
      </c>
      <c r="CD63" s="76">
        <v>0</v>
      </c>
      <c r="CE63" s="76">
        <v>0</v>
      </c>
      <c r="CF63" s="76">
        <v>0</v>
      </c>
      <c r="CG63" s="76">
        <v>0</v>
      </c>
      <c r="CH63" s="76">
        <v>5.61</v>
      </c>
      <c r="CI63" s="76">
        <v>3.98</v>
      </c>
      <c r="CJ63" s="76">
        <v>0</v>
      </c>
      <c r="CK63" s="76">
        <v>13.84</v>
      </c>
      <c r="CL63" s="76">
        <v>17.55</v>
      </c>
      <c r="CM63" s="76">
        <v>0</v>
      </c>
      <c r="CN63" s="76">
        <v>0</v>
      </c>
      <c r="CO63" s="76">
        <v>18.57</v>
      </c>
      <c r="CP63" s="76">
        <v>3.67</v>
      </c>
      <c r="CQ63" s="76">
        <v>0</v>
      </c>
      <c r="CR63" s="76">
        <v>0</v>
      </c>
      <c r="CS63" s="76">
        <v>0</v>
      </c>
      <c r="CT63" s="76">
        <v>0</v>
      </c>
      <c r="CU63" s="76">
        <v>0</v>
      </c>
      <c r="CV63" s="76">
        <v>0</v>
      </c>
      <c r="CW63" s="76">
        <v>0</v>
      </c>
      <c r="CX63" s="76">
        <v>0</v>
      </c>
      <c r="CY63" s="281">
        <v>99.999999999999986</v>
      </c>
      <c r="CZ63" s="285">
        <v>0.31192860252503263</v>
      </c>
      <c r="DA63" s="285">
        <v>0</v>
      </c>
      <c r="DB63" s="285">
        <v>0</v>
      </c>
      <c r="DC63" s="285">
        <v>0</v>
      </c>
      <c r="DD63" s="285">
        <v>0</v>
      </c>
      <c r="DE63" s="285">
        <v>0</v>
      </c>
      <c r="DF63" s="285">
        <v>0</v>
      </c>
      <c r="DG63" s="285">
        <v>6.1057901610796689E-2</v>
      </c>
      <c r="DH63" s="285">
        <v>4.3317370483239005E-2</v>
      </c>
      <c r="DI63" s="285">
        <v>0</v>
      </c>
      <c r="DJ63" s="285">
        <v>0.15063125816282105</v>
      </c>
      <c r="DK63" s="285">
        <v>0.19101001306051371</v>
      </c>
      <c r="DL63" s="285">
        <v>0</v>
      </c>
      <c r="DM63" s="285">
        <v>0</v>
      </c>
      <c r="DN63" s="285">
        <v>0.20211144971702219</v>
      </c>
      <c r="DO63" s="285">
        <v>3.9943404440574655E-2</v>
      </c>
      <c r="DP63" s="285">
        <v>0</v>
      </c>
      <c r="DQ63" s="285">
        <v>0</v>
      </c>
      <c r="DR63" s="285">
        <v>0</v>
      </c>
      <c r="DS63" s="285">
        <v>0</v>
      </c>
      <c r="DT63" s="285">
        <v>0</v>
      </c>
      <c r="DU63" s="285">
        <v>0</v>
      </c>
      <c r="DV63" s="285">
        <v>0</v>
      </c>
      <c r="DW63" s="285">
        <v>0</v>
      </c>
      <c r="DX63" s="76">
        <v>1</v>
      </c>
      <c r="DY63" s="78">
        <v>57.471601934354844</v>
      </c>
      <c r="DZ63" s="78">
        <v>22.657335556874493</v>
      </c>
      <c r="EA63" s="78">
        <v>5.3360673610203797</v>
      </c>
      <c r="EB63" s="78">
        <v>3.3241839470315178</v>
      </c>
      <c r="EC63" s="78">
        <v>0</v>
      </c>
      <c r="ED63" s="78">
        <v>1.2198399920011063</v>
      </c>
      <c r="EE63" s="78">
        <v>2.7845232370557624E-2</v>
      </c>
      <c r="EF63" s="78">
        <v>0</v>
      </c>
      <c r="EG63" s="78">
        <v>1.5628004100855333</v>
      </c>
      <c r="EH63" s="78">
        <v>0.43641311620391421</v>
      </c>
      <c r="EI63" s="78">
        <v>0</v>
      </c>
      <c r="EJ63" s="78">
        <v>7.963912450057661</v>
      </c>
      <c r="EK63" s="78">
        <v>0</v>
      </c>
      <c r="EL63" s="78">
        <v>100</v>
      </c>
      <c r="EM63" s="76">
        <v>93.44009041668177</v>
      </c>
      <c r="EN63" s="76" t="s">
        <v>137</v>
      </c>
      <c r="EO63" s="289">
        <v>8.9594278632847343E-2</v>
      </c>
      <c r="EP63" s="257">
        <f t="shared" si="14"/>
        <v>8.9594278632847342</v>
      </c>
      <c r="EQ63" s="257">
        <f t="shared" si="15"/>
        <v>64.821259095223027</v>
      </c>
      <c r="ER63" s="324">
        <f t="shared" si="16"/>
        <v>5.927134312126156E-2</v>
      </c>
      <c r="ES63" s="257">
        <f t="shared" si="9"/>
        <v>0.67765567765567769</v>
      </c>
      <c r="ET63">
        <f t="shared" si="10"/>
        <v>550</v>
      </c>
      <c r="EU63" s="324">
        <f t="shared" si="17"/>
        <v>8.7465279308672456E-2</v>
      </c>
      <c r="EV63" s="39">
        <f t="shared" si="18"/>
        <v>159.1</v>
      </c>
      <c r="EW63"/>
      <c r="EX63">
        <f t="shared" si="19"/>
        <v>24.285714285714288</v>
      </c>
      <c r="EY63"/>
      <c r="EZ63"/>
      <c r="FA63"/>
      <c r="FB63"/>
      <c r="FC63"/>
      <c r="FD63"/>
    </row>
    <row r="64" spans="1:160" s="77" customFormat="1" ht="13" customHeight="1" x14ac:dyDescent="0.2">
      <c r="A64" s="72" t="s">
        <v>138</v>
      </c>
      <c r="B64" s="73" t="s">
        <v>461</v>
      </c>
      <c r="C64" s="276">
        <f t="shared" si="24"/>
        <v>158.1</v>
      </c>
      <c r="D64" s="74">
        <v>600</v>
      </c>
      <c r="E64" s="74">
        <v>700</v>
      </c>
      <c r="F64" s="75">
        <f t="shared" si="4"/>
        <v>650</v>
      </c>
      <c r="G64" s="73" t="s">
        <v>506</v>
      </c>
      <c r="H64" s="84">
        <v>5</v>
      </c>
      <c r="I64" s="85">
        <v>4</v>
      </c>
      <c r="J64" s="85">
        <v>6</v>
      </c>
      <c r="K64" s="89">
        <f t="shared" si="21"/>
        <v>3.3333333333333335</v>
      </c>
      <c r="L64" s="75">
        <v>136</v>
      </c>
      <c r="M64" s="75">
        <v>83</v>
      </c>
      <c r="N64" s="75">
        <v>47</v>
      </c>
      <c r="O64" s="75">
        <v>57.6</v>
      </c>
      <c r="P64" s="75">
        <v>20.13</v>
      </c>
      <c r="Q64" s="75">
        <v>8.7200000000000006</v>
      </c>
      <c r="R64" s="75">
        <v>0.20499999999999999</v>
      </c>
      <c r="S64" s="75">
        <v>0.86</v>
      </c>
      <c r="T64" s="75">
        <v>0</v>
      </c>
      <c r="U64" s="75">
        <v>0.05</v>
      </c>
      <c r="V64" s="75">
        <v>0.68</v>
      </c>
      <c r="W64" s="75">
        <v>0.66900000000000004</v>
      </c>
      <c r="X64" s="75">
        <v>0.05</v>
      </c>
      <c r="Y64" s="75">
        <v>9.5500000000000007</v>
      </c>
      <c r="Z64" s="75">
        <v>98.52</v>
      </c>
      <c r="AA64" s="75">
        <v>26</v>
      </c>
      <c r="AB64" s="75">
        <v>1</v>
      </c>
      <c r="AC64" s="75">
        <v>126</v>
      </c>
      <c r="AD64" s="75">
        <v>0</v>
      </c>
      <c r="AE64" s="75">
        <v>55</v>
      </c>
      <c r="AF64" s="75">
        <v>0</v>
      </c>
      <c r="AG64" s="75">
        <v>110</v>
      </c>
      <c r="AH64" s="75">
        <v>80</v>
      </c>
      <c r="AI64" s="75">
        <v>19</v>
      </c>
      <c r="AJ64" s="75">
        <v>1</v>
      </c>
      <c r="AK64" s="75">
        <v>0</v>
      </c>
      <c r="AL64" s="75">
        <v>36</v>
      </c>
      <c r="AM64" s="75">
        <v>3</v>
      </c>
      <c r="AN64" s="75">
        <v>18</v>
      </c>
      <c r="AO64" s="75">
        <v>115</v>
      </c>
      <c r="AP64" s="75">
        <v>4</v>
      </c>
      <c r="AQ64" s="75" t="s">
        <v>72</v>
      </c>
      <c r="AR64" s="75">
        <v>0.9</v>
      </c>
      <c r="AS64" s="75" t="s">
        <v>73</v>
      </c>
      <c r="AT64" s="75">
        <v>0</v>
      </c>
      <c r="AU64" s="75">
        <v>2.9</v>
      </c>
      <c r="AV64" s="75">
        <v>1.5</v>
      </c>
      <c r="AW64" s="75">
        <v>145</v>
      </c>
      <c r="AX64" s="75" t="s">
        <v>75</v>
      </c>
      <c r="AY64" s="75">
        <v>16.600000000000001</v>
      </c>
      <c r="AZ64" s="75">
        <v>31</v>
      </c>
      <c r="BA64" s="75">
        <v>4.12</v>
      </c>
      <c r="BB64" s="75">
        <v>16.3</v>
      </c>
      <c r="BC64" s="75">
        <v>3.7</v>
      </c>
      <c r="BD64" s="75">
        <v>1.1100000000000001</v>
      </c>
      <c r="BE64" s="75">
        <v>3.6</v>
      </c>
      <c r="BF64" s="75">
        <v>0.6</v>
      </c>
      <c r="BG64" s="75">
        <v>3.7</v>
      </c>
      <c r="BH64" s="75">
        <v>0.8</v>
      </c>
      <c r="BI64" s="75">
        <v>2.2000000000000002</v>
      </c>
      <c r="BJ64" s="75">
        <v>0.33</v>
      </c>
      <c r="BK64" s="75">
        <v>2.2999999999999998</v>
      </c>
      <c r="BL64" s="75">
        <v>0.36</v>
      </c>
      <c r="BM64" s="75">
        <v>3</v>
      </c>
      <c r="BN64" s="75">
        <v>0.3</v>
      </c>
      <c r="BO64" s="75">
        <v>0</v>
      </c>
      <c r="BP64" s="75">
        <v>0</v>
      </c>
      <c r="BQ64" s="75">
        <v>3910</v>
      </c>
      <c r="BR64" s="75">
        <v>2.5</v>
      </c>
      <c r="BS64" s="75">
        <v>0.6</v>
      </c>
      <c r="BT64" s="76">
        <f t="shared" si="5"/>
        <v>0.65126050420168069</v>
      </c>
      <c r="BU64" s="281">
        <f t="shared" si="6"/>
        <v>86.719999999999985</v>
      </c>
      <c r="BV64" s="77">
        <f t="shared" si="7"/>
        <v>650</v>
      </c>
      <c r="BW64" s="78">
        <f t="shared" si="8"/>
        <v>96.500479386385436</v>
      </c>
      <c r="BX64" s="69">
        <f t="shared" si="13"/>
        <v>0.65126050420168069</v>
      </c>
      <c r="BY64" s="76">
        <v>6.59</v>
      </c>
      <c r="BZ64" s="76">
        <v>0.24</v>
      </c>
      <c r="CA64" s="76">
        <v>24.79</v>
      </c>
      <c r="CB64" s="76">
        <v>0</v>
      </c>
      <c r="CC64" s="76">
        <v>0</v>
      </c>
      <c r="CD64" s="76">
        <v>0</v>
      </c>
      <c r="CE64" s="76">
        <v>0</v>
      </c>
      <c r="CF64" s="76">
        <v>0</v>
      </c>
      <c r="CG64" s="76">
        <v>0</v>
      </c>
      <c r="CH64" s="76">
        <v>3.63</v>
      </c>
      <c r="CI64" s="76">
        <v>2.2400000000000002</v>
      </c>
      <c r="CJ64" s="76">
        <v>0</v>
      </c>
      <c r="CK64" s="76">
        <v>11.84</v>
      </c>
      <c r="CL64" s="76">
        <v>19.96</v>
      </c>
      <c r="CM64" s="76">
        <v>0</v>
      </c>
      <c r="CN64" s="76">
        <v>0</v>
      </c>
      <c r="CO64" s="76">
        <v>29.72</v>
      </c>
      <c r="CP64" s="76">
        <v>2.99</v>
      </c>
      <c r="CQ64" s="76">
        <v>0</v>
      </c>
      <c r="CR64" s="76">
        <v>0</v>
      </c>
      <c r="CS64" s="76">
        <v>0</v>
      </c>
      <c r="CT64" s="76">
        <v>0</v>
      </c>
      <c r="CU64" s="76">
        <v>0</v>
      </c>
      <c r="CV64" s="76">
        <v>0</v>
      </c>
      <c r="CW64" s="76">
        <v>0</v>
      </c>
      <c r="CX64" s="76">
        <v>0</v>
      </c>
      <c r="CY64" s="281">
        <v>101.99999999999999</v>
      </c>
      <c r="CZ64" s="285">
        <v>0.260481244089524</v>
      </c>
      <c r="DA64" s="285">
        <v>0</v>
      </c>
      <c r="DB64" s="285">
        <v>0</v>
      </c>
      <c r="DC64" s="285">
        <v>0</v>
      </c>
      <c r="DD64" s="285">
        <v>0</v>
      </c>
      <c r="DE64" s="285">
        <v>0</v>
      </c>
      <c r="DF64" s="285">
        <v>0</v>
      </c>
      <c r="DG64" s="285">
        <v>3.8142271724282861E-2</v>
      </c>
      <c r="DH64" s="285">
        <v>2.3536828832615323E-2</v>
      </c>
      <c r="DI64" s="285">
        <v>0</v>
      </c>
      <c r="DJ64" s="285">
        <v>0.12440895240096669</v>
      </c>
      <c r="DK64" s="285">
        <v>0.20972995691919724</v>
      </c>
      <c r="DL64" s="285">
        <v>0</v>
      </c>
      <c r="DM64" s="285">
        <v>0</v>
      </c>
      <c r="DN64" s="285">
        <v>0.31228328254702109</v>
      </c>
      <c r="DO64" s="285">
        <v>3.1417463486392773E-2</v>
      </c>
      <c r="DP64" s="285">
        <v>0</v>
      </c>
      <c r="DQ64" s="285">
        <v>0</v>
      </c>
      <c r="DR64" s="285">
        <v>0</v>
      </c>
      <c r="DS64" s="285">
        <v>0</v>
      </c>
      <c r="DT64" s="285">
        <v>0</v>
      </c>
      <c r="DU64" s="285">
        <v>0</v>
      </c>
      <c r="DV64" s="285">
        <v>0</v>
      </c>
      <c r="DW64" s="285">
        <v>0</v>
      </c>
      <c r="DX64" s="76">
        <v>1</v>
      </c>
      <c r="DY64" s="78">
        <v>56.093656924975754</v>
      </c>
      <c r="DZ64" s="78">
        <v>23.550490037756209</v>
      </c>
      <c r="EA64" s="78">
        <v>3.3800177212237048</v>
      </c>
      <c r="EB64" s="78">
        <v>5.0002260546617929</v>
      </c>
      <c r="EC64" s="78">
        <v>0</v>
      </c>
      <c r="ED64" s="78">
        <v>1.8095026476185745</v>
      </c>
      <c r="EE64" s="78">
        <v>4.3023789993773653E-2</v>
      </c>
      <c r="EF64" s="78">
        <v>0</v>
      </c>
      <c r="EG64" s="78">
        <v>2.0628470626615583</v>
      </c>
      <c r="EH64" s="78">
        <v>0.67430380943556589</v>
      </c>
      <c r="EI64" s="78">
        <v>0</v>
      </c>
      <c r="EJ64" s="78">
        <v>7.3859319516730677</v>
      </c>
      <c r="EK64" s="78">
        <v>0</v>
      </c>
      <c r="EL64" s="78">
        <v>100</v>
      </c>
      <c r="EM64" s="76">
        <v>91.792012664421364</v>
      </c>
      <c r="EN64" s="76" t="s">
        <v>138</v>
      </c>
      <c r="EO64" s="289">
        <v>8.8302641208050592E-2</v>
      </c>
      <c r="EP64" s="257">
        <f t="shared" si="14"/>
        <v>8.8302641208050598</v>
      </c>
      <c r="EQ64" s="257">
        <f t="shared" si="15"/>
        <v>53.523728331912473</v>
      </c>
      <c r="ER64" s="324">
        <f t="shared" si="16"/>
        <v>6.3756461803561176E-2</v>
      </c>
      <c r="ES64" s="257">
        <f t="shared" si="9"/>
        <v>0.65126050420168069</v>
      </c>
      <c r="ET64">
        <f t="shared" si="10"/>
        <v>650</v>
      </c>
      <c r="EU64" s="324">
        <f t="shared" si="17"/>
        <v>9.7897018769339095E-2</v>
      </c>
      <c r="EV64" s="39">
        <f t="shared" si="18"/>
        <v>158.1</v>
      </c>
      <c r="EW64"/>
      <c r="EX64">
        <f t="shared" si="19"/>
        <v>22.5</v>
      </c>
      <c r="EY64"/>
      <c r="EZ64"/>
      <c r="FA64"/>
      <c r="FB64"/>
      <c r="FC64"/>
      <c r="FD64"/>
    </row>
    <row r="65" spans="1:160" s="77" customFormat="1" ht="13" customHeight="1" x14ac:dyDescent="0.2">
      <c r="A65" s="72" t="s">
        <v>139</v>
      </c>
      <c r="B65" s="73" t="s">
        <v>461</v>
      </c>
      <c r="C65" s="276">
        <f t="shared" si="24"/>
        <v>157.1</v>
      </c>
      <c r="D65" s="74">
        <v>700</v>
      </c>
      <c r="E65" s="74">
        <v>800</v>
      </c>
      <c r="F65" s="75">
        <f t="shared" si="4"/>
        <v>750</v>
      </c>
      <c r="G65" s="73" t="s">
        <v>523</v>
      </c>
      <c r="H65" s="84">
        <v>7.5</v>
      </c>
      <c r="I65" s="85">
        <v>5</v>
      </c>
      <c r="J65" s="85">
        <v>8</v>
      </c>
      <c r="K65" s="89">
        <f t="shared" si="21"/>
        <v>4.6875</v>
      </c>
      <c r="L65" s="75">
        <v>169</v>
      </c>
      <c r="M65" s="75">
        <v>108</v>
      </c>
      <c r="N65" s="75">
        <v>39</v>
      </c>
      <c r="O65" s="75">
        <v>54.67</v>
      </c>
      <c r="P65" s="75">
        <v>20.63</v>
      </c>
      <c r="Q65" s="75">
        <v>10.86</v>
      </c>
      <c r="R65" s="75">
        <v>0.22800000000000001</v>
      </c>
      <c r="S65" s="75">
        <v>0.7</v>
      </c>
      <c r="T65" s="75">
        <v>0</v>
      </c>
      <c r="U65" s="75">
        <v>0.04</v>
      </c>
      <c r="V65" s="75">
        <v>0.67</v>
      </c>
      <c r="W65" s="75">
        <v>0.77300000000000002</v>
      </c>
      <c r="X65" s="75">
        <v>0.08</v>
      </c>
      <c r="Y65" s="75">
        <v>10.31</v>
      </c>
      <c r="Z65" s="75">
        <v>98.98</v>
      </c>
      <c r="AA65" s="75">
        <v>38</v>
      </c>
      <c r="AB65" s="75">
        <v>1</v>
      </c>
      <c r="AC65" s="75">
        <v>153</v>
      </c>
      <c r="AD65" s="75">
        <v>20</v>
      </c>
      <c r="AE65" s="75">
        <v>78</v>
      </c>
      <c r="AF65" s="75">
        <v>0</v>
      </c>
      <c r="AG65" s="75">
        <v>120</v>
      </c>
      <c r="AH65" s="75">
        <v>80</v>
      </c>
      <c r="AI65" s="75">
        <v>21</v>
      </c>
      <c r="AJ65" s="75">
        <v>1</v>
      </c>
      <c r="AK65" s="75">
        <v>0</v>
      </c>
      <c r="AL65" s="75">
        <v>37</v>
      </c>
      <c r="AM65" s="75">
        <v>2</v>
      </c>
      <c r="AN65" s="75">
        <v>14</v>
      </c>
      <c r="AO65" s="75">
        <v>119</v>
      </c>
      <c r="AP65" s="75">
        <v>4</v>
      </c>
      <c r="AQ65" s="75" t="s">
        <v>72</v>
      </c>
      <c r="AR65" s="75" t="s">
        <v>74</v>
      </c>
      <c r="AS65" s="75" t="s">
        <v>73</v>
      </c>
      <c r="AT65" s="75">
        <v>0</v>
      </c>
      <c r="AU65" s="75" t="s">
        <v>74</v>
      </c>
      <c r="AV65" s="75">
        <v>1.6</v>
      </c>
      <c r="AW65" s="75">
        <v>138</v>
      </c>
      <c r="AX65" s="75" t="s">
        <v>75</v>
      </c>
      <c r="AY65" s="75">
        <v>12.5</v>
      </c>
      <c r="AZ65" s="75">
        <v>26.8</v>
      </c>
      <c r="BA65" s="75">
        <v>3.34</v>
      </c>
      <c r="BB65" s="75">
        <v>13.6</v>
      </c>
      <c r="BC65" s="75">
        <v>3.2</v>
      </c>
      <c r="BD65" s="75">
        <v>0.99</v>
      </c>
      <c r="BE65" s="75">
        <v>3.2</v>
      </c>
      <c r="BF65" s="75">
        <v>0.5</v>
      </c>
      <c r="BG65" s="75">
        <v>3.3</v>
      </c>
      <c r="BH65" s="75">
        <v>0.7</v>
      </c>
      <c r="BI65" s="75">
        <v>2.1</v>
      </c>
      <c r="BJ65" s="75">
        <v>0.31</v>
      </c>
      <c r="BK65" s="75">
        <v>2.2000000000000002</v>
      </c>
      <c r="BL65" s="75">
        <v>0.34</v>
      </c>
      <c r="BM65" s="75">
        <v>3.2</v>
      </c>
      <c r="BN65" s="75">
        <v>0.2</v>
      </c>
      <c r="BO65" s="75">
        <v>0</v>
      </c>
      <c r="BP65" s="75">
        <v>0</v>
      </c>
      <c r="BQ65" s="75">
        <v>44</v>
      </c>
      <c r="BR65" s="75">
        <v>2.2999999999999998</v>
      </c>
      <c r="BS65" s="75">
        <v>0.5</v>
      </c>
      <c r="BT65" s="76">
        <f t="shared" si="5"/>
        <v>0.68193384223918585</v>
      </c>
      <c r="BU65" s="281">
        <f t="shared" si="6"/>
        <v>73.080000000000013</v>
      </c>
      <c r="BV65" s="77">
        <f t="shared" si="7"/>
        <v>750</v>
      </c>
      <c r="BW65" s="78">
        <f t="shared" si="8"/>
        <v>96.67291471415183</v>
      </c>
      <c r="BX65" s="69">
        <f t="shared" si="13"/>
        <v>0.68193384223918585</v>
      </c>
      <c r="BY65" s="76">
        <v>8.19</v>
      </c>
      <c r="BZ65" s="76">
        <v>0.2</v>
      </c>
      <c r="CA65" s="76">
        <v>21.57</v>
      </c>
      <c r="CB65" s="76">
        <v>0</v>
      </c>
      <c r="CC65" s="76">
        <v>0</v>
      </c>
      <c r="CD65" s="76">
        <v>0</v>
      </c>
      <c r="CE65" s="76">
        <v>0</v>
      </c>
      <c r="CF65" s="76">
        <v>0</v>
      </c>
      <c r="CG65" s="76">
        <v>0</v>
      </c>
      <c r="CH65" s="76">
        <v>4.46</v>
      </c>
      <c r="CI65" s="76">
        <v>3.05</v>
      </c>
      <c r="CJ65" s="76">
        <v>0</v>
      </c>
      <c r="CK65" s="76">
        <v>12.5</v>
      </c>
      <c r="CL65" s="76">
        <v>22.15</v>
      </c>
      <c r="CM65" s="76">
        <v>0</v>
      </c>
      <c r="CN65" s="76">
        <v>0</v>
      </c>
      <c r="CO65" s="76">
        <v>24.17</v>
      </c>
      <c r="CP65" s="76">
        <v>3.71</v>
      </c>
      <c r="CQ65" s="76">
        <v>0</v>
      </c>
      <c r="CR65" s="76">
        <v>0</v>
      </c>
      <c r="CS65" s="76">
        <v>0</v>
      </c>
      <c r="CT65" s="76">
        <v>0</v>
      </c>
      <c r="CU65" s="76">
        <v>0</v>
      </c>
      <c r="CV65" s="76">
        <v>0</v>
      </c>
      <c r="CW65" s="76">
        <v>0</v>
      </c>
      <c r="CX65" s="76">
        <v>0</v>
      </c>
      <c r="CY65" s="281">
        <v>100</v>
      </c>
      <c r="CZ65" s="285">
        <v>0.23545464468944438</v>
      </c>
      <c r="DA65" s="285">
        <v>0</v>
      </c>
      <c r="DB65" s="285">
        <v>0</v>
      </c>
      <c r="DC65" s="285">
        <v>0</v>
      </c>
      <c r="DD65" s="285">
        <v>0</v>
      </c>
      <c r="DE65" s="285">
        <v>0</v>
      </c>
      <c r="DF65" s="285">
        <v>0</v>
      </c>
      <c r="DG65" s="285">
        <v>4.8684641414692718E-2</v>
      </c>
      <c r="DH65" s="285">
        <v>3.3293308590765201E-2</v>
      </c>
      <c r="DI65" s="285">
        <v>0</v>
      </c>
      <c r="DJ65" s="285">
        <v>0.13644798602772623</v>
      </c>
      <c r="DK65" s="285">
        <v>0.24178583124113087</v>
      </c>
      <c r="DL65" s="285">
        <v>0</v>
      </c>
      <c r="DM65" s="285">
        <v>0</v>
      </c>
      <c r="DN65" s="285">
        <v>0.26383582578321146</v>
      </c>
      <c r="DO65" s="285">
        <v>4.0497762253029146E-2</v>
      </c>
      <c r="DP65" s="285">
        <v>0</v>
      </c>
      <c r="DQ65" s="285">
        <v>0</v>
      </c>
      <c r="DR65" s="285">
        <v>0</v>
      </c>
      <c r="DS65" s="285">
        <v>0</v>
      </c>
      <c r="DT65" s="285">
        <v>0</v>
      </c>
      <c r="DU65" s="285">
        <v>0</v>
      </c>
      <c r="DV65" s="285">
        <v>0</v>
      </c>
      <c r="DW65" s="285">
        <v>0</v>
      </c>
      <c r="DX65" s="76">
        <v>1</v>
      </c>
      <c r="DY65" s="78">
        <v>54.10921210524581</v>
      </c>
      <c r="DZ65" s="78">
        <v>24.975164402915357</v>
      </c>
      <c r="EA65" s="78">
        <v>4.2798634657689645</v>
      </c>
      <c r="EB65" s="78">
        <v>4.2871219244315011</v>
      </c>
      <c r="EC65" s="78">
        <v>0</v>
      </c>
      <c r="ED65" s="78">
        <v>1.5634465787712062</v>
      </c>
      <c r="EE65" s="78">
        <v>3.6349102868231724E-2</v>
      </c>
      <c r="EF65" s="78">
        <v>0</v>
      </c>
      <c r="EG65" s="78">
        <v>1.9048599444442034</v>
      </c>
      <c r="EH65" s="78">
        <v>0.5696926871658915</v>
      </c>
      <c r="EI65" s="78">
        <v>0</v>
      </c>
      <c r="EJ65" s="78">
        <v>8.274289788388856</v>
      </c>
      <c r="EK65" s="78">
        <v>0</v>
      </c>
      <c r="EL65" s="78">
        <v>100</v>
      </c>
      <c r="EM65" s="76">
        <v>92.78799927894444</v>
      </c>
      <c r="EN65" s="76" t="s">
        <v>139</v>
      </c>
      <c r="EO65" s="289">
        <v>8.9528263633993008E-2</v>
      </c>
      <c r="EP65" s="257">
        <f t="shared" si="14"/>
        <v>8.9528263633992999</v>
      </c>
      <c r="EQ65" s="257">
        <f t="shared" si="15"/>
        <v>60.194174757281559</v>
      </c>
      <c r="ER65" s="324">
        <f t="shared" si="16"/>
        <v>6.7854694996572998E-2</v>
      </c>
      <c r="ES65" s="257">
        <f t="shared" si="9"/>
        <v>0.68193384223918585</v>
      </c>
      <c r="ET65">
        <f t="shared" si="10"/>
        <v>750</v>
      </c>
      <c r="EU65" s="324">
        <f t="shared" si="17"/>
        <v>9.9503340050944716E-2</v>
      </c>
      <c r="EV65" s="39">
        <f t="shared" si="18"/>
        <v>157.1</v>
      </c>
      <c r="EW65"/>
      <c r="EX65">
        <f t="shared" si="19"/>
        <v>20</v>
      </c>
      <c r="EY65"/>
      <c r="EZ65"/>
      <c r="FA65"/>
      <c r="FB65"/>
      <c r="FC65"/>
      <c r="FD65"/>
    </row>
    <row r="66" spans="1:160" s="77" customFormat="1" ht="13" customHeight="1" x14ac:dyDescent="0.2">
      <c r="A66" s="72" t="s">
        <v>151</v>
      </c>
      <c r="B66" s="73" t="s">
        <v>461</v>
      </c>
      <c r="C66" s="276">
        <f>161-F66/100</f>
        <v>160.94499999999999</v>
      </c>
      <c r="D66" s="74">
        <v>0</v>
      </c>
      <c r="E66" s="74">
        <v>11</v>
      </c>
      <c r="F66" s="75">
        <f t="shared" si="4"/>
        <v>5.5</v>
      </c>
      <c r="G66" s="73" t="s">
        <v>506</v>
      </c>
      <c r="H66" s="84">
        <v>5</v>
      </c>
      <c r="I66" s="85">
        <v>4</v>
      </c>
      <c r="J66" s="85">
        <v>6</v>
      </c>
      <c r="K66" s="89">
        <f t="shared" si="21"/>
        <v>3.3333333333333335</v>
      </c>
      <c r="L66" s="75">
        <v>136</v>
      </c>
      <c r="M66" s="75">
        <v>83</v>
      </c>
      <c r="N66" s="75">
        <v>47</v>
      </c>
      <c r="O66" s="75">
        <v>70.239999999999995</v>
      </c>
      <c r="P66" s="75">
        <v>12.63</v>
      </c>
      <c r="Q66" s="75">
        <v>4.49</v>
      </c>
      <c r="R66" s="75">
        <v>0.29399999999999998</v>
      </c>
      <c r="S66" s="75">
        <v>0.21</v>
      </c>
      <c r="T66" s="75">
        <v>0.08</v>
      </c>
      <c r="U66" s="75">
        <v>0.13</v>
      </c>
      <c r="V66" s="75">
        <v>0.75</v>
      </c>
      <c r="W66" s="75">
        <v>0.78400000000000003</v>
      </c>
      <c r="X66" s="75">
        <v>0.05</v>
      </c>
      <c r="Y66" s="75">
        <v>9.67</v>
      </c>
      <c r="Z66" s="75">
        <v>99.32</v>
      </c>
      <c r="AA66" s="75">
        <v>13</v>
      </c>
      <c r="AB66" s="75">
        <v>2</v>
      </c>
      <c r="AC66" s="75">
        <v>81</v>
      </c>
      <c r="AD66" s="75">
        <v>30</v>
      </c>
      <c r="AE66" s="75">
        <v>25</v>
      </c>
      <c r="AF66" s="75">
        <v>0</v>
      </c>
      <c r="AG66" s="75">
        <v>30</v>
      </c>
      <c r="AH66" s="75">
        <v>50</v>
      </c>
      <c r="AI66" s="75">
        <v>13</v>
      </c>
      <c r="AJ66" s="75">
        <v>0</v>
      </c>
      <c r="AK66" s="75">
        <v>0</v>
      </c>
      <c r="AL66" s="75">
        <v>49</v>
      </c>
      <c r="AM66" s="75">
        <v>32</v>
      </c>
      <c r="AN66" s="75">
        <v>55</v>
      </c>
      <c r="AO66" s="75">
        <v>257</v>
      </c>
      <c r="AP66" s="75">
        <v>5</v>
      </c>
      <c r="AQ66" s="75">
        <v>2</v>
      </c>
      <c r="AR66" s="75" t="s">
        <v>74</v>
      </c>
      <c r="AS66" s="75" t="s">
        <v>73</v>
      </c>
      <c r="AT66" s="75">
        <v>0</v>
      </c>
      <c r="AU66" s="75" t="s">
        <v>74</v>
      </c>
      <c r="AV66" s="75">
        <v>2.5</v>
      </c>
      <c r="AW66" s="75">
        <v>349</v>
      </c>
      <c r="AX66" s="75" t="s">
        <v>75</v>
      </c>
      <c r="AY66" s="75">
        <v>59.3</v>
      </c>
      <c r="AZ66" s="75">
        <v>174</v>
      </c>
      <c r="BA66" s="75">
        <v>17.2</v>
      </c>
      <c r="BB66" s="75">
        <v>66.599999999999994</v>
      </c>
      <c r="BC66" s="75">
        <v>14.5</v>
      </c>
      <c r="BD66" s="75">
        <v>3.84</v>
      </c>
      <c r="BE66" s="75">
        <v>12.3</v>
      </c>
      <c r="BF66" s="75">
        <v>1.9</v>
      </c>
      <c r="BG66" s="75">
        <v>12</v>
      </c>
      <c r="BH66" s="75">
        <v>2.2999999999999998</v>
      </c>
      <c r="BI66" s="75">
        <v>6.6</v>
      </c>
      <c r="BJ66" s="75">
        <v>0.99</v>
      </c>
      <c r="BK66" s="75">
        <v>7</v>
      </c>
      <c r="BL66" s="75">
        <v>1.06</v>
      </c>
      <c r="BM66" s="75">
        <v>5.7</v>
      </c>
      <c r="BN66" s="75">
        <v>0.5</v>
      </c>
      <c r="BO66" s="75">
        <v>2</v>
      </c>
      <c r="BP66" s="75">
        <v>0.2</v>
      </c>
      <c r="BQ66" s="75">
        <v>95</v>
      </c>
      <c r="BR66" s="75">
        <v>5.6</v>
      </c>
      <c r="BS66" s="75">
        <v>2</v>
      </c>
      <c r="BT66" s="76">
        <f t="shared" si="5"/>
        <v>0.74582083154736389</v>
      </c>
      <c r="BU66" s="281">
        <f t="shared" si="6"/>
        <v>379.59000000000003</v>
      </c>
      <c r="BV66" s="77">
        <f t="shared" si="7"/>
        <v>5.5</v>
      </c>
      <c r="BW66" s="78">
        <f t="shared" si="8"/>
        <v>92.935982339955842</v>
      </c>
      <c r="BX66" s="69">
        <f t="shared" si="13"/>
        <v>0.74582083154736389</v>
      </c>
      <c r="BY66" s="76">
        <v>10.31</v>
      </c>
      <c r="BZ66" s="76">
        <v>1.67</v>
      </c>
      <c r="CA66" s="76">
        <v>48.47</v>
      </c>
      <c r="CB66" s="76">
        <v>2.3552</v>
      </c>
      <c r="CC66" s="76">
        <v>0.20480000000000001</v>
      </c>
      <c r="CD66" s="76">
        <v>0</v>
      </c>
      <c r="CE66" s="76">
        <v>0</v>
      </c>
      <c r="CF66" s="76">
        <v>0</v>
      </c>
      <c r="CG66" s="76">
        <v>0</v>
      </c>
      <c r="CH66" s="76">
        <v>0</v>
      </c>
      <c r="CI66" s="76">
        <v>2.0699999999999998</v>
      </c>
      <c r="CJ66" s="76">
        <v>0</v>
      </c>
      <c r="CK66" s="76">
        <v>8.5</v>
      </c>
      <c r="CL66" s="76">
        <v>15.04</v>
      </c>
      <c r="CM66" s="76">
        <v>5.84</v>
      </c>
      <c r="CN66" s="76">
        <v>0</v>
      </c>
      <c r="CO66" s="76">
        <v>0.89</v>
      </c>
      <c r="CP66" s="76">
        <v>4.6500000000000004</v>
      </c>
      <c r="CQ66" s="76">
        <v>0</v>
      </c>
      <c r="CR66" s="76">
        <v>0</v>
      </c>
      <c r="CS66" s="76">
        <v>0</v>
      </c>
      <c r="CT66" s="76">
        <v>0</v>
      </c>
      <c r="CU66" s="76">
        <v>0</v>
      </c>
      <c r="CV66" s="76">
        <v>0</v>
      </c>
      <c r="CW66" s="76">
        <v>0</v>
      </c>
      <c r="CX66" s="76">
        <v>0</v>
      </c>
      <c r="CY66" s="281">
        <v>100.00000000000001</v>
      </c>
      <c r="CZ66" s="285">
        <v>0.55067030220404456</v>
      </c>
      <c r="DA66" s="285">
        <v>2.6757555101113384E-2</v>
      </c>
      <c r="DB66" s="285">
        <v>2.3267439218359466E-3</v>
      </c>
      <c r="DC66" s="285">
        <v>0</v>
      </c>
      <c r="DD66" s="285">
        <v>0</v>
      </c>
      <c r="DE66" s="285">
        <v>0</v>
      </c>
      <c r="DF66" s="285">
        <v>0</v>
      </c>
      <c r="DG66" s="285">
        <v>0</v>
      </c>
      <c r="DH66" s="285">
        <v>2.3517382413087935E-2</v>
      </c>
      <c r="DI66" s="285">
        <v>0</v>
      </c>
      <c r="DJ66" s="285">
        <v>9.6568961599636446E-2</v>
      </c>
      <c r="DK66" s="285">
        <v>0.17087025675982731</v>
      </c>
      <c r="DL66" s="285">
        <v>6.634855714610316E-2</v>
      </c>
      <c r="DM66" s="285">
        <v>0</v>
      </c>
      <c r="DN66" s="285">
        <v>1.0111338332197229E-2</v>
      </c>
      <c r="DO66" s="285">
        <v>5.282890252215406E-2</v>
      </c>
      <c r="DP66" s="285">
        <v>0</v>
      </c>
      <c r="DQ66" s="285">
        <v>0</v>
      </c>
      <c r="DR66" s="285">
        <v>0</v>
      </c>
      <c r="DS66" s="285">
        <v>0</v>
      </c>
      <c r="DT66" s="285">
        <v>0</v>
      </c>
      <c r="DU66" s="285">
        <v>0</v>
      </c>
      <c r="DV66" s="285">
        <v>0</v>
      </c>
      <c r="DW66" s="285">
        <v>0</v>
      </c>
      <c r="DX66" s="76">
        <v>1</v>
      </c>
      <c r="DY66" s="78">
        <v>75.170630558352386</v>
      </c>
      <c r="DZ66" s="78">
        <v>16.713969352933713</v>
      </c>
      <c r="EA66" s="78">
        <v>0.4080789282974992</v>
      </c>
      <c r="EB66" s="78">
        <v>0.39443501940084108</v>
      </c>
      <c r="EC66" s="78">
        <v>0</v>
      </c>
      <c r="ED66" s="78">
        <v>0.29646786400718061</v>
      </c>
      <c r="EE66" s="78">
        <v>6.2148916857724085E-2</v>
      </c>
      <c r="EF66" s="78">
        <v>2.7507646640100709E-2</v>
      </c>
      <c r="EG66" s="78">
        <v>1.3827775177864294</v>
      </c>
      <c r="EH66" s="78">
        <v>2.1833105827129367E-2</v>
      </c>
      <c r="EI66" s="78">
        <v>0</v>
      </c>
      <c r="EJ66" s="78">
        <v>5.5221510898970081</v>
      </c>
      <c r="EK66" s="78">
        <v>0</v>
      </c>
      <c r="EL66" s="78">
        <v>100</v>
      </c>
      <c r="EM66" s="76">
        <v>91.903654361291416</v>
      </c>
      <c r="EN66" s="76" t="s">
        <v>151</v>
      </c>
      <c r="EO66" s="289">
        <v>8.3801309944441602E-3</v>
      </c>
      <c r="EP66" s="257">
        <f t="shared" si="14"/>
        <v>0.83801309944441604</v>
      </c>
      <c r="EQ66" s="257">
        <f t="shared" si="15"/>
        <v>75.971521803619098</v>
      </c>
      <c r="ER66" s="324">
        <f t="shared" si="16"/>
        <v>5.4514480408858604E-2</v>
      </c>
      <c r="ES66" s="257">
        <f t="shared" si="9"/>
        <v>0.74582083154736389</v>
      </c>
      <c r="ET66">
        <f t="shared" si="10"/>
        <v>5.5</v>
      </c>
      <c r="EU66" s="324">
        <f t="shared" si="17"/>
        <v>7.3093265973486851E-2</v>
      </c>
      <c r="EV66" s="39">
        <f t="shared" si="18"/>
        <v>160.94499999999999</v>
      </c>
      <c r="EW66"/>
      <c r="EX66">
        <f t="shared" si="19"/>
        <v>23.913043478260871</v>
      </c>
      <c r="EY66"/>
      <c r="EZ66"/>
      <c r="FA66"/>
      <c r="FB66"/>
      <c r="FC66"/>
      <c r="FD66"/>
    </row>
    <row r="67" spans="1:160" s="77" customFormat="1" ht="13" customHeight="1" x14ac:dyDescent="0.2">
      <c r="A67" s="72" t="s">
        <v>152</v>
      </c>
      <c r="B67" s="73" t="s">
        <v>461</v>
      </c>
      <c r="C67" s="276">
        <f t="shared" ref="C67:C77" si="25">161-F67/100</f>
        <v>160.79</v>
      </c>
      <c r="D67" s="74">
        <v>11</v>
      </c>
      <c r="E67" s="74">
        <v>31</v>
      </c>
      <c r="F67" s="75">
        <f t="shared" si="4"/>
        <v>21</v>
      </c>
      <c r="G67" s="73" t="s">
        <v>525</v>
      </c>
      <c r="H67" s="84">
        <v>2.5</v>
      </c>
      <c r="I67" s="85">
        <v>4</v>
      </c>
      <c r="J67" s="85">
        <v>4</v>
      </c>
      <c r="K67" s="89">
        <f t="shared" si="21"/>
        <v>2.5</v>
      </c>
      <c r="L67" s="75">
        <v>129</v>
      </c>
      <c r="M67" s="75">
        <v>86</v>
      </c>
      <c r="N67" s="75">
        <v>68</v>
      </c>
      <c r="O67" s="75">
        <v>71.790000000000006</v>
      </c>
      <c r="P67" s="75">
        <v>13.66</v>
      </c>
      <c r="Q67" s="75">
        <v>4.91</v>
      </c>
      <c r="R67" s="75">
        <v>0.24199999999999999</v>
      </c>
      <c r="S67" s="75">
        <v>0.22</v>
      </c>
      <c r="T67" s="75">
        <v>0.06</v>
      </c>
      <c r="U67" s="75">
        <v>0.12</v>
      </c>
      <c r="V67" s="75">
        <v>0.75</v>
      </c>
      <c r="W67" s="75">
        <v>0.78100000000000003</v>
      </c>
      <c r="X67" s="75">
        <v>0.05</v>
      </c>
      <c r="Y67" s="75">
        <v>7.75</v>
      </c>
      <c r="Z67" s="75">
        <v>100.3</v>
      </c>
      <c r="AA67" s="75">
        <v>14</v>
      </c>
      <c r="AB67" s="75">
        <v>1</v>
      </c>
      <c r="AC67" s="75">
        <v>84</v>
      </c>
      <c r="AD67" s="75">
        <v>30</v>
      </c>
      <c r="AE67" s="75">
        <v>25</v>
      </c>
      <c r="AF67" s="75">
        <v>0</v>
      </c>
      <c r="AG67" s="75">
        <v>30</v>
      </c>
      <c r="AH67" s="75">
        <v>70</v>
      </c>
      <c r="AI67" s="75">
        <v>14</v>
      </c>
      <c r="AJ67" s="75">
        <v>0</v>
      </c>
      <c r="AK67" s="75">
        <v>0</v>
      </c>
      <c r="AL67" s="75">
        <v>53</v>
      </c>
      <c r="AM67" s="75">
        <v>31</v>
      </c>
      <c r="AN67" s="75">
        <v>38</v>
      </c>
      <c r="AO67" s="75">
        <v>275</v>
      </c>
      <c r="AP67" s="75">
        <v>7</v>
      </c>
      <c r="AQ67" s="75" t="s">
        <v>72</v>
      </c>
      <c r="AR67" s="75" t="s">
        <v>74</v>
      </c>
      <c r="AS67" s="75" t="s">
        <v>73</v>
      </c>
      <c r="AT67" s="75">
        <v>1</v>
      </c>
      <c r="AU67" s="75" t="s">
        <v>74</v>
      </c>
      <c r="AV67" s="75">
        <v>2.8</v>
      </c>
      <c r="AW67" s="75">
        <v>322</v>
      </c>
      <c r="AX67" s="75" t="s">
        <v>75</v>
      </c>
      <c r="AY67" s="75">
        <v>41.8</v>
      </c>
      <c r="AZ67" s="75">
        <v>171</v>
      </c>
      <c r="BA67" s="75">
        <v>13.3</v>
      </c>
      <c r="BB67" s="75">
        <v>52.8</v>
      </c>
      <c r="BC67" s="75">
        <v>11.7</v>
      </c>
      <c r="BD67" s="75">
        <v>3.1</v>
      </c>
      <c r="BE67" s="75">
        <v>9.8000000000000007</v>
      </c>
      <c r="BF67" s="75">
        <v>1.5</v>
      </c>
      <c r="BG67" s="75">
        <v>9.1</v>
      </c>
      <c r="BH67" s="75">
        <v>1.8</v>
      </c>
      <c r="BI67" s="75">
        <v>5.0999999999999996</v>
      </c>
      <c r="BJ67" s="75">
        <v>0.77</v>
      </c>
      <c r="BK67" s="75">
        <v>5.4</v>
      </c>
      <c r="BL67" s="75">
        <v>0.85</v>
      </c>
      <c r="BM67" s="75">
        <v>6.3</v>
      </c>
      <c r="BN67" s="75">
        <v>0.5</v>
      </c>
      <c r="BO67" s="75">
        <v>0</v>
      </c>
      <c r="BP67" s="75">
        <v>0.1</v>
      </c>
      <c r="BQ67" s="75">
        <v>21</v>
      </c>
      <c r="BR67" s="75">
        <v>6.1</v>
      </c>
      <c r="BS67" s="75">
        <v>2</v>
      </c>
      <c r="BT67" s="76">
        <f t="shared" si="5"/>
        <v>0.80357142857142849</v>
      </c>
      <c r="BU67" s="281">
        <f t="shared" si="6"/>
        <v>328.0200000000001</v>
      </c>
      <c r="BV67" s="77">
        <f t="shared" si="7"/>
        <v>21</v>
      </c>
      <c r="BW67" s="78">
        <f t="shared" si="8"/>
        <v>93.625771076079502</v>
      </c>
      <c r="BX67" s="69">
        <f t="shared" si="13"/>
        <v>0.80357142857142849</v>
      </c>
      <c r="BY67" s="76">
        <v>8.0299999999999994</v>
      </c>
      <c r="BZ67" s="76">
        <v>1.44</v>
      </c>
      <c r="CA67" s="76">
        <v>50.66</v>
      </c>
      <c r="CB67" s="76">
        <v>2.1988000000000003</v>
      </c>
      <c r="CC67" s="76">
        <v>0.19120000000000001</v>
      </c>
      <c r="CD67" s="76">
        <v>0</v>
      </c>
      <c r="CE67" s="76">
        <v>0</v>
      </c>
      <c r="CF67" s="76">
        <v>0</v>
      </c>
      <c r="CG67" s="76">
        <v>0</v>
      </c>
      <c r="CH67" s="76">
        <v>0.54</v>
      </c>
      <c r="CI67" s="76">
        <v>1.0900000000000001</v>
      </c>
      <c r="CJ67" s="76">
        <v>0</v>
      </c>
      <c r="CK67" s="76">
        <v>14.45</v>
      </c>
      <c r="CL67" s="76">
        <v>14.69</v>
      </c>
      <c r="CM67" s="76">
        <v>1.76</v>
      </c>
      <c r="CN67" s="76">
        <v>0</v>
      </c>
      <c r="CO67" s="76">
        <v>0.82</v>
      </c>
      <c r="CP67" s="76">
        <v>4.04</v>
      </c>
      <c r="CQ67" s="76">
        <v>0</v>
      </c>
      <c r="CR67" s="76">
        <v>0</v>
      </c>
      <c r="CS67" s="76">
        <v>0</v>
      </c>
      <c r="CT67" s="76">
        <v>0</v>
      </c>
      <c r="CU67" s="76">
        <v>0</v>
      </c>
      <c r="CV67" s="76">
        <v>0</v>
      </c>
      <c r="CW67" s="76">
        <v>0</v>
      </c>
      <c r="CX67" s="76">
        <v>0</v>
      </c>
      <c r="CY67" s="281">
        <v>99.91</v>
      </c>
      <c r="CZ67" s="285">
        <v>0.56015037593984962</v>
      </c>
      <c r="DA67" s="285">
        <v>2.4312251216275987E-2</v>
      </c>
      <c r="DB67" s="285">
        <v>2.114108801415303E-3</v>
      </c>
      <c r="DC67" s="285">
        <v>0</v>
      </c>
      <c r="DD67" s="285">
        <v>0</v>
      </c>
      <c r="DE67" s="285">
        <v>0</v>
      </c>
      <c r="DF67" s="285">
        <v>0</v>
      </c>
      <c r="DG67" s="285">
        <v>5.9708093763821326E-3</v>
      </c>
      <c r="DH67" s="285">
        <v>1.2052189296771341E-2</v>
      </c>
      <c r="DI67" s="285">
        <v>0</v>
      </c>
      <c r="DJ67" s="285">
        <v>0.15977443609022557</v>
      </c>
      <c r="DK67" s="285">
        <v>0.1624281291463954</v>
      </c>
      <c r="DL67" s="285">
        <v>1.9460415745245468E-2</v>
      </c>
      <c r="DM67" s="285">
        <v>0</v>
      </c>
      <c r="DN67" s="285">
        <v>9.0667846085802743E-3</v>
      </c>
      <c r="DO67" s="285">
        <v>4.467049977885891E-2</v>
      </c>
      <c r="DP67" s="285">
        <v>0</v>
      </c>
      <c r="DQ67" s="285">
        <v>0</v>
      </c>
      <c r="DR67" s="285">
        <v>0</v>
      </c>
      <c r="DS67" s="285">
        <v>0</v>
      </c>
      <c r="DT67" s="285">
        <v>0</v>
      </c>
      <c r="DU67" s="285">
        <v>0</v>
      </c>
      <c r="DV67" s="285">
        <v>0</v>
      </c>
      <c r="DW67" s="285">
        <v>0</v>
      </c>
      <c r="DX67" s="76">
        <v>1</v>
      </c>
      <c r="DY67" s="78">
        <v>76.149753175288254</v>
      </c>
      <c r="DZ67" s="78">
        <v>15.967329344816472</v>
      </c>
      <c r="EA67" s="78">
        <v>0.82105763562081735</v>
      </c>
      <c r="EB67" s="78">
        <v>0.34156600771970941</v>
      </c>
      <c r="EC67" s="78">
        <v>0</v>
      </c>
      <c r="ED67" s="78">
        <v>0.19326841131517031</v>
      </c>
      <c r="EE67" s="78">
        <v>1.9069191640058374E-2</v>
      </c>
      <c r="EF67" s="78">
        <v>2.4993793825910902E-2</v>
      </c>
      <c r="EG67" s="78">
        <v>1.0561962283912509</v>
      </c>
      <c r="EH67" s="78">
        <v>1.9577632689885899E-2</v>
      </c>
      <c r="EI67" s="78">
        <v>0</v>
      </c>
      <c r="EJ67" s="78">
        <v>5.4071885786924883</v>
      </c>
      <c r="EK67" s="78">
        <v>0</v>
      </c>
      <c r="EL67" s="78">
        <v>100</v>
      </c>
      <c r="EM67" s="76">
        <v>93.553516889191272</v>
      </c>
      <c r="EN67" s="76" t="s">
        <v>152</v>
      </c>
      <c r="EO67" s="289">
        <v>1.1933645840353006E-2</v>
      </c>
      <c r="EP67" s="257">
        <f t="shared" si="14"/>
        <v>1.1933645840353007</v>
      </c>
      <c r="EQ67" s="257">
        <f t="shared" si="15"/>
        <v>80.931088900578644</v>
      </c>
      <c r="ER67" s="324">
        <f t="shared" si="16"/>
        <v>5.5456171735241505E-2</v>
      </c>
      <c r="ES67" s="257">
        <f t="shared" si="9"/>
        <v>0.80357142857142849</v>
      </c>
      <c r="ET67">
        <f t="shared" si="10"/>
        <v>21</v>
      </c>
      <c r="EU67" s="324">
        <f t="shared" si="17"/>
        <v>6.9012124826078325E-2</v>
      </c>
      <c r="EV67" s="39">
        <f t="shared" si="18"/>
        <v>160.79</v>
      </c>
      <c r="EW67"/>
      <c r="EX67">
        <f t="shared" si="19"/>
        <v>21.111111111111111</v>
      </c>
      <c r="EY67"/>
      <c r="EZ67"/>
      <c r="FA67"/>
      <c r="FB67"/>
      <c r="FC67"/>
      <c r="FD67"/>
    </row>
    <row r="68" spans="1:160" s="77" customFormat="1" ht="13" customHeight="1" x14ac:dyDescent="0.2">
      <c r="A68" s="72" t="s">
        <v>153</v>
      </c>
      <c r="B68" s="73" t="s">
        <v>461</v>
      </c>
      <c r="C68" s="276">
        <f t="shared" si="25"/>
        <v>160.41999999999999</v>
      </c>
      <c r="D68" s="74">
        <v>31</v>
      </c>
      <c r="E68" s="74">
        <v>85</v>
      </c>
      <c r="F68" s="75">
        <f t="shared" si="4"/>
        <v>58</v>
      </c>
      <c r="G68" s="73" t="s">
        <v>507</v>
      </c>
      <c r="H68" s="84">
        <v>2.5</v>
      </c>
      <c r="I68" s="85">
        <v>4</v>
      </c>
      <c r="J68" s="85">
        <v>6</v>
      </c>
      <c r="K68" s="89">
        <f t="shared" si="21"/>
        <v>1.6666666666666667</v>
      </c>
      <c r="L68" s="75">
        <v>140</v>
      </c>
      <c r="M68" s="75">
        <v>81</v>
      </c>
      <c r="N68" s="75">
        <v>54</v>
      </c>
      <c r="O68" s="75">
        <v>62.73</v>
      </c>
      <c r="P68" s="75">
        <v>19.47</v>
      </c>
      <c r="Q68" s="75">
        <v>6.97</v>
      </c>
      <c r="R68" s="75">
        <v>0.121</v>
      </c>
      <c r="S68" s="75">
        <v>0.25</v>
      </c>
      <c r="T68" s="75">
        <v>0.05</v>
      </c>
      <c r="U68" s="75">
        <v>0.1</v>
      </c>
      <c r="V68" s="75">
        <v>0.71</v>
      </c>
      <c r="W68" s="75">
        <v>0.80300000000000005</v>
      </c>
      <c r="X68" s="75">
        <v>0.05</v>
      </c>
      <c r="Y68" s="75">
        <v>9.23</v>
      </c>
      <c r="Z68" s="75">
        <v>100.5</v>
      </c>
      <c r="AA68" s="75">
        <v>19</v>
      </c>
      <c r="AB68" s="75">
        <v>1</v>
      </c>
      <c r="AC68" s="75">
        <v>121</v>
      </c>
      <c r="AD68" s="75">
        <v>30</v>
      </c>
      <c r="AE68" s="75">
        <v>18</v>
      </c>
      <c r="AF68" s="75">
        <v>0</v>
      </c>
      <c r="AG68" s="75">
        <v>40</v>
      </c>
      <c r="AH68" s="75">
        <v>60</v>
      </c>
      <c r="AI68" s="75">
        <v>20</v>
      </c>
      <c r="AJ68" s="75">
        <v>1</v>
      </c>
      <c r="AK68" s="75">
        <v>0</v>
      </c>
      <c r="AL68" s="75">
        <v>55</v>
      </c>
      <c r="AM68" s="75">
        <v>27</v>
      </c>
      <c r="AN68" s="75">
        <v>10</v>
      </c>
      <c r="AO68" s="75">
        <v>236</v>
      </c>
      <c r="AP68" s="75">
        <v>8</v>
      </c>
      <c r="AQ68" s="75" t="s">
        <v>72</v>
      </c>
      <c r="AR68" s="75" t="s">
        <v>74</v>
      </c>
      <c r="AS68" s="75" t="s">
        <v>73</v>
      </c>
      <c r="AT68" s="75">
        <v>1</v>
      </c>
      <c r="AU68" s="75" t="s">
        <v>74</v>
      </c>
      <c r="AV68" s="75">
        <v>3.1</v>
      </c>
      <c r="AW68" s="75">
        <v>227</v>
      </c>
      <c r="AX68" s="75" t="s">
        <v>75</v>
      </c>
      <c r="AY68" s="75">
        <v>12.6</v>
      </c>
      <c r="AZ68" s="75">
        <v>64.7</v>
      </c>
      <c r="BA68" s="75">
        <v>3.59</v>
      </c>
      <c r="BB68" s="75">
        <v>13.9</v>
      </c>
      <c r="BC68" s="75">
        <v>3</v>
      </c>
      <c r="BD68" s="75">
        <v>0.78</v>
      </c>
      <c r="BE68" s="75">
        <v>2.5</v>
      </c>
      <c r="BF68" s="75">
        <v>0.4</v>
      </c>
      <c r="BG68" s="75">
        <v>2.5</v>
      </c>
      <c r="BH68" s="75">
        <v>0.5</v>
      </c>
      <c r="BI68" s="75">
        <v>1.5</v>
      </c>
      <c r="BJ68" s="75">
        <v>0.23</v>
      </c>
      <c r="BK68" s="75">
        <v>1.8</v>
      </c>
      <c r="BL68" s="75">
        <v>0.28000000000000003</v>
      </c>
      <c r="BM68" s="75">
        <v>5.4</v>
      </c>
      <c r="BN68" s="75">
        <v>0.6</v>
      </c>
      <c r="BO68" s="75">
        <v>0</v>
      </c>
      <c r="BP68" s="75">
        <v>0.1</v>
      </c>
      <c r="BQ68" s="75">
        <v>75</v>
      </c>
      <c r="BR68" s="75">
        <v>8.3000000000000007</v>
      </c>
      <c r="BS68" s="75">
        <v>2</v>
      </c>
      <c r="BT68" s="76">
        <f t="shared" si="5"/>
        <v>0.83699870633893925</v>
      </c>
      <c r="BU68" s="281">
        <f t="shared" si="6"/>
        <v>108.28000000000002</v>
      </c>
      <c r="BV68" s="77">
        <f t="shared" si="7"/>
        <v>58</v>
      </c>
      <c r="BW68" s="78">
        <f t="shared" si="8"/>
        <v>95.769798327594685</v>
      </c>
      <c r="BX68" s="69">
        <f t="shared" si="13"/>
        <v>0.83699870633893925</v>
      </c>
      <c r="BY68" s="76">
        <v>11.35</v>
      </c>
      <c r="BZ68" s="76">
        <v>1.84</v>
      </c>
      <c r="CA68" s="76">
        <v>37.92</v>
      </c>
      <c r="CB68" s="76">
        <v>1.6008</v>
      </c>
      <c r="CC68" s="76">
        <v>0.13919999999999999</v>
      </c>
      <c r="CD68" s="76">
        <v>0</v>
      </c>
      <c r="CE68" s="76">
        <v>0</v>
      </c>
      <c r="CF68" s="76">
        <v>0</v>
      </c>
      <c r="CG68" s="76">
        <v>0</v>
      </c>
      <c r="CH68" s="76">
        <v>3.52</v>
      </c>
      <c r="CI68" s="76">
        <v>1.82</v>
      </c>
      <c r="CJ68" s="76">
        <v>0</v>
      </c>
      <c r="CK68" s="76">
        <v>16.07</v>
      </c>
      <c r="CL68" s="76">
        <v>16.23</v>
      </c>
      <c r="CM68" s="76">
        <v>3.72</v>
      </c>
      <c r="CN68" s="76">
        <v>0</v>
      </c>
      <c r="CO68" s="76">
        <v>0.92</v>
      </c>
      <c r="CP68" s="76">
        <v>4.83</v>
      </c>
      <c r="CQ68" s="76">
        <v>0</v>
      </c>
      <c r="CR68" s="76">
        <v>0</v>
      </c>
      <c r="CS68" s="76">
        <v>0</v>
      </c>
      <c r="CT68" s="76">
        <v>0</v>
      </c>
      <c r="CU68" s="76">
        <v>0</v>
      </c>
      <c r="CV68" s="76">
        <v>0</v>
      </c>
      <c r="CW68" s="76">
        <v>0</v>
      </c>
      <c r="CX68" s="76">
        <v>0</v>
      </c>
      <c r="CY68" s="281">
        <v>99.960000000000008</v>
      </c>
      <c r="CZ68" s="285">
        <v>0.43701740232799352</v>
      </c>
      <c r="DA68" s="285">
        <v>1.844877261726403E-2</v>
      </c>
      <c r="DB68" s="285">
        <v>1.6042410971533938E-3</v>
      </c>
      <c r="DC68" s="285">
        <v>0</v>
      </c>
      <c r="DD68" s="285">
        <v>0</v>
      </c>
      <c r="DE68" s="285">
        <v>0</v>
      </c>
      <c r="DF68" s="285">
        <v>0</v>
      </c>
      <c r="DG68" s="285">
        <v>4.0567016249855939E-2</v>
      </c>
      <c r="DH68" s="285">
        <v>2.0974991356459603E-2</v>
      </c>
      <c r="DI68" s="285">
        <v>0</v>
      </c>
      <c r="DJ68" s="285">
        <v>0.18520225884522298</v>
      </c>
      <c r="DK68" s="285">
        <v>0.18704621412930736</v>
      </c>
      <c r="DL68" s="285">
        <v>4.2871960354961387E-2</v>
      </c>
      <c r="DM68" s="285">
        <v>0</v>
      </c>
      <c r="DN68" s="285">
        <v>1.0602742883485075E-2</v>
      </c>
      <c r="DO68" s="285">
        <v>5.5664400138296641E-2</v>
      </c>
      <c r="DP68" s="285">
        <v>0</v>
      </c>
      <c r="DQ68" s="285">
        <v>0</v>
      </c>
      <c r="DR68" s="285">
        <v>0</v>
      </c>
      <c r="DS68" s="285">
        <v>0</v>
      </c>
      <c r="DT68" s="285">
        <v>0</v>
      </c>
      <c r="DU68" s="285">
        <v>0</v>
      </c>
      <c r="DV68" s="285">
        <v>0</v>
      </c>
      <c r="DW68" s="285">
        <v>0</v>
      </c>
      <c r="DX68" s="76">
        <v>1</v>
      </c>
      <c r="DY68" s="78">
        <v>67.307105643356252</v>
      </c>
      <c r="DZ68" s="78">
        <v>19.819678565535593</v>
      </c>
      <c r="EA68" s="78">
        <v>3.8439374291382244</v>
      </c>
      <c r="EB68" s="78">
        <v>0.41480731980950347</v>
      </c>
      <c r="EC68" s="78">
        <v>0</v>
      </c>
      <c r="ED68" s="78">
        <v>0.26761428229979334</v>
      </c>
      <c r="EE68" s="78">
        <v>4.0718926452060183E-2</v>
      </c>
      <c r="EF68" s="78">
        <v>1.8965944989426494E-2</v>
      </c>
      <c r="EG68" s="78">
        <v>1.1852340680571651</v>
      </c>
      <c r="EH68" s="78">
        <v>2.2894180753090146E-2</v>
      </c>
      <c r="EI68" s="78">
        <v>0</v>
      </c>
      <c r="EJ68" s="78">
        <v>7.0790436396088934</v>
      </c>
      <c r="EK68" s="78">
        <v>0</v>
      </c>
      <c r="EL68" s="78">
        <v>99.999999999999972</v>
      </c>
      <c r="EM68" s="76">
        <v>94.089994175292802</v>
      </c>
      <c r="EN68" s="76" t="s">
        <v>153</v>
      </c>
      <c r="EO68" s="289">
        <v>4.2960774077305829E-2</v>
      </c>
      <c r="EP68" s="257">
        <f t="shared" si="14"/>
        <v>4.296077407730583</v>
      </c>
      <c r="EQ68" s="257">
        <f t="shared" si="15"/>
        <v>83.403500997119451</v>
      </c>
      <c r="ER68" s="324">
        <f t="shared" si="16"/>
        <v>5.3133514986376022E-2</v>
      </c>
      <c r="ES68" s="257">
        <f t="shared" si="9"/>
        <v>0.83699870633893925</v>
      </c>
      <c r="ET68">
        <f t="shared" si="10"/>
        <v>58</v>
      </c>
      <c r="EU68" s="324">
        <f t="shared" si="17"/>
        <v>6.3481000130554341E-2</v>
      </c>
      <c r="EV68" s="39">
        <f t="shared" si="18"/>
        <v>160.41999999999999</v>
      </c>
      <c r="EW68"/>
      <c r="EX68">
        <f t="shared" si="19"/>
        <v>20</v>
      </c>
      <c r="EY68"/>
      <c r="EZ68"/>
      <c r="FA68"/>
      <c r="FB68"/>
      <c r="FC68"/>
      <c r="FD68"/>
    </row>
    <row r="69" spans="1:160" s="77" customFormat="1" ht="13" customHeight="1" x14ac:dyDescent="0.2">
      <c r="A69" s="72" t="s">
        <v>154</v>
      </c>
      <c r="B69" s="73" t="s">
        <v>461</v>
      </c>
      <c r="C69" s="276">
        <f t="shared" si="25"/>
        <v>159.97499999999999</v>
      </c>
      <c r="D69" s="74">
        <v>85</v>
      </c>
      <c r="E69" s="74">
        <v>120</v>
      </c>
      <c r="F69" s="75">
        <f t="shared" si="4"/>
        <v>102.5</v>
      </c>
      <c r="G69" s="73" t="s">
        <v>507</v>
      </c>
      <c r="H69" s="84">
        <v>2.5</v>
      </c>
      <c r="I69" s="85">
        <v>4</v>
      </c>
      <c r="J69" s="85">
        <v>6</v>
      </c>
      <c r="K69" s="89">
        <f t="shared" si="21"/>
        <v>1.6666666666666667</v>
      </c>
      <c r="L69" s="75">
        <v>140</v>
      </c>
      <c r="M69" s="75">
        <v>81</v>
      </c>
      <c r="N69" s="75">
        <v>54</v>
      </c>
      <c r="O69" s="75">
        <v>52.2</v>
      </c>
      <c r="P69" s="75">
        <v>24.79</v>
      </c>
      <c r="Q69" s="75">
        <v>9.57</v>
      </c>
      <c r="R69" s="75">
        <v>5.0999999999999997E-2</v>
      </c>
      <c r="S69" s="75">
        <v>0.28999999999999998</v>
      </c>
      <c r="T69" s="75">
        <v>0.02</v>
      </c>
      <c r="U69" s="75">
        <v>0.06</v>
      </c>
      <c r="V69" s="75">
        <v>0.64</v>
      </c>
      <c r="W69" s="75">
        <v>0.91100000000000003</v>
      </c>
      <c r="X69" s="75">
        <v>7.0000000000000007E-2</v>
      </c>
      <c r="Y69" s="75">
        <v>11.76</v>
      </c>
      <c r="Z69" s="75">
        <v>100.4</v>
      </c>
      <c r="AA69" s="75">
        <v>26</v>
      </c>
      <c r="AB69" s="75">
        <v>2</v>
      </c>
      <c r="AC69" s="75">
        <v>160</v>
      </c>
      <c r="AD69" s="75">
        <v>40</v>
      </c>
      <c r="AE69" s="75">
        <v>10</v>
      </c>
      <c r="AF69" s="75">
        <v>0</v>
      </c>
      <c r="AG69" s="75">
        <v>60</v>
      </c>
      <c r="AH69" s="75">
        <v>210</v>
      </c>
      <c r="AI69" s="75">
        <v>25</v>
      </c>
      <c r="AJ69" s="75">
        <v>1</v>
      </c>
      <c r="AK69" s="75">
        <v>0</v>
      </c>
      <c r="AL69" s="75">
        <v>54</v>
      </c>
      <c r="AM69" s="75">
        <v>20</v>
      </c>
      <c r="AN69" s="75">
        <v>4</v>
      </c>
      <c r="AO69" s="75">
        <v>189</v>
      </c>
      <c r="AP69" s="75">
        <v>8</v>
      </c>
      <c r="AQ69" s="75" t="s">
        <v>72</v>
      </c>
      <c r="AR69" s="75" t="s">
        <v>74</v>
      </c>
      <c r="AS69" s="75" t="s">
        <v>73</v>
      </c>
      <c r="AT69" s="75">
        <v>1</v>
      </c>
      <c r="AU69" s="75" t="s">
        <v>74</v>
      </c>
      <c r="AV69" s="75">
        <v>3.3</v>
      </c>
      <c r="AW69" s="75">
        <v>175</v>
      </c>
      <c r="AX69" s="75" t="s">
        <v>75</v>
      </c>
      <c r="AY69" s="75">
        <v>8.4</v>
      </c>
      <c r="AZ69" s="75">
        <v>29.4</v>
      </c>
      <c r="BA69" s="75">
        <v>1.89</v>
      </c>
      <c r="BB69" s="75">
        <v>6.5</v>
      </c>
      <c r="BC69" s="75">
        <v>1.3</v>
      </c>
      <c r="BD69" s="75">
        <v>0.32</v>
      </c>
      <c r="BE69" s="75">
        <v>1.1000000000000001</v>
      </c>
      <c r="BF69" s="75">
        <v>0.2</v>
      </c>
      <c r="BG69" s="75">
        <v>1.2</v>
      </c>
      <c r="BH69" s="75">
        <v>0.3</v>
      </c>
      <c r="BI69" s="75">
        <v>0.7</v>
      </c>
      <c r="BJ69" s="75">
        <v>0.13</v>
      </c>
      <c r="BK69" s="75">
        <v>0.9</v>
      </c>
      <c r="BL69" s="75">
        <v>0.16</v>
      </c>
      <c r="BM69" s="75">
        <v>4.7</v>
      </c>
      <c r="BN69" s="75">
        <v>0.5</v>
      </c>
      <c r="BO69" s="75">
        <v>0</v>
      </c>
      <c r="BP69" s="75">
        <v>0.2</v>
      </c>
      <c r="BQ69" s="75">
        <v>22</v>
      </c>
      <c r="BR69" s="75">
        <v>11.6</v>
      </c>
      <c r="BS69" s="75">
        <v>2.1</v>
      </c>
      <c r="BT69" s="76">
        <f t="shared" si="5"/>
        <v>0.77777777777777779</v>
      </c>
      <c r="BU69" s="281">
        <f t="shared" si="6"/>
        <v>52.5</v>
      </c>
      <c r="BV69" s="77">
        <f t="shared" si="7"/>
        <v>102.5</v>
      </c>
      <c r="BW69" s="78">
        <f t="shared" si="8"/>
        <v>97.177577420619372</v>
      </c>
      <c r="BX69" s="69">
        <f t="shared" si="13"/>
        <v>0.77777777777777779</v>
      </c>
      <c r="BY69" s="76">
        <v>9.67</v>
      </c>
      <c r="BZ69" s="76">
        <v>1.18</v>
      </c>
      <c r="CA69" s="76">
        <v>27.09</v>
      </c>
      <c r="CB69" s="76">
        <v>1.84E-2</v>
      </c>
      <c r="CC69" s="76">
        <v>1.6000000000000001E-3</v>
      </c>
      <c r="CD69" s="76">
        <v>0</v>
      </c>
      <c r="CE69" s="76">
        <v>0</v>
      </c>
      <c r="CF69" s="76">
        <v>0</v>
      </c>
      <c r="CG69" s="76">
        <v>0</v>
      </c>
      <c r="CH69" s="76">
        <v>5.98</v>
      </c>
      <c r="CI69" s="76">
        <v>2.58</v>
      </c>
      <c r="CJ69" s="76">
        <v>0</v>
      </c>
      <c r="CK69" s="76">
        <v>16.91</v>
      </c>
      <c r="CL69" s="76">
        <v>17.09</v>
      </c>
      <c r="CM69" s="76">
        <v>7.88</v>
      </c>
      <c r="CN69" s="76">
        <v>0</v>
      </c>
      <c r="CO69" s="76">
        <v>1.68</v>
      </c>
      <c r="CP69" s="76">
        <v>9.9</v>
      </c>
      <c r="CQ69" s="76">
        <v>0</v>
      </c>
      <c r="CR69" s="76">
        <v>0</v>
      </c>
      <c r="CS69" s="76">
        <v>0</v>
      </c>
      <c r="CT69" s="76">
        <v>0</v>
      </c>
      <c r="CU69" s="76">
        <v>0</v>
      </c>
      <c r="CV69" s="76">
        <v>0</v>
      </c>
      <c r="CW69" s="76">
        <v>0</v>
      </c>
      <c r="CX69" s="76">
        <v>0</v>
      </c>
      <c r="CY69" s="281">
        <v>99.98</v>
      </c>
      <c r="CZ69" s="285">
        <v>0.30393806799057554</v>
      </c>
      <c r="DA69" s="285">
        <v>2.0644003141478737E-4</v>
      </c>
      <c r="DB69" s="285">
        <v>1.7951307079546729E-5</v>
      </c>
      <c r="DC69" s="285">
        <v>0</v>
      </c>
      <c r="DD69" s="285">
        <v>0</v>
      </c>
      <c r="DE69" s="285">
        <v>0</v>
      </c>
      <c r="DF69" s="285">
        <v>0</v>
      </c>
      <c r="DG69" s="285">
        <v>6.7093010209805903E-2</v>
      </c>
      <c r="DH69" s="285">
        <v>2.8946482665769099E-2</v>
      </c>
      <c r="DI69" s="285">
        <v>0</v>
      </c>
      <c r="DJ69" s="285">
        <v>0.18972287669695947</v>
      </c>
      <c r="DK69" s="285">
        <v>0.19174239874340848</v>
      </c>
      <c r="DL69" s="285">
        <v>8.8410187366767631E-2</v>
      </c>
      <c r="DM69" s="285">
        <v>0</v>
      </c>
      <c r="DN69" s="285">
        <v>1.8848872433524063E-2</v>
      </c>
      <c r="DO69" s="285">
        <v>0.11107371255469538</v>
      </c>
      <c r="DP69" s="285">
        <v>0</v>
      </c>
      <c r="DQ69" s="285">
        <v>0</v>
      </c>
      <c r="DR69" s="285">
        <v>0</v>
      </c>
      <c r="DS69" s="285">
        <v>0</v>
      </c>
      <c r="DT69" s="285">
        <v>0</v>
      </c>
      <c r="DU69" s="285">
        <v>0</v>
      </c>
      <c r="DV69" s="285">
        <v>0</v>
      </c>
      <c r="DW69" s="285">
        <v>0</v>
      </c>
      <c r="DX69" s="76">
        <v>0.99999999999999989</v>
      </c>
      <c r="DY69" s="78">
        <v>58.157606137927822</v>
      </c>
      <c r="DZ69" s="78">
        <v>23.881726181204328</v>
      </c>
      <c r="EA69" s="78">
        <v>6.2465462860431309</v>
      </c>
      <c r="EB69" s="78">
        <v>0.79180017229230848</v>
      </c>
      <c r="EC69" s="78">
        <v>0</v>
      </c>
      <c r="ED69" s="78">
        <v>0.52591506911713548</v>
      </c>
      <c r="EE69" s="78">
        <v>8.3554698296525412E-2</v>
      </c>
      <c r="EF69" s="78">
        <v>2.1222714164542521E-4</v>
      </c>
      <c r="EG69" s="78">
        <v>1.7442080275149641</v>
      </c>
      <c r="EH69" s="78">
        <v>4.0699797894485606E-2</v>
      </c>
      <c r="EI69" s="78">
        <v>0</v>
      </c>
      <c r="EJ69" s="78">
        <v>8.5277314025676567</v>
      </c>
      <c r="EK69" s="78">
        <v>0</v>
      </c>
      <c r="EL69" s="78">
        <v>100</v>
      </c>
      <c r="EM69" s="76">
        <v>92.889940869345537</v>
      </c>
      <c r="EN69" s="76" t="s">
        <v>154</v>
      </c>
      <c r="EO69" s="289">
        <v>7.109608473841747E-2</v>
      </c>
      <c r="EP69" s="257">
        <f t="shared" si="14"/>
        <v>7.1096084738417469</v>
      </c>
      <c r="EQ69" s="257">
        <f t="shared" si="15"/>
        <v>78.581979320531758</v>
      </c>
      <c r="ER69" s="324">
        <f t="shared" si="16"/>
        <v>4.6920821114369501E-2</v>
      </c>
      <c r="ES69" s="257">
        <f t="shared" si="9"/>
        <v>0.77777777777777779</v>
      </c>
      <c r="ET69">
        <f t="shared" si="10"/>
        <v>102.5</v>
      </c>
      <c r="EU69" s="324">
        <f t="shared" si="17"/>
        <v>6.0326770004189359E-2</v>
      </c>
      <c r="EV69" s="39">
        <f t="shared" si="18"/>
        <v>159.97499999999999</v>
      </c>
      <c r="EW69"/>
      <c r="EX69">
        <f t="shared" si="19"/>
        <v>13.333333333333334</v>
      </c>
      <c r="EY69"/>
      <c r="EZ69"/>
      <c r="FA69"/>
      <c r="FB69"/>
      <c r="FC69"/>
      <c r="FD69"/>
    </row>
    <row r="70" spans="1:160" s="77" customFormat="1" ht="13" customHeight="1" x14ac:dyDescent="0.2">
      <c r="A70" s="72" t="s">
        <v>155</v>
      </c>
      <c r="B70" s="73" t="s">
        <v>461</v>
      </c>
      <c r="C70" s="276">
        <f t="shared" si="25"/>
        <v>159.685</v>
      </c>
      <c r="D70" s="74">
        <v>120</v>
      </c>
      <c r="E70" s="74">
        <v>143</v>
      </c>
      <c r="F70" s="75">
        <f t="shared" si="4"/>
        <v>131.5</v>
      </c>
      <c r="G70" s="73" t="s">
        <v>507</v>
      </c>
      <c r="H70" s="84">
        <v>2.5</v>
      </c>
      <c r="I70" s="85">
        <v>4</v>
      </c>
      <c r="J70" s="85">
        <v>6</v>
      </c>
      <c r="K70" s="89">
        <f t="shared" si="21"/>
        <v>1.6666666666666667</v>
      </c>
      <c r="L70" s="75">
        <v>140</v>
      </c>
      <c r="M70" s="75">
        <v>81</v>
      </c>
      <c r="N70" s="75">
        <v>54</v>
      </c>
      <c r="O70" s="75">
        <v>58.92</v>
      </c>
      <c r="P70" s="75">
        <v>21.14</v>
      </c>
      <c r="Q70" s="75">
        <v>8.51</v>
      </c>
      <c r="R70" s="75">
        <v>4.5999999999999999E-2</v>
      </c>
      <c r="S70" s="75">
        <v>0.28000000000000003</v>
      </c>
      <c r="T70" s="75">
        <v>0.01</v>
      </c>
      <c r="U70" s="75">
        <v>0.08</v>
      </c>
      <c r="V70" s="75">
        <v>0.56000000000000005</v>
      </c>
      <c r="W70" s="75">
        <v>0.76200000000000001</v>
      </c>
      <c r="X70" s="75">
        <v>0.04</v>
      </c>
      <c r="Y70" s="75">
        <v>9.9</v>
      </c>
      <c r="Z70" s="75">
        <v>100.3</v>
      </c>
      <c r="AA70" s="75">
        <v>23</v>
      </c>
      <c r="AB70" s="75">
        <v>1</v>
      </c>
      <c r="AC70" s="75">
        <v>140</v>
      </c>
      <c r="AD70" s="75">
        <v>30</v>
      </c>
      <c r="AE70" s="75">
        <v>9</v>
      </c>
      <c r="AF70" s="75">
        <v>0</v>
      </c>
      <c r="AG70" s="75">
        <v>50</v>
      </c>
      <c r="AH70" s="75">
        <v>70</v>
      </c>
      <c r="AI70" s="75">
        <v>21</v>
      </c>
      <c r="AJ70" s="75">
        <v>1</v>
      </c>
      <c r="AK70" s="75">
        <v>0</v>
      </c>
      <c r="AL70" s="75">
        <v>42</v>
      </c>
      <c r="AM70" s="75">
        <v>20</v>
      </c>
      <c r="AN70" s="75">
        <v>3</v>
      </c>
      <c r="AO70" s="75">
        <v>188</v>
      </c>
      <c r="AP70" s="75">
        <v>6</v>
      </c>
      <c r="AQ70" s="75" t="s">
        <v>72</v>
      </c>
      <c r="AR70" s="75" t="s">
        <v>74</v>
      </c>
      <c r="AS70" s="75" t="s">
        <v>73</v>
      </c>
      <c r="AT70" s="75">
        <v>1</v>
      </c>
      <c r="AU70" s="75" t="s">
        <v>74</v>
      </c>
      <c r="AV70" s="75">
        <v>2.5</v>
      </c>
      <c r="AW70" s="75">
        <v>174</v>
      </c>
      <c r="AX70" s="75" t="s">
        <v>75</v>
      </c>
      <c r="AY70" s="75">
        <v>7.3</v>
      </c>
      <c r="AZ70" s="75">
        <v>24.1</v>
      </c>
      <c r="BA70" s="75">
        <v>1.61</v>
      </c>
      <c r="BB70" s="75">
        <v>5.5</v>
      </c>
      <c r="BC70" s="75">
        <v>1.1000000000000001</v>
      </c>
      <c r="BD70" s="75">
        <v>0.28000000000000003</v>
      </c>
      <c r="BE70" s="75">
        <v>0.8</v>
      </c>
      <c r="BF70" s="75">
        <v>0.1</v>
      </c>
      <c r="BG70" s="75">
        <v>0.9</v>
      </c>
      <c r="BH70" s="75">
        <v>0.2</v>
      </c>
      <c r="BI70" s="75">
        <v>0.6</v>
      </c>
      <c r="BJ70" s="75">
        <v>0.1</v>
      </c>
      <c r="BK70" s="75">
        <v>0.7</v>
      </c>
      <c r="BL70" s="75">
        <v>0.13</v>
      </c>
      <c r="BM70" s="75">
        <v>4.5999999999999996</v>
      </c>
      <c r="BN70" s="75">
        <v>0.4</v>
      </c>
      <c r="BO70" s="75">
        <v>0</v>
      </c>
      <c r="BP70" s="75">
        <v>0</v>
      </c>
      <c r="BQ70" s="75">
        <v>63</v>
      </c>
      <c r="BR70" s="75">
        <v>9.4</v>
      </c>
      <c r="BS70" s="75">
        <v>1.6</v>
      </c>
      <c r="BT70" s="76">
        <f t="shared" si="5"/>
        <v>0.76751592356687892</v>
      </c>
      <c r="BU70" s="281">
        <f t="shared" si="6"/>
        <v>43.420000000000016</v>
      </c>
      <c r="BV70" s="77">
        <f t="shared" si="7"/>
        <v>131.5</v>
      </c>
      <c r="BW70" s="78">
        <f t="shared" si="8"/>
        <v>97.016980266177143</v>
      </c>
      <c r="BX70" s="69">
        <f t="shared" si="13"/>
        <v>0.76751592356687892</v>
      </c>
      <c r="BY70" s="76">
        <v>9.5500000000000007</v>
      </c>
      <c r="BZ70" s="76">
        <v>1</v>
      </c>
      <c r="CA70" s="76">
        <v>34.5</v>
      </c>
      <c r="CB70" s="76">
        <v>0.1472</v>
      </c>
      <c r="CC70" s="76">
        <v>1.2800000000000001E-2</v>
      </c>
      <c r="CD70" s="76">
        <v>0</v>
      </c>
      <c r="CE70" s="76">
        <v>0</v>
      </c>
      <c r="CF70" s="76">
        <v>0</v>
      </c>
      <c r="CG70" s="76">
        <v>0</v>
      </c>
      <c r="CH70" s="76">
        <v>5.64</v>
      </c>
      <c r="CI70" s="76">
        <v>1.41</v>
      </c>
      <c r="CJ70" s="76">
        <v>0</v>
      </c>
      <c r="CK70" s="76">
        <v>16.37</v>
      </c>
      <c r="CL70" s="76">
        <v>16.54</v>
      </c>
      <c r="CM70" s="76">
        <v>7.8</v>
      </c>
      <c r="CN70" s="76">
        <v>0</v>
      </c>
      <c r="CO70" s="76">
        <v>4.17</v>
      </c>
      <c r="CP70" s="76">
        <v>2.86</v>
      </c>
      <c r="CQ70" s="76">
        <v>0</v>
      </c>
      <c r="CR70" s="76">
        <v>0</v>
      </c>
      <c r="CS70" s="76">
        <v>0</v>
      </c>
      <c r="CT70" s="76">
        <v>0</v>
      </c>
      <c r="CU70" s="76">
        <v>0</v>
      </c>
      <c r="CV70" s="76">
        <v>0</v>
      </c>
      <c r="CW70" s="76">
        <v>0</v>
      </c>
      <c r="CX70" s="76">
        <v>0</v>
      </c>
      <c r="CY70" s="281">
        <v>99.999999999999986</v>
      </c>
      <c r="CZ70" s="285">
        <v>0.38569032979318052</v>
      </c>
      <c r="DA70" s="285">
        <v>1.6456120737842368E-3</v>
      </c>
      <c r="DB70" s="285">
        <v>1.4309670206819451E-4</v>
      </c>
      <c r="DC70" s="285">
        <v>0</v>
      </c>
      <c r="DD70" s="285">
        <v>0</v>
      </c>
      <c r="DE70" s="285">
        <v>0</v>
      </c>
      <c r="DF70" s="285">
        <v>0</v>
      </c>
      <c r="DG70" s="285">
        <v>6.3051984348798204E-2</v>
      </c>
      <c r="DH70" s="285">
        <v>1.5762996087199551E-2</v>
      </c>
      <c r="DI70" s="285">
        <v>0</v>
      </c>
      <c r="DJ70" s="285">
        <v>0.18300726662940189</v>
      </c>
      <c r="DK70" s="285">
        <v>0.18490776970374509</v>
      </c>
      <c r="DL70" s="285">
        <v>8.7199552822806031E-2</v>
      </c>
      <c r="DM70" s="285">
        <v>0</v>
      </c>
      <c r="DN70" s="285">
        <v>4.6618222470653996E-2</v>
      </c>
      <c r="DO70" s="285">
        <v>3.1973169368362211E-2</v>
      </c>
      <c r="DP70" s="285">
        <v>0</v>
      </c>
      <c r="DQ70" s="285">
        <v>0</v>
      </c>
      <c r="DR70" s="285">
        <v>0</v>
      </c>
      <c r="DS70" s="285">
        <v>0</v>
      </c>
      <c r="DT70" s="285">
        <v>0</v>
      </c>
      <c r="DU70" s="285">
        <v>0</v>
      </c>
      <c r="DV70" s="285">
        <v>0</v>
      </c>
      <c r="DW70" s="285">
        <v>0</v>
      </c>
      <c r="DX70" s="76">
        <v>0.99999999999999989</v>
      </c>
      <c r="DY70" s="78">
        <v>62.805147428436157</v>
      </c>
      <c r="DZ70" s="78">
        <v>21.166721823125673</v>
      </c>
      <c r="EA70" s="78">
        <v>5.8936565430509082</v>
      </c>
      <c r="EB70" s="78">
        <v>0.8688913121176709</v>
      </c>
      <c r="EC70" s="78">
        <v>0</v>
      </c>
      <c r="ED70" s="78">
        <v>0.48136738077525332</v>
      </c>
      <c r="EE70" s="78">
        <v>8.6271941143600567E-2</v>
      </c>
      <c r="EF70" s="78">
        <v>1.6917433323516376E-3</v>
      </c>
      <c r="EG70" s="78">
        <v>0.99625353721854304</v>
      </c>
      <c r="EH70" s="78">
        <v>0.10066131220566853</v>
      </c>
      <c r="EI70" s="78">
        <v>0</v>
      </c>
      <c r="EJ70" s="78">
        <v>7.599336978594164</v>
      </c>
      <c r="EK70" s="78">
        <v>0</v>
      </c>
      <c r="EL70" s="78">
        <v>99.999999999999986</v>
      </c>
      <c r="EM70" s="76">
        <v>95.127319258254445</v>
      </c>
      <c r="EN70" s="76" t="s">
        <v>155</v>
      </c>
      <c r="EO70" s="289">
        <v>6.8407480732591702E-2</v>
      </c>
      <c r="EP70" s="257">
        <f t="shared" si="14"/>
        <v>6.8407480732591699</v>
      </c>
      <c r="EQ70" s="257">
        <f t="shared" si="15"/>
        <v>84.750795334040291</v>
      </c>
      <c r="ER70" s="324">
        <f t="shared" si="16"/>
        <v>4.8442906574394463E-2</v>
      </c>
      <c r="ES70" s="257">
        <f t="shared" si="9"/>
        <v>0.76751592356687892</v>
      </c>
      <c r="ET70">
        <f t="shared" si="10"/>
        <v>131.5</v>
      </c>
      <c r="EU70" s="324">
        <f t="shared" si="17"/>
        <v>6.3116484084480756E-2</v>
      </c>
      <c r="EV70" s="39">
        <f t="shared" si="18"/>
        <v>159.685</v>
      </c>
      <c r="EW70"/>
      <c r="EX70">
        <f t="shared" si="19"/>
        <v>15</v>
      </c>
      <c r="EY70"/>
      <c r="EZ70"/>
      <c r="FA70"/>
      <c r="FB70"/>
      <c r="FC70"/>
      <c r="FD70"/>
    </row>
    <row r="71" spans="1:160" s="77" customFormat="1" ht="13" customHeight="1" x14ac:dyDescent="0.2">
      <c r="A71" s="72" t="s">
        <v>156</v>
      </c>
      <c r="B71" s="73" t="s">
        <v>461</v>
      </c>
      <c r="C71" s="276">
        <f t="shared" si="25"/>
        <v>159.285</v>
      </c>
      <c r="D71" s="74">
        <v>143</v>
      </c>
      <c r="E71" s="74">
        <v>200</v>
      </c>
      <c r="F71" s="75">
        <f t="shared" ref="F71:F123" si="26">AVERAGE(D71:E71)</f>
        <v>171.5</v>
      </c>
      <c r="G71" s="73" t="s">
        <v>507</v>
      </c>
      <c r="H71" s="84">
        <v>2.5</v>
      </c>
      <c r="I71" s="85">
        <v>4</v>
      </c>
      <c r="J71" s="85">
        <v>6</v>
      </c>
      <c r="K71" s="89">
        <f t="shared" si="21"/>
        <v>1.6666666666666667</v>
      </c>
      <c r="L71" s="75">
        <v>140</v>
      </c>
      <c r="M71" s="75">
        <v>81</v>
      </c>
      <c r="N71" s="75">
        <v>54</v>
      </c>
      <c r="O71" s="75">
        <v>69.94</v>
      </c>
      <c r="P71" s="75">
        <v>15.06</v>
      </c>
      <c r="Q71" s="75">
        <v>6.86</v>
      </c>
      <c r="R71" s="75">
        <v>4.5999999999999999E-2</v>
      </c>
      <c r="S71" s="75">
        <v>0.24</v>
      </c>
      <c r="T71" s="75">
        <v>0</v>
      </c>
      <c r="U71" s="75">
        <v>0.05</v>
      </c>
      <c r="V71" s="75">
        <v>0.37</v>
      </c>
      <c r="W71" s="75">
        <v>0.54200000000000004</v>
      </c>
      <c r="X71" s="75">
        <v>0.06</v>
      </c>
      <c r="Y71" s="75">
        <v>7.1</v>
      </c>
      <c r="Z71" s="75">
        <v>100.3</v>
      </c>
      <c r="AA71" s="75">
        <v>20</v>
      </c>
      <c r="AB71" s="75">
        <v>1</v>
      </c>
      <c r="AC71" s="75">
        <v>119</v>
      </c>
      <c r="AD71" s="75">
        <v>30</v>
      </c>
      <c r="AE71" s="75">
        <v>8</v>
      </c>
      <c r="AF71" s="75">
        <v>0</v>
      </c>
      <c r="AG71" s="75">
        <v>40</v>
      </c>
      <c r="AH71" s="75">
        <v>50</v>
      </c>
      <c r="AI71" s="75">
        <v>15</v>
      </c>
      <c r="AJ71" s="75">
        <v>1</v>
      </c>
      <c r="AK71" s="75">
        <v>0</v>
      </c>
      <c r="AL71" s="75">
        <v>28</v>
      </c>
      <c r="AM71" s="75">
        <v>12</v>
      </c>
      <c r="AN71" s="75">
        <v>4</v>
      </c>
      <c r="AO71" s="75">
        <v>219</v>
      </c>
      <c r="AP71" s="75">
        <v>4</v>
      </c>
      <c r="AQ71" s="75" t="s">
        <v>72</v>
      </c>
      <c r="AR71" s="75" t="s">
        <v>74</v>
      </c>
      <c r="AS71" s="75" t="s">
        <v>73</v>
      </c>
      <c r="AT71" s="75">
        <v>0</v>
      </c>
      <c r="AU71" s="75" t="s">
        <v>74</v>
      </c>
      <c r="AV71" s="75">
        <v>1.7</v>
      </c>
      <c r="AW71" s="75">
        <v>115</v>
      </c>
      <c r="AX71" s="75" t="s">
        <v>75</v>
      </c>
      <c r="AY71" s="75">
        <v>8.9</v>
      </c>
      <c r="AZ71" s="75">
        <v>35.700000000000003</v>
      </c>
      <c r="BA71" s="75">
        <v>2.2599999999999998</v>
      </c>
      <c r="BB71" s="75">
        <v>8.5</v>
      </c>
      <c r="BC71" s="75">
        <v>1.6</v>
      </c>
      <c r="BD71" s="75">
        <v>0.42</v>
      </c>
      <c r="BE71" s="75">
        <v>1.2</v>
      </c>
      <c r="BF71" s="75">
        <v>0.2</v>
      </c>
      <c r="BG71" s="75">
        <v>1.3</v>
      </c>
      <c r="BH71" s="75">
        <v>0.3</v>
      </c>
      <c r="BI71" s="75">
        <v>0.8</v>
      </c>
      <c r="BJ71" s="75">
        <v>0.13</v>
      </c>
      <c r="BK71" s="75">
        <v>1</v>
      </c>
      <c r="BL71" s="75">
        <v>0.16</v>
      </c>
      <c r="BM71" s="75">
        <v>4.8</v>
      </c>
      <c r="BN71" s="75">
        <v>0.3</v>
      </c>
      <c r="BO71" s="75">
        <v>0</v>
      </c>
      <c r="BP71" s="75">
        <v>0</v>
      </c>
      <c r="BQ71" s="75">
        <v>14</v>
      </c>
      <c r="BR71" s="75">
        <v>5.8</v>
      </c>
      <c r="BS71" s="75">
        <v>1</v>
      </c>
      <c r="BT71" s="76">
        <f t="shared" ref="BT71:BT125" si="27">AZ71/(AY71+AZ71)</f>
        <v>0.80044843049327363</v>
      </c>
      <c r="BU71" s="281">
        <f t="shared" ref="BU71:BU125" si="28">SUM(AY71:BL71)</f>
        <v>62.47</v>
      </c>
      <c r="BV71" s="77">
        <f t="shared" ref="BV71:BV125" si="29">F71</f>
        <v>171.5</v>
      </c>
      <c r="BW71" s="78">
        <f t="shared" ref="BW71:BW125" si="30">100*P71/(P71+T71+U71+V71)</f>
        <v>97.286821705426348</v>
      </c>
      <c r="BX71" s="69">
        <f t="shared" si="13"/>
        <v>0.80044843049327363</v>
      </c>
      <c r="BY71" s="76">
        <v>9.9700000000000006</v>
      </c>
      <c r="BZ71" s="76">
        <v>0.96</v>
      </c>
      <c r="CA71" s="76">
        <v>39.590000000000003</v>
      </c>
      <c r="CB71" s="76">
        <v>1.84E-2</v>
      </c>
      <c r="CC71" s="76">
        <v>1.6000000000000001E-3</v>
      </c>
      <c r="CD71" s="76">
        <v>0</v>
      </c>
      <c r="CE71" s="76">
        <v>0</v>
      </c>
      <c r="CF71" s="76">
        <v>0</v>
      </c>
      <c r="CG71" s="76">
        <v>0</v>
      </c>
      <c r="CH71" s="76">
        <v>4.88</v>
      </c>
      <c r="CI71" s="76">
        <v>1.21</v>
      </c>
      <c r="CJ71" s="76">
        <v>0</v>
      </c>
      <c r="CK71" s="76">
        <v>16.32</v>
      </c>
      <c r="CL71" s="76">
        <v>16.489999999999998</v>
      </c>
      <c r="CM71" s="76">
        <v>4.88</v>
      </c>
      <c r="CN71" s="76">
        <v>0</v>
      </c>
      <c r="CO71" s="76">
        <v>2.64</v>
      </c>
      <c r="CP71" s="76">
        <v>3.03</v>
      </c>
      <c r="CQ71" s="76">
        <v>0</v>
      </c>
      <c r="CR71" s="76">
        <v>0</v>
      </c>
      <c r="CS71" s="76">
        <v>0</v>
      </c>
      <c r="CT71" s="76">
        <v>0</v>
      </c>
      <c r="CU71" s="76">
        <v>0</v>
      </c>
      <c r="CV71" s="76">
        <v>0</v>
      </c>
      <c r="CW71" s="76">
        <v>0</v>
      </c>
      <c r="CX71" s="76">
        <v>0</v>
      </c>
      <c r="CY71" s="281">
        <v>99.990000000000009</v>
      </c>
      <c r="CZ71" s="285">
        <v>0.44453177633056368</v>
      </c>
      <c r="DA71" s="285">
        <v>2.0660229059061305E-4</v>
      </c>
      <c r="DB71" s="285">
        <v>1.7965416573096789E-5</v>
      </c>
      <c r="DC71" s="285">
        <v>0</v>
      </c>
      <c r="DD71" s="285">
        <v>0</v>
      </c>
      <c r="DE71" s="285">
        <v>0</v>
      </c>
      <c r="DF71" s="285">
        <v>0</v>
      </c>
      <c r="DG71" s="285">
        <v>5.4794520547945202E-2</v>
      </c>
      <c r="DH71" s="285">
        <v>1.3586346283404445E-2</v>
      </c>
      <c r="DI71" s="285">
        <v>0</v>
      </c>
      <c r="DJ71" s="285">
        <v>0.18324724904558723</v>
      </c>
      <c r="DK71" s="285">
        <v>0.18515607455647876</v>
      </c>
      <c r="DL71" s="285">
        <v>5.4794520547945202E-2</v>
      </c>
      <c r="DM71" s="285">
        <v>0</v>
      </c>
      <c r="DN71" s="285">
        <v>2.9642937345609702E-2</v>
      </c>
      <c r="DO71" s="285">
        <v>3.402200763530204E-2</v>
      </c>
      <c r="DP71" s="285">
        <v>0</v>
      </c>
      <c r="DQ71" s="285">
        <v>0</v>
      </c>
      <c r="DR71" s="285">
        <v>0</v>
      </c>
      <c r="DS71" s="285">
        <v>0</v>
      </c>
      <c r="DT71" s="285">
        <v>0</v>
      </c>
      <c r="DU71" s="285">
        <v>0</v>
      </c>
      <c r="DV71" s="285">
        <v>0</v>
      </c>
      <c r="DW71" s="285">
        <v>0</v>
      </c>
      <c r="DX71" s="76">
        <v>1</v>
      </c>
      <c r="DY71" s="78">
        <v>66.728245978625196</v>
      </c>
      <c r="DZ71" s="78">
        <v>19.313981228793249</v>
      </c>
      <c r="EA71" s="78">
        <v>5.0769621927824744</v>
      </c>
      <c r="EB71" s="78">
        <v>0.61394605363954347</v>
      </c>
      <c r="EC71" s="78">
        <v>0</v>
      </c>
      <c r="ED71" s="78">
        <v>0.33902699319650598</v>
      </c>
      <c r="EE71" s="78">
        <v>5.4259701776313243E-2</v>
      </c>
      <c r="EF71" s="78">
        <v>2.1239394941451547E-4</v>
      </c>
      <c r="EG71" s="78">
        <v>0.77568571638523653</v>
      </c>
      <c r="EH71" s="78">
        <v>6.4007094494386643E-2</v>
      </c>
      <c r="EI71" s="78">
        <v>0</v>
      </c>
      <c r="EJ71" s="78">
        <v>7.0336726463576875</v>
      </c>
      <c r="EK71" s="78">
        <v>0</v>
      </c>
      <c r="EL71" s="78">
        <v>100.00000000000003</v>
      </c>
      <c r="EM71" s="76">
        <v>95.878911427163686</v>
      </c>
      <c r="EN71" s="76" t="s">
        <v>156</v>
      </c>
      <c r="EO71" s="289">
        <v>5.7461633912495765E-2</v>
      </c>
      <c r="EP71" s="257">
        <f t="shared" si="14"/>
        <v>5.7461633912495769</v>
      </c>
      <c r="EQ71" s="257">
        <f t="shared" si="15"/>
        <v>87.239291320923954</v>
      </c>
      <c r="ER71" s="324">
        <f t="shared" si="16"/>
        <v>4.708520179372197E-2</v>
      </c>
      <c r="ES71" s="257">
        <f t="shared" ref="ES71:ES123" si="31">BX71</f>
        <v>0.80044843049327363</v>
      </c>
      <c r="ET71">
        <f t="shared" ref="ET71:ET123" si="32">BV71</f>
        <v>171.5</v>
      </c>
      <c r="EU71" s="324">
        <f t="shared" si="17"/>
        <v>5.8823529411764698E-2</v>
      </c>
      <c r="EV71" s="39">
        <f t="shared" si="18"/>
        <v>159.285</v>
      </c>
      <c r="EW71"/>
      <c r="EX71">
        <f t="shared" si="19"/>
        <v>13.333333333333334</v>
      </c>
      <c r="EY71"/>
      <c r="EZ71"/>
      <c r="FA71"/>
      <c r="FB71"/>
      <c r="FC71"/>
      <c r="FD71"/>
    </row>
    <row r="72" spans="1:160" s="77" customFormat="1" ht="13" customHeight="1" x14ac:dyDescent="0.2">
      <c r="A72" s="72" t="s">
        <v>157</v>
      </c>
      <c r="B72" s="73" t="s">
        <v>461</v>
      </c>
      <c r="C72" s="276">
        <f t="shared" si="25"/>
        <v>158.5</v>
      </c>
      <c r="D72" s="74">
        <v>200</v>
      </c>
      <c r="E72" s="74">
        <v>300</v>
      </c>
      <c r="F72" s="75">
        <f t="shared" si="26"/>
        <v>250</v>
      </c>
      <c r="G72" s="73" t="s">
        <v>507</v>
      </c>
      <c r="H72" s="84">
        <v>2.5</v>
      </c>
      <c r="I72" s="85">
        <v>4</v>
      </c>
      <c r="J72" s="85">
        <v>6</v>
      </c>
      <c r="K72" s="89">
        <f t="shared" si="21"/>
        <v>1.6666666666666667</v>
      </c>
      <c r="L72" s="75">
        <v>140</v>
      </c>
      <c r="M72" s="75">
        <v>81</v>
      </c>
      <c r="N72" s="75">
        <v>54</v>
      </c>
      <c r="O72" s="75">
        <v>60.5</v>
      </c>
      <c r="P72" s="75">
        <v>19.55</v>
      </c>
      <c r="Q72" s="75">
        <v>8.32</v>
      </c>
      <c r="R72" s="75">
        <v>4.2000000000000003E-2</v>
      </c>
      <c r="S72" s="75">
        <v>0.28000000000000003</v>
      </c>
      <c r="T72" s="75">
        <v>0.01</v>
      </c>
      <c r="U72" s="75">
        <v>0.08</v>
      </c>
      <c r="V72" s="75">
        <v>0.46</v>
      </c>
      <c r="W72" s="75">
        <v>0.70199999999999996</v>
      </c>
      <c r="X72" s="75">
        <v>0.05</v>
      </c>
      <c r="Y72" s="75">
        <v>9.42</v>
      </c>
      <c r="Z72" s="75">
        <v>99.41</v>
      </c>
      <c r="AA72" s="75">
        <v>23</v>
      </c>
      <c r="AB72" s="75">
        <v>1</v>
      </c>
      <c r="AC72" s="75">
        <v>135</v>
      </c>
      <c r="AD72" s="75">
        <v>30</v>
      </c>
      <c r="AE72" s="75">
        <v>7</v>
      </c>
      <c r="AF72" s="75">
        <v>0</v>
      </c>
      <c r="AG72" s="75">
        <v>50</v>
      </c>
      <c r="AH72" s="75">
        <v>70</v>
      </c>
      <c r="AI72" s="75">
        <v>21</v>
      </c>
      <c r="AJ72" s="75">
        <v>1</v>
      </c>
      <c r="AK72" s="75">
        <v>0</v>
      </c>
      <c r="AL72" s="75">
        <v>36</v>
      </c>
      <c r="AM72" s="75">
        <v>14</v>
      </c>
      <c r="AN72" s="75">
        <v>2</v>
      </c>
      <c r="AO72" s="75">
        <v>183</v>
      </c>
      <c r="AP72" s="75">
        <v>6</v>
      </c>
      <c r="AQ72" s="75" t="s">
        <v>72</v>
      </c>
      <c r="AR72" s="75" t="s">
        <v>74</v>
      </c>
      <c r="AS72" s="75" t="s">
        <v>73</v>
      </c>
      <c r="AT72" s="75">
        <v>1</v>
      </c>
      <c r="AU72" s="75" t="s">
        <v>74</v>
      </c>
      <c r="AV72" s="75">
        <v>2.2000000000000002</v>
      </c>
      <c r="AW72" s="75">
        <v>129</v>
      </c>
      <c r="AX72" s="75" t="s">
        <v>75</v>
      </c>
      <c r="AY72" s="75">
        <v>6.4</v>
      </c>
      <c r="AZ72" s="75">
        <v>30</v>
      </c>
      <c r="BA72" s="75">
        <v>1.43</v>
      </c>
      <c r="BB72" s="75">
        <v>5.0999999999999996</v>
      </c>
      <c r="BC72" s="75">
        <v>1</v>
      </c>
      <c r="BD72" s="75">
        <v>0.27</v>
      </c>
      <c r="BE72" s="75">
        <v>0.7</v>
      </c>
      <c r="BF72" s="75">
        <v>0.1</v>
      </c>
      <c r="BG72" s="75">
        <v>0.9</v>
      </c>
      <c r="BH72" s="75">
        <v>0.2</v>
      </c>
      <c r="BI72" s="75">
        <v>0.6</v>
      </c>
      <c r="BJ72" s="75">
        <v>0.09</v>
      </c>
      <c r="BK72" s="75">
        <v>0.7</v>
      </c>
      <c r="BL72" s="75">
        <v>0.13</v>
      </c>
      <c r="BM72" s="75">
        <v>4.3</v>
      </c>
      <c r="BN72" s="75">
        <v>0.4</v>
      </c>
      <c r="BO72" s="75">
        <v>0</v>
      </c>
      <c r="BP72" s="75">
        <v>0</v>
      </c>
      <c r="BQ72" s="75">
        <v>59</v>
      </c>
      <c r="BR72" s="75">
        <v>8</v>
      </c>
      <c r="BS72" s="75">
        <v>1.3</v>
      </c>
      <c r="BT72" s="76">
        <f t="shared" si="27"/>
        <v>0.82417582417582425</v>
      </c>
      <c r="BU72" s="281">
        <f t="shared" si="28"/>
        <v>47.620000000000019</v>
      </c>
      <c r="BV72" s="77">
        <f t="shared" si="29"/>
        <v>250</v>
      </c>
      <c r="BW72" s="78">
        <f t="shared" si="30"/>
        <v>97.263681592039788</v>
      </c>
      <c r="BX72" s="69">
        <f t="shared" ref="BX72:BX128" si="33">AZ72/(AZ72+AY72)</f>
        <v>0.82417582417582425</v>
      </c>
      <c r="BY72" s="76">
        <v>7.09</v>
      </c>
      <c r="BZ72" s="76">
        <v>1.77</v>
      </c>
      <c r="CA72" s="76">
        <v>47.61</v>
      </c>
      <c r="CB72" s="76">
        <v>9.1999999999999998E-3</v>
      </c>
      <c r="CC72" s="76">
        <v>8.0000000000000004E-4</v>
      </c>
      <c r="CD72" s="76">
        <v>0</v>
      </c>
      <c r="CE72" s="76">
        <v>0</v>
      </c>
      <c r="CF72" s="76">
        <v>0</v>
      </c>
      <c r="CG72" s="76">
        <v>0</v>
      </c>
      <c r="CH72" s="76">
        <v>3.68</v>
      </c>
      <c r="CI72" s="76">
        <v>0.94</v>
      </c>
      <c r="CJ72" s="76">
        <v>0</v>
      </c>
      <c r="CK72" s="76">
        <v>15.59</v>
      </c>
      <c r="CL72" s="76">
        <v>15.75</v>
      </c>
      <c r="CM72" s="76">
        <v>3.86</v>
      </c>
      <c r="CN72" s="76">
        <v>0</v>
      </c>
      <c r="CO72" s="76">
        <v>1.23</v>
      </c>
      <c r="CP72" s="76">
        <v>2.44</v>
      </c>
      <c r="CQ72" s="76">
        <v>0</v>
      </c>
      <c r="CR72" s="76">
        <v>0</v>
      </c>
      <c r="CS72" s="76">
        <v>0</v>
      </c>
      <c r="CT72" s="76">
        <v>0</v>
      </c>
      <c r="CU72" s="76">
        <v>0</v>
      </c>
      <c r="CV72" s="76">
        <v>0</v>
      </c>
      <c r="CW72" s="76">
        <v>0</v>
      </c>
      <c r="CX72" s="76">
        <v>0</v>
      </c>
      <c r="CY72" s="281">
        <v>99.97</v>
      </c>
      <c r="CZ72" s="285">
        <v>0.52255515311162326</v>
      </c>
      <c r="DA72" s="285">
        <v>1.0097684118099001E-4</v>
      </c>
      <c r="DB72" s="285">
        <v>8.7805948853034803E-6</v>
      </c>
      <c r="DC72" s="285">
        <v>0</v>
      </c>
      <c r="DD72" s="285">
        <v>0</v>
      </c>
      <c r="DE72" s="285">
        <v>0</v>
      </c>
      <c r="DF72" s="285">
        <v>0</v>
      </c>
      <c r="DG72" s="285">
        <v>4.0390736472396008E-2</v>
      </c>
      <c r="DH72" s="285">
        <v>1.0317198990231587E-2</v>
      </c>
      <c r="DI72" s="285">
        <v>0</v>
      </c>
      <c r="DJ72" s="285">
        <v>0.17111184282735156</v>
      </c>
      <c r="DK72" s="285">
        <v>0.17286796180441225</v>
      </c>
      <c r="DL72" s="285">
        <v>4.2366370321589283E-2</v>
      </c>
      <c r="DM72" s="285">
        <v>0</v>
      </c>
      <c r="DN72" s="285">
        <v>1.35001646361541E-2</v>
      </c>
      <c r="DO72" s="285">
        <v>2.6780814400175611E-2</v>
      </c>
      <c r="DP72" s="285">
        <v>0</v>
      </c>
      <c r="DQ72" s="285">
        <v>0</v>
      </c>
      <c r="DR72" s="285">
        <v>0</v>
      </c>
      <c r="DS72" s="285">
        <v>0</v>
      </c>
      <c r="DT72" s="285">
        <v>0</v>
      </c>
      <c r="DU72" s="285">
        <v>0</v>
      </c>
      <c r="DV72" s="285">
        <v>0</v>
      </c>
      <c r="DW72" s="285">
        <v>0</v>
      </c>
      <c r="DX72" s="76">
        <v>1</v>
      </c>
      <c r="DY72" s="78">
        <v>71.853990056146174</v>
      </c>
      <c r="DZ72" s="78">
        <v>16.981922478377147</v>
      </c>
      <c r="EA72" s="78">
        <v>3.8055472131297745</v>
      </c>
      <c r="EB72" s="78">
        <v>0.33026067794710573</v>
      </c>
      <c r="EC72" s="78">
        <v>0</v>
      </c>
      <c r="ED72" s="78">
        <v>0.21108694800773936</v>
      </c>
      <c r="EE72" s="78">
        <v>4.0655136586307344E-2</v>
      </c>
      <c r="EF72" s="78">
        <v>1.0380751363657532E-4</v>
      </c>
      <c r="EG72" s="78">
        <v>0.55305909636833639</v>
      </c>
      <c r="EH72" s="78">
        <v>2.9150495562615751E-2</v>
      </c>
      <c r="EI72" s="78">
        <v>0</v>
      </c>
      <c r="EJ72" s="78">
        <v>6.1942240903611587</v>
      </c>
      <c r="EK72" s="78">
        <v>0</v>
      </c>
      <c r="EL72" s="78">
        <v>100</v>
      </c>
      <c r="EM72" s="76">
        <v>96.621376835692573</v>
      </c>
      <c r="EN72" s="76" t="s">
        <v>157</v>
      </c>
      <c r="EO72" s="289">
        <v>4.1655313520921194E-2</v>
      </c>
      <c r="EP72" s="257">
        <f t="shared" ref="EP72:EP123" si="34">EO72*100</f>
        <v>4.1655313520921196</v>
      </c>
      <c r="EQ72" s="257">
        <f t="shared" ref="EQ72:EQ123" si="35">100*(DJ72+DH72+DG72+DF72+DK72+DP72)/(DJ72+DH72+DG72+DF72+DO72+DN72+DM72+DE72+DC72+DR72+DB72+DA72+DK72+DP72)</f>
        <v>90.716448032290614</v>
      </c>
      <c r="ER72" s="324">
        <f t="shared" ref="ER72:ER135" si="36">BD72/(BD72+BB72)</f>
        <v>5.0279329608938557E-2</v>
      </c>
      <c r="ES72" s="257">
        <f t="shared" si="31"/>
        <v>0.82417582417582425</v>
      </c>
      <c r="ET72">
        <f t="shared" si="32"/>
        <v>250</v>
      </c>
      <c r="EU72" s="324">
        <f t="shared" ref="EU72:EU123" si="37">ER72/ES72</f>
        <v>6.1005586592178779E-2</v>
      </c>
      <c r="EV72" s="39">
        <f t="shared" ref="EV72:EV123" si="38">C72</f>
        <v>158.5</v>
      </c>
      <c r="EW72"/>
      <c r="EX72">
        <f t="shared" ref="EX72:EX123" si="39">AN72/BH72</f>
        <v>10</v>
      </c>
      <c r="EY72"/>
      <c r="EZ72"/>
      <c r="FA72"/>
      <c r="FB72"/>
      <c r="FC72"/>
      <c r="FD72"/>
    </row>
    <row r="73" spans="1:160" s="77" customFormat="1" ht="13" customHeight="1" x14ac:dyDescent="0.2">
      <c r="A73" s="72" t="s">
        <v>158</v>
      </c>
      <c r="B73" s="73" t="s">
        <v>461</v>
      </c>
      <c r="C73" s="276">
        <f t="shared" si="25"/>
        <v>157.5</v>
      </c>
      <c r="D73" s="74">
        <v>300</v>
      </c>
      <c r="E73" s="74">
        <v>400</v>
      </c>
      <c r="F73" s="75">
        <f t="shared" si="26"/>
        <v>350</v>
      </c>
      <c r="G73" s="73" t="s">
        <v>507</v>
      </c>
      <c r="H73" s="84">
        <v>2.5</v>
      </c>
      <c r="I73" s="85">
        <v>4</v>
      </c>
      <c r="J73" s="85">
        <v>6</v>
      </c>
      <c r="K73" s="89">
        <f t="shared" si="21"/>
        <v>1.6666666666666667</v>
      </c>
      <c r="L73" s="75">
        <v>140</v>
      </c>
      <c r="M73" s="75">
        <v>81</v>
      </c>
      <c r="N73" s="75">
        <v>54</v>
      </c>
      <c r="O73" s="75">
        <v>65.63</v>
      </c>
      <c r="P73" s="75">
        <v>17.079999999999998</v>
      </c>
      <c r="Q73" s="75">
        <v>7.5</v>
      </c>
      <c r="R73" s="75">
        <v>7.2999999999999995E-2</v>
      </c>
      <c r="S73" s="75">
        <v>0.2</v>
      </c>
      <c r="T73" s="75">
        <v>0.01</v>
      </c>
      <c r="U73" s="75">
        <v>7.0000000000000007E-2</v>
      </c>
      <c r="V73" s="75">
        <v>0.53</v>
      </c>
      <c r="W73" s="75">
        <v>0.64100000000000001</v>
      </c>
      <c r="X73" s="75">
        <v>0.05</v>
      </c>
      <c r="Y73" s="75">
        <v>8.0399999999999991</v>
      </c>
      <c r="Z73" s="75">
        <v>99.84</v>
      </c>
      <c r="AA73" s="75">
        <v>21</v>
      </c>
      <c r="AB73" s="75">
        <v>1</v>
      </c>
      <c r="AC73" s="75">
        <v>122</v>
      </c>
      <c r="AD73" s="75">
        <v>30</v>
      </c>
      <c r="AE73" s="75">
        <v>13</v>
      </c>
      <c r="AF73" s="75">
        <v>0</v>
      </c>
      <c r="AG73" s="75">
        <v>40</v>
      </c>
      <c r="AH73" s="75">
        <v>60</v>
      </c>
      <c r="AI73" s="75">
        <v>18</v>
      </c>
      <c r="AJ73" s="75">
        <v>1</v>
      </c>
      <c r="AK73" s="75">
        <v>0</v>
      </c>
      <c r="AL73" s="75">
        <v>35</v>
      </c>
      <c r="AM73" s="75">
        <v>23</v>
      </c>
      <c r="AN73" s="75">
        <v>11</v>
      </c>
      <c r="AO73" s="75">
        <v>297</v>
      </c>
      <c r="AP73" s="75">
        <v>5</v>
      </c>
      <c r="AQ73" s="75" t="s">
        <v>72</v>
      </c>
      <c r="AR73" s="75" t="s">
        <v>74</v>
      </c>
      <c r="AS73" s="75" t="s">
        <v>73</v>
      </c>
      <c r="AT73" s="75">
        <v>1</v>
      </c>
      <c r="AU73" s="75" t="s">
        <v>74</v>
      </c>
      <c r="AV73" s="75">
        <v>2</v>
      </c>
      <c r="AW73" s="75">
        <v>189</v>
      </c>
      <c r="AX73" s="75" t="s">
        <v>75</v>
      </c>
      <c r="AY73" s="75">
        <v>15.3</v>
      </c>
      <c r="AZ73" s="75">
        <v>47.1</v>
      </c>
      <c r="BA73" s="75">
        <v>4.57</v>
      </c>
      <c r="BB73" s="75">
        <v>17.7</v>
      </c>
      <c r="BC73" s="75">
        <v>3.7</v>
      </c>
      <c r="BD73" s="75">
        <v>0.94</v>
      </c>
      <c r="BE73" s="75">
        <v>2.7</v>
      </c>
      <c r="BF73" s="75">
        <v>0.4</v>
      </c>
      <c r="BG73" s="75">
        <v>2.6</v>
      </c>
      <c r="BH73" s="75">
        <v>0.5</v>
      </c>
      <c r="BI73" s="75">
        <v>1.5</v>
      </c>
      <c r="BJ73" s="75">
        <v>0.24</v>
      </c>
      <c r="BK73" s="75">
        <v>1.8</v>
      </c>
      <c r="BL73" s="75">
        <v>0.28999999999999998</v>
      </c>
      <c r="BM73" s="75">
        <v>6.8</v>
      </c>
      <c r="BN73" s="75">
        <v>0.4</v>
      </c>
      <c r="BO73" s="75">
        <v>0</v>
      </c>
      <c r="BP73" s="75">
        <v>0</v>
      </c>
      <c r="BQ73" s="75">
        <v>23</v>
      </c>
      <c r="BR73" s="75">
        <v>7.9</v>
      </c>
      <c r="BS73" s="75">
        <v>1.5</v>
      </c>
      <c r="BT73" s="76">
        <f t="shared" si="27"/>
        <v>0.75480769230769229</v>
      </c>
      <c r="BU73" s="281">
        <f t="shared" si="28"/>
        <v>99.34</v>
      </c>
      <c r="BV73" s="77">
        <f t="shared" si="29"/>
        <v>350</v>
      </c>
      <c r="BW73" s="78">
        <f t="shared" si="30"/>
        <v>96.551724137931018</v>
      </c>
      <c r="BX73" s="69">
        <f t="shared" si="33"/>
        <v>0.75480769230769229</v>
      </c>
      <c r="BY73" s="76">
        <v>10.130000000000001</v>
      </c>
      <c r="BZ73" s="76">
        <v>1.62</v>
      </c>
      <c r="CA73" s="76">
        <v>43.29</v>
      </c>
      <c r="CB73" s="76">
        <v>9.1999999999999998E-3</v>
      </c>
      <c r="CC73" s="76">
        <v>8.0000000000000004E-4</v>
      </c>
      <c r="CD73" s="76">
        <v>0</v>
      </c>
      <c r="CE73" s="76">
        <v>0</v>
      </c>
      <c r="CF73" s="76">
        <v>0</v>
      </c>
      <c r="CG73" s="76">
        <v>0</v>
      </c>
      <c r="CH73" s="76">
        <v>3.58</v>
      </c>
      <c r="CI73" s="76">
        <v>0.99</v>
      </c>
      <c r="CJ73" s="76">
        <v>0</v>
      </c>
      <c r="CK73" s="76">
        <v>15.86</v>
      </c>
      <c r="CL73" s="76">
        <v>16.03</v>
      </c>
      <c r="CM73" s="76">
        <v>3.83</v>
      </c>
      <c r="CN73" s="76">
        <v>0</v>
      </c>
      <c r="CO73" s="76">
        <v>1.24</v>
      </c>
      <c r="CP73" s="76">
        <v>3.41</v>
      </c>
      <c r="CQ73" s="76">
        <v>0</v>
      </c>
      <c r="CR73" s="76">
        <v>0</v>
      </c>
      <c r="CS73" s="76">
        <v>0</v>
      </c>
      <c r="CT73" s="76">
        <v>0</v>
      </c>
      <c r="CU73" s="76">
        <v>0</v>
      </c>
      <c r="CV73" s="76">
        <v>0</v>
      </c>
      <c r="CW73" s="76">
        <v>0</v>
      </c>
      <c r="CX73" s="76">
        <v>0</v>
      </c>
      <c r="CY73" s="281">
        <v>99.989999999999981</v>
      </c>
      <c r="CZ73" s="285">
        <v>0.49059383499546699</v>
      </c>
      <c r="DA73" s="285">
        <v>1.0426110607434272E-4</v>
      </c>
      <c r="DB73" s="285">
        <v>9.0661831368993672E-6</v>
      </c>
      <c r="DC73" s="285">
        <v>0</v>
      </c>
      <c r="DD73" s="285">
        <v>0</v>
      </c>
      <c r="DE73" s="285">
        <v>0</v>
      </c>
      <c r="DF73" s="285">
        <v>0</v>
      </c>
      <c r="DG73" s="285">
        <v>4.0571169537624671E-2</v>
      </c>
      <c r="DH73" s="285">
        <v>1.1219401631912967E-2</v>
      </c>
      <c r="DI73" s="285">
        <v>0</v>
      </c>
      <c r="DJ73" s="285">
        <v>0.17973708068902994</v>
      </c>
      <c r="DK73" s="285">
        <v>0.18166364460562109</v>
      </c>
      <c r="DL73" s="285">
        <v>4.3404351767905719E-2</v>
      </c>
      <c r="DM73" s="285">
        <v>0</v>
      </c>
      <c r="DN73" s="285">
        <v>1.405258386219402E-2</v>
      </c>
      <c r="DO73" s="285">
        <v>3.8644605621033556E-2</v>
      </c>
      <c r="DP73" s="285">
        <v>0</v>
      </c>
      <c r="DQ73" s="285">
        <v>0</v>
      </c>
      <c r="DR73" s="285">
        <v>0</v>
      </c>
      <c r="DS73" s="285">
        <v>0</v>
      </c>
      <c r="DT73" s="285">
        <v>0</v>
      </c>
      <c r="DU73" s="285">
        <v>0</v>
      </c>
      <c r="DV73" s="285">
        <v>0</v>
      </c>
      <c r="DW73" s="285">
        <v>0</v>
      </c>
      <c r="DX73" s="76">
        <v>1</v>
      </c>
      <c r="DY73" s="78">
        <v>70.145481778376805</v>
      </c>
      <c r="DZ73" s="78">
        <v>18.073188065835947</v>
      </c>
      <c r="EA73" s="78">
        <v>3.8379597746744349</v>
      </c>
      <c r="EB73" s="78">
        <v>0.39210195106421086</v>
      </c>
      <c r="EC73" s="78">
        <v>0</v>
      </c>
      <c r="ED73" s="78">
        <v>0.24533263968332139</v>
      </c>
      <c r="EE73" s="78">
        <v>4.1681731537370578E-2</v>
      </c>
      <c r="EF73" s="78">
        <v>1.0718384595907046E-4</v>
      </c>
      <c r="EG73" s="78">
        <v>0.6979742449677544</v>
      </c>
      <c r="EH73" s="78">
        <v>3.0343317623041214E-2</v>
      </c>
      <c r="EI73" s="78">
        <v>0</v>
      </c>
      <c r="EJ73" s="78">
        <v>6.5358293123911722</v>
      </c>
      <c r="EK73" s="78">
        <v>0</v>
      </c>
      <c r="EL73" s="78">
        <v>100</v>
      </c>
      <c r="EM73" s="76">
        <v>96.067798446628828</v>
      </c>
      <c r="EN73" s="76" t="s">
        <v>158</v>
      </c>
      <c r="EO73" s="289">
        <v>4.2653509013344248E-2</v>
      </c>
      <c r="EP73" s="257">
        <f t="shared" si="34"/>
        <v>4.2653509013344246</v>
      </c>
      <c r="EQ73" s="257">
        <f t="shared" si="35"/>
        <v>88.667315175097258</v>
      </c>
      <c r="ER73" s="324">
        <f t="shared" si="36"/>
        <v>5.0429184549356222E-2</v>
      </c>
      <c r="ES73" s="257">
        <f t="shared" si="31"/>
        <v>0.75480769230769229</v>
      </c>
      <c r="ET73">
        <f t="shared" si="32"/>
        <v>350</v>
      </c>
      <c r="EU73" s="324">
        <f t="shared" si="37"/>
        <v>6.6810639402968761E-2</v>
      </c>
      <c r="EV73" s="39">
        <f t="shared" si="38"/>
        <v>157.5</v>
      </c>
      <c r="EW73"/>
      <c r="EX73">
        <f t="shared" si="39"/>
        <v>22</v>
      </c>
      <c r="EY73"/>
      <c r="EZ73"/>
      <c r="FA73"/>
      <c r="FB73"/>
      <c r="FC73"/>
      <c r="FD73"/>
    </row>
    <row r="74" spans="1:160" s="77" customFormat="1" ht="13" customHeight="1" x14ac:dyDescent="0.2">
      <c r="A74" s="72" t="s">
        <v>159</v>
      </c>
      <c r="B74" s="73" t="s">
        <v>461</v>
      </c>
      <c r="C74" s="276">
        <f t="shared" si="25"/>
        <v>156.5</v>
      </c>
      <c r="D74" s="74">
        <v>400</v>
      </c>
      <c r="E74" s="74">
        <v>500</v>
      </c>
      <c r="F74" s="75">
        <f t="shared" si="26"/>
        <v>450</v>
      </c>
      <c r="G74" s="73" t="s">
        <v>518</v>
      </c>
      <c r="H74" s="84">
        <v>2.5</v>
      </c>
      <c r="I74" s="85">
        <v>4</v>
      </c>
      <c r="J74" s="85">
        <v>8</v>
      </c>
      <c r="K74" s="89">
        <f t="shared" si="21"/>
        <v>1.25</v>
      </c>
      <c r="L74" s="75">
        <v>150</v>
      </c>
      <c r="M74" s="75">
        <v>75</v>
      </c>
      <c r="N74" s="75">
        <v>38</v>
      </c>
      <c r="O74" s="75">
        <v>56.04</v>
      </c>
      <c r="P74" s="75">
        <v>21.58</v>
      </c>
      <c r="Q74" s="75">
        <v>10.11</v>
      </c>
      <c r="R74" s="75">
        <v>6.6000000000000003E-2</v>
      </c>
      <c r="S74" s="75">
        <v>0.37</v>
      </c>
      <c r="T74" s="75">
        <v>0.01</v>
      </c>
      <c r="U74" s="75">
        <v>0.1</v>
      </c>
      <c r="V74" s="75">
        <v>0.91</v>
      </c>
      <c r="W74" s="75">
        <v>0.71799999999999997</v>
      </c>
      <c r="X74" s="75">
        <v>0.05</v>
      </c>
      <c r="Y74" s="75">
        <v>9.77</v>
      </c>
      <c r="Z74" s="75">
        <v>99.74</v>
      </c>
      <c r="AA74" s="75">
        <v>33</v>
      </c>
      <c r="AB74" s="75">
        <v>2</v>
      </c>
      <c r="AC74" s="75">
        <v>163</v>
      </c>
      <c r="AD74" s="75">
        <v>40</v>
      </c>
      <c r="AE74" s="75">
        <v>11</v>
      </c>
      <c r="AF74" s="75">
        <v>0</v>
      </c>
      <c r="AG74" s="75">
        <v>60</v>
      </c>
      <c r="AH74" s="75">
        <v>70</v>
      </c>
      <c r="AI74" s="75">
        <v>22</v>
      </c>
      <c r="AJ74" s="75">
        <v>1</v>
      </c>
      <c r="AK74" s="75">
        <v>0</v>
      </c>
      <c r="AL74" s="75">
        <v>41</v>
      </c>
      <c r="AM74" s="75">
        <v>26</v>
      </c>
      <c r="AN74" s="75">
        <v>12</v>
      </c>
      <c r="AO74" s="75">
        <v>271</v>
      </c>
      <c r="AP74" s="75">
        <v>5</v>
      </c>
      <c r="AQ74" s="75" t="s">
        <v>72</v>
      </c>
      <c r="AR74" s="75" t="s">
        <v>74</v>
      </c>
      <c r="AS74" s="75" t="s">
        <v>73</v>
      </c>
      <c r="AT74" s="75">
        <v>1</v>
      </c>
      <c r="AU74" s="75" t="s">
        <v>74</v>
      </c>
      <c r="AV74" s="75">
        <v>1.8</v>
      </c>
      <c r="AW74" s="75">
        <v>271</v>
      </c>
      <c r="AX74" s="75" t="s">
        <v>75</v>
      </c>
      <c r="AY74" s="75">
        <v>17.2</v>
      </c>
      <c r="AZ74" s="75">
        <v>36.1</v>
      </c>
      <c r="BA74" s="75">
        <v>5.3</v>
      </c>
      <c r="BB74" s="75">
        <v>21.1</v>
      </c>
      <c r="BC74" s="75">
        <v>4.5</v>
      </c>
      <c r="BD74" s="75">
        <v>1.22</v>
      </c>
      <c r="BE74" s="75">
        <v>3.5</v>
      </c>
      <c r="BF74" s="75">
        <v>0.5</v>
      </c>
      <c r="BG74" s="75">
        <v>3.2</v>
      </c>
      <c r="BH74" s="75">
        <v>0.6</v>
      </c>
      <c r="BI74" s="75">
        <v>1.8</v>
      </c>
      <c r="BJ74" s="75">
        <v>0.28000000000000003</v>
      </c>
      <c r="BK74" s="75">
        <v>2.1</v>
      </c>
      <c r="BL74" s="75">
        <v>0.34</v>
      </c>
      <c r="BM74" s="75">
        <v>6.4</v>
      </c>
      <c r="BN74" s="75">
        <v>0.3</v>
      </c>
      <c r="BO74" s="75">
        <v>0</v>
      </c>
      <c r="BP74" s="75">
        <v>0</v>
      </c>
      <c r="BQ74" s="75">
        <v>101</v>
      </c>
      <c r="BR74" s="75">
        <v>11</v>
      </c>
      <c r="BS74" s="75">
        <v>1.8</v>
      </c>
      <c r="BT74" s="76">
        <f t="shared" si="27"/>
        <v>0.67729831144465302</v>
      </c>
      <c r="BU74" s="281">
        <f t="shared" si="28"/>
        <v>97.739999999999981</v>
      </c>
      <c r="BV74" s="77">
        <f t="shared" si="29"/>
        <v>450</v>
      </c>
      <c r="BW74" s="78">
        <f t="shared" si="30"/>
        <v>95.486725663716811</v>
      </c>
      <c r="BX74" s="69">
        <f t="shared" si="33"/>
        <v>0.67729831144465302</v>
      </c>
      <c r="BY74" s="76">
        <v>10.28</v>
      </c>
      <c r="BZ74" s="76">
        <v>1.02</v>
      </c>
      <c r="CA74" s="76">
        <v>28.8</v>
      </c>
      <c r="CB74" s="76">
        <v>1.748</v>
      </c>
      <c r="CC74" s="76">
        <v>0.152</v>
      </c>
      <c r="CD74" s="76">
        <v>0</v>
      </c>
      <c r="CE74" s="76">
        <v>0</v>
      </c>
      <c r="CF74" s="76">
        <v>0</v>
      </c>
      <c r="CG74" s="76">
        <v>0</v>
      </c>
      <c r="CH74" s="76">
        <v>4.47</v>
      </c>
      <c r="CI74" s="76">
        <v>0</v>
      </c>
      <c r="CJ74" s="76">
        <v>0</v>
      </c>
      <c r="CK74" s="76">
        <v>34.96</v>
      </c>
      <c r="CL74" s="76">
        <v>15.71</v>
      </c>
      <c r="CM74" s="76">
        <v>0</v>
      </c>
      <c r="CN74" s="76">
        <v>0</v>
      </c>
      <c r="CO74" s="76">
        <v>0.12</v>
      </c>
      <c r="CP74" s="76">
        <v>2.76</v>
      </c>
      <c r="CQ74" s="76">
        <v>0</v>
      </c>
      <c r="CR74" s="76">
        <v>0</v>
      </c>
      <c r="CS74" s="76">
        <v>0</v>
      </c>
      <c r="CT74" s="76">
        <v>0</v>
      </c>
      <c r="CU74" s="76">
        <v>0</v>
      </c>
      <c r="CV74" s="76">
        <v>0</v>
      </c>
      <c r="CW74" s="76">
        <v>0</v>
      </c>
      <c r="CX74" s="76">
        <v>0</v>
      </c>
      <c r="CY74" s="281">
        <v>100.02000000000002</v>
      </c>
      <c r="CZ74" s="285">
        <v>0.32461677186654642</v>
      </c>
      <c r="DA74" s="285">
        <v>1.9702434625788995E-2</v>
      </c>
      <c r="DB74" s="285">
        <v>1.7132551848512169E-3</v>
      </c>
      <c r="DC74" s="285">
        <v>0</v>
      </c>
      <c r="DD74" s="285">
        <v>0</v>
      </c>
      <c r="DE74" s="285">
        <v>0</v>
      </c>
      <c r="DF74" s="285">
        <v>0</v>
      </c>
      <c r="DG74" s="285">
        <v>5.0383228133453549E-2</v>
      </c>
      <c r="DH74" s="285">
        <v>0</v>
      </c>
      <c r="DI74" s="285">
        <v>0</v>
      </c>
      <c r="DJ74" s="285">
        <v>0.39404869251577995</v>
      </c>
      <c r="DK74" s="285">
        <v>0.17707394048692515</v>
      </c>
      <c r="DL74" s="285">
        <v>0</v>
      </c>
      <c r="DM74" s="285">
        <v>0</v>
      </c>
      <c r="DN74" s="285">
        <v>1.3525698827772765E-3</v>
      </c>
      <c r="DO74" s="285">
        <v>3.1109107303877361E-2</v>
      </c>
      <c r="DP74" s="285">
        <v>0</v>
      </c>
      <c r="DQ74" s="285">
        <v>0</v>
      </c>
      <c r="DR74" s="285">
        <v>0</v>
      </c>
      <c r="DS74" s="285">
        <v>0</v>
      </c>
      <c r="DT74" s="285">
        <v>0</v>
      </c>
      <c r="DU74" s="285">
        <v>0</v>
      </c>
      <c r="DV74" s="285">
        <v>0</v>
      </c>
      <c r="DW74" s="285">
        <v>0</v>
      </c>
      <c r="DX74" s="76">
        <v>1</v>
      </c>
      <c r="DY74" s="78">
        <v>61.999127142216693</v>
      </c>
      <c r="DZ74" s="78">
        <v>23.604159775524518</v>
      </c>
      <c r="EA74" s="78">
        <v>4.8181407393597455</v>
      </c>
      <c r="EB74" s="78">
        <v>0.1606660835347351</v>
      </c>
      <c r="EC74" s="78">
        <v>0</v>
      </c>
      <c r="ED74" s="78">
        <v>8.4788760221402359E-2</v>
      </c>
      <c r="EE74" s="78">
        <v>1.8634581433205733E-4</v>
      </c>
      <c r="EF74" s="78">
        <v>2.0254750764330375E-2</v>
      </c>
      <c r="EG74" s="78">
        <v>0.70206194804466449</v>
      </c>
      <c r="EH74" s="78">
        <v>2.9205630767225148E-3</v>
      </c>
      <c r="EI74" s="78">
        <v>0</v>
      </c>
      <c r="EJ74" s="78">
        <v>8.6076938914428585</v>
      </c>
      <c r="EK74" s="78">
        <v>0</v>
      </c>
      <c r="EL74" s="78">
        <v>100</v>
      </c>
      <c r="EM74" s="76">
        <v>97.029995236235465</v>
      </c>
      <c r="EN74" s="76" t="s">
        <v>159</v>
      </c>
      <c r="EO74" s="289">
        <v>4.993266770412607E-2</v>
      </c>
      <c r="EP74" s="257">
        <f t="shared" si="34"/>
        <v>4.9932667704126068</v>
      </c>
      <c r="EQ74" s="257">
        <f t="shared" si="35"/>
        <v>92.02269692923899</v>
      </c>
      <c r="ER74" s="324">
        <f t="shared" si="36"/>
        <v>5.46594982078853E-2</v>
      </c>
      <c r="ES74" s="257">
        <f t="shared" si="31"/>
        <v>0.67729831144465302</v>
      </c>
      <c r="ET74">
        <f t="shared" si="32"/>
        <v>450</v>
      </c>
      <c r="EU74" s="324">
        <f t="shared" si="37"/>
        <v>8.0702250816628421E-2</v>
      </c>
      <c r="EV74" s="39">
        <f t="shared" si="38"/>
        <v>156.5</v>
      </c>
      <c r="EW74"/>
      <c r="EX74">
        <f t="shared" si="39"/>
        <v>20</v>
      </c>
      <c r="EY74"/>
      <c r="EZ74"/>
      <c r="FA74"/>
      <c r="FB74"/>
      <c r="FC74"/>
      <c r="FD74"/>
    </row>
    <row r="75" spans="1:160" s="77" customFormat="1" ht="13" customHeight="1" x14ac:dyDescent="0.2">
      <c r="A75" s="72" t="s">
        <v>160</v>
      </c>
      <c r="B75" s="73" t="s">
        <v>461</v>
      </c>
      <c r="C75" s="276">
        <f t="shared" si="25"/>
        <v>155.5</v>
      </c>
      <c r="D75" s="74">
        <v>500</v>
      </c>
      <c r="E75" s="74">
        <v>600</v>
      </c>
      <c r="F75" s="75">
        <f t="shared" si="26"/>
        <v>550</v>
      </c>
      <c r="G75" s="73" t="s">
        <v>506</v>
      </c>
      <c r="H75" s="84">
        <v>5</v>
      </c>
      <c r="I75" s="85">
        <v>4</v>
      </c>
      <c r="J75" s="85">
        <v>6</v>
      </c>
      <c r="K75" s="89">
        <f t="shared" si="21"/>
        <v>3.3333333333333335</v>
      </c>
      <c r="L75" s="75">
        <v>136</v>
      </c>
      <c r="M75" s="75">
        <v>83</v>
      </c>
      <c r="N75" s="75">
        <v>47</v>
      </c>
      <c r="O75" s="75">
        <v>60.15</v>
      </c>
      <c r="P75" s="75">
        <v>20.05</v>
      </c>
      <c r="Q75" s="75">
        <v>8.1</v>
      </c>
      <c r="R75" s="75">
        <v>0.14799999999999999</v>
      </c>
      <c r="S75" s="75">
        <v>0.96</v>
      </c>
      <c r="T75" s="75">
        <v>0.02</v>
      </c>
      <c r="U75" s="75">
        <v>0.12</v>
      </c>
      <c r="V75" s="75">
        <v>2.2599999999999998</v>
      </c>
      <c r="W75" s="75">
        <v>0.60399999999999998</v>
      </c>
      <c r="X75" s="75">
        <v>0.03</v>
      </c>
      <c r="Y75" s="75">
        <v>8.01</v>
      </c>
      <c r="Z75" s="75">
        <v>100.4</v>
      </c>
      <c r="AA75" s="75">
        <v>26</v>
      </c>
      <c r="AB75" s="75">
        <v>1</v>
      </c>
      <c r="AC75" s="75">
        <v>117</v>
      </c>
      <c r="AD75" s="75">
        <v>30</v>
      </c>
      <c r="AE75" s="75">
        <v>32</v>
      </c>
      <c r="AF75" s="75">
        <v>0</v>
      </c>
      <c r="AG75" s="75">
        <v>40</v>
      </c>
      <c r="AH75" s="75">
        <v>90</v>
      </c>
      <c r="AI75" s="75">
        <v>19</v>
      </c>
      <c r="AJ75" s="75">
        <v>2</v>
      </c>
      <c r="AK75" s="75">
        <v>0</v>
      </c>
      <c r="AL75" s="75">
        <v>89</v>
      </c>
      <c r="AM75" s="75">
        <v>95</v>
      </c>
      <c r="AN75" s="75">
        <v>11</v>
      </c>
      <c r="AO75" s="75">
        <v>206</v>
      </c>
      <c r="AP75" s="75">
        <v>3</v>
      </c>
      <c r="AQ75" s="75" t="s">
        <v>72</v>
      </c>
      <c r="AR75" s="75" t="s">
        <v>74</v>
      </c>
      <c r="AS75" s="75" t="s">
        <v>73</v>
      </c>
      <c r="AT75" s="75">
        <v>0</v>
      </c>
      <c r="AU75" s="75" t="s">
        <v>74</v>
      </c>
      <c r="AV75" s="75">
        <v>1.8</v>
      </c>
      <c r="AW75" s="75">
        <v>1169</v>
      </c>
      <c r="AX75" s="75" t="s">
        <v>75</v>
      </c>
      <c r="AY75" s="75">
        <v>20.3</v>
      </c>
      <c r="AZ75" s="75">
        <v>81.8</v>
      </c>
      <c r="BA75" s="75">
        <v>5.42</v>
      </c>
      <c r="BB75" s="75">
        <v>20.7</v>
      </c>
      <c r="BC75" s="75">
        <v>4.3</v>
      </c>
      <c r="BD75" s="75">
        <v>1.17</v>
      </c>
      <c r="BE75" s="75">
        <v>3.3</v>
      </c>
      <c r="BF75" s="75">
        <v>0.5</v>
      </c>
      <c r="BG75" s="75">
        <v>2.7</v>
      </c>
      <c r="BH75" s="75">
        <v>0.5</v>
      </c>
      <c r="BI75" s="75">
        <v>1.7</v>
      </c>
      <c r="BJ75" s="75">
        <v>0.26</v>
      </c>
      <c r="BK75" s="75">
        <v>1.8</v>
      </c>
      <c r="BL75" s="75">
        <v>0.3</v>
      </c>
      <c r="BM75" s="75">
        <v>4.8</v>
      </c>
      <c r="BN75" s="75">
        <v>0.1</v>
      </c>
      <c r="BO75" s="75">
        <v>0</v>
      </c>
      <c r="BP75" s="75">
        <v>0</v>
      </c>
      <c r="BQ75" s="75">
        <v>16</v>
      </c>
      <c r="BR75" s="75">
        <v>14.8</v>
      </c>
      <c r="BS75" s="75">
        <v>0.9</v>
      </c>
      <c r="BT75" s="76">
        <f t="shared" si="27"/>
        <v>0.80117531831537714</v>
      </c>
      <c r="BU75" s="281">
        <f t="shared" si="28"/>
        <v>144.75</v>
      </c>
      <c r="BV75" s="77">
        <f t="shared" si="29"/>
        <v>550</v>
      </c>
      <c r="BW75" s="78">
        <f t="shared" si="30"/>
        <v>89.309576837416472</v>
      </c>
      <c r="BX75" s="69">
        <f t="shared" si="33"/>
        <v>0.80117531831537714</v>
      </c>
      <c r="BY75" s="76">
        <v>11.06</v>
      </c>
      <c r="BZ75" s="76">
        <v>0.39</v>
      </c>
      <c r="CA75" s="76">
        <v>37.159999999999997</v>
      </c>
      <c r="CB75" s="76">
        <v>2.76E-2</v>
      </c>
      <c r="CC75" s="76">
        <v>2.3999999999999998E-3</v>
      </c>
      <c r="CD75" s="76">
        <v>0</v>
      </c>
      <c r="CE75" s="76">
        <v>0</v>
      </c>
      <c r="CF75" s="76">
        <v>0</v>
      </c>
      <c r="CG75" s="76">
        <v>0</v>
      </c>
      <c r="CH75" s="76">
        <v>4.63</v>
      </c>
      <c r="CI75" s="76">
        <v>0</v>
      </c>
      <c r="CJ75" s="76">
        <v>0</v>
      </c>
      <c r="CK75" s="76">
        <v>18.63</v>
      </c>
      <c r="CL75" s="76">
        <v>18.82</v>
      </c>
      <c r="CM75" s="76">
        <v>0</v>
      </c>
      <c r="CN75" s="76">
        <v>0</v>
      </c>
      <c r="CO75" s="76">
        <v>0.69</v>
      </c>
      <c r="CP75" s="76">
        <v>8.59</v>
      </c>
      <c r="CQ75" s="76">
        <v>0</v>
      </c>
      <c r="CR75" s="76">
        <v>0</v>
      </c>
      <c r="CS75" s="76">
        <v>0</v>
      </c>
      <c r="CT75" s="76">
        <v>0</v>
      </c>
      <c r="CU75" s="76">
        <v>0</v>
      </c>
      <c r="CV75" s="76">
        <v>0</v>
      </c>
      <c r="CW75" s="76">
        <v>0</v>
      </c>
      <c r="CX75" s="76">
        <v>0</v>
      </c>
      <c r="CY75" s="281">
        <v>100</v>
      </c>
      <c r="CZ75" s="285">
        <v>0.41964991530208912</v>
      </c>
      <c r="DA75" s="285">
        <v>3.1168831168831162E-4</v>
      </c>
      <c r="DB75" s="285">
        <v>2.7103331451157534E-5</v>
      </c>
      <c r="DC75" s="285">
        <v>0</v>
      </c>
      <c r="DD75" s="285">
        <v>0</v>
      </c>
      <c r="DE75" s="285">
        <v>0</v>
      </c>
      <c r="DF75" s="285">
        <v>0</v>
      </c>
      <c r="DG75" s="285">
        <v>5.2286843591191408E-2</v>
      </c>
      <c r="DH75" s="285">
        <v>0</v>
      </c>
      <c r="DI75" s="285">
        <v>0</v>
      </c>
      <c r="DJ75" s="285">
        <v>0.21038961038961035</v>
      </c>
      <c r="DK75" s="285">
        <v>0.21253529079616035</v>
      </c>
      <c r="DL75" s="285">
        <v>0</v>
      </c>
      <c r="DM75" s="285">
        <v>0</v>
      </c>
      <c r="DN75" s="285">
        <v>7.7922077922077905E-3</v>
      </c>
      <c r="DO75" s="285">
        <v>9.7007340485601334E-2</v>
      </c>
      <c r="DP75" s="285">
        <v>0</v>
      </c>
      <c r="DQ75" s="285">
        <v>0</v>
      </c>
      <c r="DR75" s="285">
        <v>0</v>
      </c>
      <c r="DS75" s="285">
        <v>0</v>
      </c>
      <c r="DT75" s="285">
        <v>0</v>
      </c>
      <c r="DU75" s="285">
        <v>0</v>
      </c>
      <c r="DV75" s="285">
        <v>0</v>
      </c>
      <c r="DW75" s="285">
        <v>0</v>
      </c>
      <c r="DX75" s="76">
        <v>0.99999999999999989</v>
      </c>
      <c r="DY75" s="78">
        <v>66.96344867991229</v>
      </c>
      <c r="DZ75" s="78">
        <v>19.413008431985212</v>
      </c>
      <c r="EA75" s="78">
        <v>4.6947494587312146</v>
      </c>
      <c r="EB75" s="78">
        <v>0.55662433412917123</v>
      </c>
      <c r="EC75" s="78">
        <v>0</v>
      </c>
      <c r="ED75" s="78">
        <v>0.2842149900617017</v>
      </c>
      <c r="EE75" s="78">
        <v>1.0735454965935145E-3</v>
      </c>
      <c r="EF75" s="78">
        <v>3.2042583514720632E-4</v>
      </c>
      <c r="EG75" s="78">
        <v>1.1741184691997042</v>
      </c>
      <c r="EH75" s="78">
        <v>1.682547767317023E-2</v>
      </c>
      <c r="EI75" s="78">
        <v>0</v>
      </c>
      <c r="EJ75" s="78">
        <v>6.8956161869757917</v>
      </c>
      <c r="EK75" s="78">
        <v>0</v>
      </c>
      <c r="EL75" s="78">
        <v>99.999999999999986</v>
      </c>
      <c r="EM75" s="76">
        <v>94.290447342914163</v>
      </c>
      <c r="EN75" s="76" t="s">
        <v>160</v>
      </c>
      <c r="EO75" s="289">
        <v>5.3014699829320118E-2</v>
      </c>
      <c r="EP75" s="257">
        <f t="shared" si="34"/>
        <v>5.3014699829320122</v>
      </c>
      <c r="EQ75" s="257">
        <f t="shared" si="35"/>
        <v>81.883634948433539</v>
      </c>
      <c r="ER75" s="324">
        <f t="shared" si="36"/>
        <v>5.3497942386831282E-2</v>
      </c>
      <c r="ES75" s="257">
        <f t="shared" si="31"/>
        <v>0.80117531831537714</v>
      </c>
      <c r="ET75">
        <f t="shared" si="32"/>
        <v>550</v>
      </c>
      <c r="EU75" s="324">
        <f t="shared" si="37"/>
        <v>6.6774326622194055E-2</v>
      </c>
      <c r="EV75" s="39">
        <f t="shared" si="38"/>
        <v>155.5</v>
      </c>
      <c r="EW75"/>
      <c r="EX75">
        <f t="shared" si="39"/>
        <v>22</v>
      </c>
      <c r="EY75"/>
      <c r="EZ75"/>
      <c r="FA75"/>
      <c r="FB75"/>
      <c r="FC75"/>
      <c r="FD75"/>
    </row>
    <row r="76" spans="1:160" s="77" customFormat="1" ht="13" customHeight="1" x14ac:dyDescent="0.2">
      <c r="A76" s="72" t="s">
        <v>161</v>
      </c>
      <c r="B76" s="73" t="s">
        <v>461</v>
      </c>
      <c r="C76" s="276">
        <f t="shared" si="25"/>
        <v>154.5</v>
      </c>
      <c r="D76" s="74">
        <v>600</v>
      </c>
      <c r="E76" s="74">
        <v>700</v>
      </c>
      <c r="F76" s="75">
        <f t="shared" si="26"/>
        <v>650</v>
      </c>
      <c r="G76" s="73" t="s">
        <v>508</v>
      </c>
      <c r="H76" s="84">
        <v>7.5</v>
      </c>
      <c r="I76" s="85">
        <v>5</v>
      </c>
      <c r="J76" s="85">
        <v>6</v>
      </c>
      <c r="K76" s="89">
        <f t="shared" si="21"/>
        <v>6.25</v>
      </c>
      <c r="L76" s="75">
        <v>161</v>
      </c>
      <c r="M76" s="75">
        <v>111</v>
      </c>
      <c r="N76" s="75">
        <v>63</v>
      </c>
      <c r="O76" s="75">
        <v>55.89</v>
      </c>
      <c r="P76" s="75">
        <v>20.94</v>
      </c>
      <c r="Q76" s="75">
        <v>9.8000000000000007</v>
      </c>
      <c r="R76" s="75">
        <v>0.159</v>
      </c>
      <c r="S76" s="75">
        <v>1.27</v>
      </c>
      <c r="T76" s="75">
        <v>0.08</v>
      </c>
      <c r="U76" s="75">
        <v>0.09</v>
      </c>
      <c r="V76" s="75">
        <v>0.96</v>
      </c>
      <c r="W76" s="75">
        <v>0.71</v>
      </c>
      <c r="X76" s="75">
        <v>0.03</v>
      </c>
      <c r="Y76" s="75">
        <v>9.4</v>
      </c>
      <c r="Z76" s="75">
        <v>99.33</v>
      </c>
      <c r="AA76" s="75">
        <v>30</v>
      </c>
      <c r="AB76" s="75">
        <v>1</v>
      </c>
      <c r="AC76" s="75">
        <v>151</v>
      </c>
      <c r="AD76" s="75">
        <v>20</v>
      </c>
      <c r="AE76" s="75">
        <v>27</v>
      </c>
      <c r="AF76" s="75">
        <v>0</v>
      </c>
      <c r="AG76" s="75">
        <v>60</v>
      </c>
      <c r="AH76" s="75">
        <v>140</v>
      </c>
      <c r="AI76" s="75">
        <v>19</v>
      </c>
      <c r="AJ76" s="75">
        <v>2</v>
      </c>
      <c r="AK76" s="75">
        <v>0</v>
      </c>
      <c r="AL76" s="75">
        <v>52</v>
      </c>
      <c r="AM76" s="75">
        <v>4</v>
      </c>
      <c r="AN76" s="75">
        <v>19</v>
      </c>
      <c r="AO76" s="75">
        <v>160</v>
      </c>
      <c r="AP76" s="75">
        <v>3</v>
      </c>
      <c r="AQ76" s="75" t="s">
        <v>72</v>
      </c>
      <c r="AR76" s="75" t="s">
        <v>74</v>
      </c>
      <c r="AS76" s="75" t="s">
        <v>73</v>
      </c>
      <c r="AT76" s="75">
        <v>0</v>
      </c>
      <c r="AU76" s="75" t="s">
        <v>74</v>
      </c>
      <c r="AV76" s="75">
        <v>2.2999999999999998</v>
      </c>
      <c r="AW76" s="75">
        <v>262</v>
      </c>
      <c r="AX76" s="75" t="s">
        <v>75</v>
      </c>
      <c r="AY76" s="75">
        <v>22</v>
      </c>
      <c r="AZ76" s="75">
        <v>26.7</v>
      </c>
      <c r="BA76" s="75">
        <v>5.54</v>
      </c>
      <c r="BB76" s="75">
        <v>21.7</v>
      </c>
      <c r="BC76" s="75">
        <v>4.8</v>
      </c>
      <c r="BD76" s="75">
        <v>1.36</v>
      </c>
      <c r="BE76" s="75">
        <v>4.4000000000000004</v>
      </c>
      <c r="BF76" s="75">
        <v>0.7</v>
      </c>
      <c r="BG76" s="75">
        <v>3.8</v>
      </c>
      <c r="BH76" s="75">
        <v>0.8</v>
      </c>
      <c r="BI76" s="75">
        <v>2.2999999999999998</v>
      </c>
      <c r="BJ76" s="75">
        <v>0.34</v>
      </c>
      <c r="BK76" s="75">
        <v>2.4</v>
      </c>
      <c r="BL76" s="75">
        <v>0.38</v>
      </c>
      <c r="BM76" s="75">
        <v>3.7</v>
      </c>
      <c r="BN76" s="75">
        <v>0.2</v>
      </c>
      <c r="BO76" s="75">
        <v>0</v>
      </c>
      <c r="BP76" s="75">
        <v>0</v>
      </c>
      <c r="BQ76" s="75">
        <v>42</v>
      </c>
      <c r="BR76" s="75">
        <v>2.5</v>
      </c>
      <c r="BS76" s="75">
        <v>0.6</v>
      </c>
      <c r="BT76" s="76">
        <f t="shared" si="27"/>
        <v>0.54825462012320325</v>
      </c>
      <c r="BU76" s="281">
        <f t="shared" si="28"/>
        <v>97.22</v>
      </c>
      <c r="BV76" s="77">
        <f t="shared" si="29"/>
        <v>650</v>
      </c>
      <c r="BW76" s="78">
        <f t="shared" si="30"/>
        <v>94.879927503398278</v>
      </c>
      <c r="BX76" s="69">
        <f t="shared" si="33"/>
        <v>0.54825462012320325</v>
      </c>
      <c r="BY76" s="76">
        <v>12.97</v>
      </c>
      <c r="BZ76" s="76">
        <v>0</v>
      </c>
      <c r="CA76" s="76">
        <v>39.340000000000003</v>
      </c>
      <c r="CB76" s="76">
        <v>0</v>
      </c>
      <c r="CC76" s="76">
        <v>0</v>
      </c>
      <c r="CD76" s="76">
        <v>0</v>
      </c>
      <c r="CE76" s="76">
        <v>0</v>
      </c>
      <c r="CF76" s="76">
        <v>0</v>
      </c>
      <c r="CG76" s="76">
        <v>0</v>
      </c>
      <c r="CH76" s="76">
        <v>5.01</v>
      </c>
      <c r="CI76" s="76">
        <v>0</v>
      </c>
      <c r="CJ76" s="76">
        <v>0</v>
      </c>
      <c r="CK76" s="76">
        <v>19.05</v>
      </c>
      <c r="CL76" s="76">
        <v>19.25</v>
      </c>
      <c r="CM76" s="76">
        <v>0</v>
      </c>
      <c r="CN76" s="76">
        <v>0</v>
      </c>
      <c r="CO76" s="76">
        <v>0.73</v>
      </c>
      <c r="CP76" s="76">
        <v>3.65</v>
      </c>
      <c r="CQ76" s="76">
        <v>0</v>
      </c>
      <c r="CR76" s="76">
        <v>0</v>
      </c>
      <c r="CS76" s="76">
        <v>0</v>
      </c>
      <c r="CT76" s="76">
        <v>0</v>
      </c>
      <c r="CU76" s="76">
        <v>0</v>
      </c>
      <c r="CV76" s="76">
        <v>0</v>
      </c>
      <c r="CW76" s="76">
        <v>0</v>
      </c>
      <c r="CX76" s="76">
        <v>0</v>
      </c>
      <c r="CY76" s="281">
        <v>100.00000000000001</v>
      </c>
      <c r="CZ76" s="285">
        <v>0.45202803630931859</v>
      </c>
      <c r="DA76" s="285">
        <v>0</v>
      </c>
      <c r="DB76" s="285">
        <v>0</v>
      </c>
      <c r="DC76" s="285">
        <v>0</v>
      </c>
      <c r="DD76" s="285">
        <v>0</v>
      </c>
      <c r="DE76" s="285">
        <v>0</v>
      </c>
      <c r="DF76" s="285">
        <v>0</v>
      </c>
      <c r="DG76" s="285">
        <v>5.7566356428817633E-2</v>
      </c>
      <c r="DH76" s="285">
        <v>0</v>
      </c>
      <c r="DI76" s="285">
        <v>0</v>
      </c>
      <c r="DJ76" s="285">
        <v>0.2188900379179593</v>
      </c>
      <c r="DK76" s="285">
        <v>0.22118809605883025</v>
      </c>
      <c r="DL76" s="285">
        <v>0</v>
      </c>
      <c r="DM76" s="285">
        <v>0</v>
      </c>
      <c r="DN76" s="285">
        <v>8.3879122141790174E-3</v>
      </c>
      <c r="DO76" s="285">
        <v>4.1939561070895089E-2</v>
      </c>
      <c r="DP76" s="285">
        <v>0</v>
      </c>
      <c r="DQ76" s="285">
        <v>0</v>
      </c>
      <c r="DR76" s="285">
        <v>0</v>
      </c>
      <c r="DS76" s="285">
        <v>0</v>
      </c>
      <c r="DT76" s="285">
        <v>0</v>
      </c>
      <c r="DU76" s="285">
        <v>0</v>
      </c>
      <c r="DV76" s="285">
        <v>0</v>
      </c>
      <c r="DW76" s="285">
        <v>0</v>
      </c>
      <c r="DX76" s="76">
        <v>1</v>
      </c>
      <c r="DY76" s="78">
        <v>68.145785868389922</v>
      </c>
      <c r="DZ76" s="78">
        <v>18.735982183231759</v>
      </c>
      <c r="EA76" s="78">
        <v>5.1491850282283123</v>
      </c>
      <c r="EB76" s="78">
        <v>0.31874591804666386</v>
      </c>
      <c r="EC76" s="78">
        <v>0</v>
      </c>
      <c r="ED76" s="78">
        <v>0.15070392169728744</v>
      </c>
      <c r="EE76" s="78">
        <v>1.1556166908637149E-3</v>
      </c>
      <c r="EF76" s="78">
        <v>0</v>
      </c>
      <c r="EG76" s="78">
        <v>0.53262142250534583</v>
      </c>
      <c r="EH76" s="78">
        <v>1.8111764142803216E-2</v>
      </c>
      <c r="EI76" s="78">
        <v>0</v>
      </c>
      <c r="EJ76" s="78">
        <v>6.9477082770670471</v>
      </c>
      <c r="EK76" s="78">
        <v>0</v>
      </c>
      <c r="EL76" s="78">
        <v>99.999999999999986</v>
      </c>
      <c r="EM76" s="76">
        <v>97.229975564121474</v>
      </c>
      <c r="EN76" s="76" t="s">
        <v>161</v>
      </c>
      <c r="EO76" s="289">
        <v>5.4966180788991757E-2</v>
      </c>
      <c r="EP76" s="257">
        <f t="shared" si="34"/>
        <v>5.4966180788991759</v>
      </c>
      <c r="EQ76" s="257">
        <f t="shared" si="35"/>
        <v>90.815684629901455</v>
      </c>
      <c r="ER76" s="324">
        <f t="shared" si="36"/>
        <v>5.8976582827406775E-2</v>
      </c>
      <c r="ES76" s="257">
        <f t="shared" si="31"/>
        <v>0.54825462012320325</v>
      </c>
      <c r="ET76">
        <f t="shared" si="32"/>
        <v>650</v>
      </c>
      <c r="EU76" s="324">
        <f t="shared" si="37"/>
        <v>0.10757151998856593</v>
      </c>
      <c r="EV76" s="39">
        <f t="shared" si="38"/>
        <v>154.5</v>
      </c>
      <c r="EW76"/>
      <c r="EX76">
        <f t="shared" si="39"/>
        <v>23.75</v>
      </c>
      <c r="EY76"/>
      <c r="EZ76"/>
      <c r="FA76"/>
      <c r="FB76"/>
      <c r="FC76"/>
      <c r="FD76"/>
    </row>
    <row r="77" spans="1:160" s="77" customFormat="1" ht="13" customHeight="1" x14ac:dyDescent="0.2">
      <c r="A77" s="72" t="s">
        <v>162</v>
      </c>
      <c r="B77" s="73" t="s">
        <v>461</v>
      </c>
      <c r="C77" s="276">
        <f t="shared" si="25"/>
        <v>153.5</v>
      </c>
      <c r="D77" s="74">
        <v>700</v>
      </c>
      <c r="E77" s="74">
        <v>800</v>
      </c>
      <c r="F77" s="75">
        <f t="shared" si="26"/>
        <v>750</v>
      </c>
      <c r="G77" s="73" t="s">
        <v>513</v>
      </c>
      <c r="H77" s="84">
        <v>7.5</v>
      </c>
      <c r="I77" s="85">
        <v>4</v>
      </c>
      <c r="J77" s="85">
        <v>6</v>
      </c>
      <c r="K77" s="89">
        <f t="shared" si="21"/>
        <v>5</v>
      </c>
      <c r="L77" s="75">
        <v>132</v>
      </c>
      <c r="M77" s="75">
        <v>86</v>
      </c>
      <c r="N77" s="75">
        <v>40</v>
      </c>
      <c r="O77" s="75">
        <v>51.7</v>
      </c>
      <c r="P77" s="75">
        <v>18.829999999999998</v>
      </c>
      <c r="Q77" s="75">
        <v>14.8</v>
      </c>
      <c r="R77" s="75">
        <v>0.27500000000000002</v>
      </c>
      <c r="S77" s="75">
        <v>2.42</v>
      </c>
      <c r="T77" s="75">
        <v>0.63</v>
      </c>
      <c r="U77" s="75">
        <v>0.12</v>
      </c>
      <c r="V77" s="75">
        <v>1.42</v>
      </c>
      <c r="W77" s="75">
        <v>1.0640000000000001</v>
      </c>
      <c r="X77" s="75">
        <v>0.06</v>
      </c>
      <c r="Y77" s="75">
        <v>9.19</v>
      </c>
      <c r="Z77" s="75">
        <v>100.5</v>
      </c>
      <c r="AA77" s="75">
        <v>47</v>
      </c>
      <c r="AB77" s="75">
        <v>2</v>
      </c>
      <c r="AC77" s="75">
        <v>258</v>
      </c>
      <c r="AD77" s="75">
        <v>40</v>
      </c>
      <c r="AE77" s="75">
        <v>40</v>
      </c>
      <c r="AF77" s="75">
        <v>20</v>
      </c>
      <c r="AG77" s="75">
        <v>80</v>
      </c>
      <c r="AH77" s="75">
        <v>210</v>
      </c>
      <c r="AI77" s="75">
        <v>20</v>
      </c>
      <c r="AJ77" s="75">
        <v>2</v>
      </c>
      <c r="AK77" s="75">
        <v>0</v>
      </c>
      <c r="AL77" s="75">
        <v>75</v>
      </c>
      <c r="AM77" s="75">
        <v>9</v>
      </c>
      <c r="AN77" s="75">
        <v>36</v>
      </c>
      <c r="AO77" s="75">
        <v>155</v>
      </c>
      <c r="AP77" s="75">
        <v>4</v>
      </c>
      <c r="AQ77" s="75" t="s">
        <v>72</v>
      </c>
      <c r="AR77" s="75" t="s">
        <v>74</v>
      </c>
      <c r="AS77" s="75" t="s">
        <v>73</v>
      </c>
      <c r="AT77" s="75">
        <v>1</v>
      </c>
      <c r="AU77" s="75" t="s">
        <v>74</v>
      </c>
      <c r="AV77" s="75">
        <v>3.3</v>
      </c>
      <c r="AW77" s="75">
        <v>400</v>
      </c>
      <c r="AX77" s="75" t="s">
        <v>75</v>
      </c>
      <c r="AY77" s="75">
        <v>29.4</v>
      </c>
      <c r="AZ77" s="75">
        <v>34.6</v>
      </c>
      <c r="BA77" s="75">
        <v>7.32</v>
      </c>
      <c r="BB77" s="75">
        <v>28.9</v>
      </c>
      <c r="BC77" s="75">
        <v>6.9</v>
      </c>
      <c r="BD77" s="75">
        <v>2.14</v>
      </c>
      <c r="BE77" s="75">
        <v>7.7</v>
      </c>
      <c r="BF77" s="75">
        <v>1.2</v>
      </c>
      <c r="BG77" s="75">
        <v>7.2</v>
      </c>
      <c r="BH77" s="75">
        <v>1.5</v>
      </c>
      <c r="BI77" s="75">
        <v>4.3</v>
      </c>
      <c r="BJ77" s="75">
        <v>0.62</v>
      </c>
      <c r="BK77" s="75">
        <v>4.2</v>
      </c>
      <c r="BL77" s="75">
        <v>0.64</v>
      </c>
      <c r="BM77" s="75">
        <v>3.9</v>
      </c>
      <c r="BN77" s="75">
        <v>0.2</v>
      </c>
      <c r="BO77" s="75">
        <v>0</v>
      </c>
      <c r="BP77" s="75">
        <v>0</v>
      </c>
      <c r="BQ77" s="75">
        <v>10</v>
      </c>
      <c r="BR77" s="75">
        <v>2.4</v>
      </c>
      <c r="BS77" s="75">
        <v>0.7</v>
      </c>
      <c r="BT77" s="76">
        <f t="shared" si="27"/>
        <v>0.54062500000000002</v>
      </c>
      <c r="BU77" s="281">
        <f t="shared" si="28"/>
        <v>136.62</v>
      </c>
      <c r="BV77" s="77">
        <f t="shared" si="29"/>
        <v>750</v>
      </c>
      <c r="BW77" s="78">
        <f t="shared" si="30"/>
        <v>89.666666666666657</v>
      </c>
      <c r="BX77" s="69">
        <f t="shared" si="33"/>
        <v>0.54062500000000002</v>
      </c>
      <c r="BY77" s="76">
        <v>10.5</v>
      </c>
      <c r="BZ77" s="76">
        <v>0</v>
      </c>
      <c r="CA77" s="76">
        <v>28.96</v>
      </c>
      <c r="CB77" s="76">
        <v>0</v>
      </c>
      <c r="CC77" s="76">
        <v>0</v>
      </c>
      <c r="CD77" s="76">
        <v>0</v>
      </c>
      <c r="CE77" s="76">
        <v>0</v>
      </c>
      <c r="CF77" s="76">
        <v>7.54</v>
      </c>
      <c r="CG77" s="76">
        <v>0</v>
      </c>
      <c r="CH77" s="76">
        <v>7.9</v>
      </c>
      <c r="CI77" s="76">
        <v>0</v>
      </c>
      <c r="CJ77" s="76">
        <v>0</v>
      </c>
      <c r="CK77" s="76">
        <v>20.010000000000002</v>
      </c>
      <c r="CL77" s="76">
        <v>20.23</v>
      </c>
      <c r="CM77" s="76">
        <v>0</v>
      </c>
      <c r="CN77" s="76">
        <v>0</v>
      </c>
      <c r="CO77" s="76">
        <v>0.45</v>
      </c>
      <c r="CP77" s="76">
        <v>3.78</v>
      </c>
      <c r="CQ77" s="76">
        <v>0.02</v>
      </c>
      <c r="CR77" s="76">
        <v>0.6</v>
      </c>
      <c r="CS77" s="76">
        <v>0</v>
      </c>
      <c r="CT77" s="76">
        <v>0</v>
      </c>
      <c r="CU77" s="76">
        <v>0</v>
      </c>
      <c r="CV77" s="76">
        <v>0</v>
      </c>
      <c r="CW77" s="76">
        <v>0</v>
      </c>
      <c r="CX77" s="76">
        <v>0</v>
      </c>
      <c r="CY77" s="281">
        <v>99.99</v>
      </c>
      <c r="CZ77" s="285">
        <v>0.32361157671248186</v>
      </c>
      <c r="DA77" s="285">
        <v>0</v>
      </c>
      <c r="DB77" s="285">
        <v>0</v>
      </c>
      <c r="DC77" s="285">
        <v>0</v>
      </c>
      <c r="DD77" s="285">
        <v>0</v>
      </c>
      <c r="DE77" s="285">
        <v>8.4255224047379604E-2</v>
      </c>
      <c r="DF77" s="285">
        <v>0</v>
      </c>
      <c r="DG77" s="285">
        <v>8.8278019890490569E-2</v>
      </c>
      <c r="DH77" s="285">
        <v>0</v>
      </c>
      <c r="DI77" s="285">
        <v>0</v>
      </c>
      <c r="DJ77" s="285">
        <v>0.22360040227958433</v>
      </c>
      <c r="DK77" s="285">
        <v>0.22605877751704104</v>
      </c>
      <c r="DL77" s="285">
        <v>0</v>
      </c>
      <c r="DM77" s="285">
        <v>0</v>
      </c>
      <c r="DN77" s="285">
        <v>5.0284948038887027E-3</v>
      </c>
      <c r="DO77" s="285">
        <v>4.2239356352665104E-2</v>
      </c>
      <c r="DP77" s="285">
        <v>2.2348865795060902E-4</v>
      </c>
      <c r="DQ77" s="285">
        <v>6.7046597385182699E-3</v>
      </c>
      <c r="DR77" s="285">
        <v>0</v>
      </c>
      <c r="DS77" s="285">
        <v>0</v>
      </c>
      <c r="DT77" s="285">
        <v>0</v>
      </c>
      <c r="DU77" s="285">
        <v>0</v>
      </c>
      <c r="DV77" s="285">
        <v>0</v>
      </c>
      <c r="DW77" s="285">
        <v>0</v>
      </c>
      <c r="DX77" s="76">
        <v>1</v>
      </c>
      <c r="DY77" s="78">
        <v>60.162757223618911</v>
      </c>
      <c r="DZ77" s="78">
        <v>20.158107059911163</v>
      </c>
      <c r="EA77" s="78">
        <v>7.7251781789726106</v>
      </c>
      <c r="EB77" s="78">
        <v>1.7524406340238976</v>
      </c>
      <c r="EC77" s="78">
        <v>0</v>
      </c>
      <c r="ED77" s="78">
        <v>0.95593585672795001</v>
      </c>
      <c r="EE77" s="78">
        <v>1.1423835629082713</v>
      </c>
      <c r="EF77" s="78">
        <v>0</v>
      </c>
      <c r="EG77" s="78">
        <v>0.51873060446146468</v>
      </c>
      <c r="EH77" s="78">
        <v>1.1248149943112507E-2</v>
      </c>
      <c r="EI77" s="78">
        <v>0</v>
      </c>
      <c r="EJ77" s="78">
        <v>7.5732187294326261</v>
      </c>
      <c r="EK77" s="78">
        <v>0</v>
      </c>
      <c r="EL77" s="78">
        <v>100</v>
      </c>
      <c r="EM77" s="76">
        <v>92.38692275005296</v>
      </c>
      <c r="EN77" s="76" t="s">
        <v>162</v>
      </c>
      <c r="EO77" s="289">
        <v>9.6353384700586589E-2</v>
      </c>
      <c r="EP77" s="257">
        <f t="shared" si="34"/>
        <v>9.6353384700586595</v>
      </c>
      <c r="EQ77" s="257">
        <f t="shared" si="35"/>
        <v>80.360420490572324</v>
      </c>
      <c r="ER77" s="324">
        <f t="shared" si="36"/>
        <v>6.894329896907217E-2</v>
      </c>
      <c r="ES77" s="257">
        <f t="shared" si="31"/>
        <v>0.54062500000000002</v>
      </c>
      <c r="ET77">
        <f t="shared" si="32"/>
        <v>750</v>
      </c>
      <c r="EU77" s="324">
        <f t="shared" si="37"/>
        <v>0.12752517728383292</v>
      </c>
      <c r="EV77" s="39">
        <f t="shared" si="38"/>
        <v>153.5</v>
      </c>
      <c r="EW77"/>
      <c r="EX77">
        <f t="shared" si="39"/>
        <v>24</v>
      </c>
      <c r="EY77"/>
      <c r="EZ77"/>
      <c r="FA77"/>
      <c r="FB77"/>
      <c r="FC77"/>
      <c r="FD77"/>
    </row>
    <row r="78" spans="1:160" s="77" customFormat="1" ht="13" customHeight="1" x14ac:dyDescent="0.2">
      <c r="A78" s="72" t="s">
        <v>163</v>
      </c>
      <c r="B78" s="73" t="s">
        <v>462</v>
      </c>
      <c r="C78" s="276">
        <f>166.6-F78/100</f>
        <v>166.55500000000001</v>
      </c>
      <c r="D78" s="74">
        <v>0</v>
      </c>
      <c r="E78" s="74">
        <v>9</v>
      </c>
      <c r="F78" s="75">
        <f t="shared" si="26"/>
        <v>4.5</v>
      </c>
      <c r="G78" s="73" t="s">
        <v>526</v>
      </c>
      <c r="H78" s="84">
        <v>7.5</v>
      </c>
      <c r="I78" s="85">
        <v>3</v>
      </c>
      <c r="J78" s="85">
        <v>4</v>
      </c>
      <c r="K78" s="89">
        <f t="shared" si="21"/>
        <v>5.625</v>
      </c>
      <c r="L78" s="75">
        <v>96</v>
      </c>
      <c r="M78" s="75">
        <v>65</v>
      </c>
      <c r="N78" s="75">
        <v>38</v>
      </c>
      <c r="O78" s="75">
        <v>75.78</v>
      </c>
      <c r="P78" s="75">
        <v>9.41</v>
      </c>
      <c r="Q78" s="75">
        <v>3.2</v>
      </c>
      <c r="R78" s="75">
        <v>0.26900000000000002</v>
      </c>
      <c r="S78" s="75">
        <v>0.18</v>
      </c>
      <c r="T78" s="75">
        <v>0.17</v>
      </c>
      <c r="U78" s="75">
        <v>0.19</v>
      </c>
      <c r="V78" s="75">
        <v>1.31</v>
      </c>
      <c r="W78" s="75">
        <v>0.69099999999999995</v>
      </c>
      <c r="X78" s="75">
        <v>0.06</v>
      </c>
      <c r="Y78" s="75">
        <v>7.7</v>
      </c>
      <c r="Z78" s="75">
        <v>98.97</v>
      </c>
      <c r="AA78" s="75">
        <v>8</v>
      </c>
      <c r="AB78" s="75">
        <v>1</v>
      </c>
      <c r="AC78" s="75">
        <v>58</v>
      </c>
      <c r="AD78" s="75">
        <v>30</v>
      </c>
      <c r="AE78" s="75">
        <v>27</v>
      </c>
      <c r="AF78" s="75">
        <v>0</v>
      </c>
      <c r="AG78" s="75">
        <v>20</v>
      </c>
      <c r="AH78" s="75">
        <v>40</v>
      </c>
      <c r="AI78" s="75">
        <v>10</v>
      </c>
      <c r="AJ78" s="75">
        <v>0</v>
      </c>
      <c r="AK78" s="75">
        <v>0</v>
      </c>
      <c r="AL78" s="75">
        <v>57</v>
      </c>
      <c r="AM78" s="75">
        <v>60</v>
      </c>
      <c r="AN78" s="75">
        <v>42</v>
      </c>
      <c r="AO78" s="75">
        <v>343</v>
      </c>
      <c r="AP78" s="75">
        <v>5</v>
      </c>
      <c r="AQ78" s="75" t="s">
        <v>72</v>
      </c>
      <c r="AR78" s="75" t="s">
        <v>74</v>
      </c>
      <c r="AS78" s="75" t="s">
        <v>73</v>
      </c>
      <c r="AT78" s="75">
        <v>0</v>
      </c>
      <c r="AU78" s="75" t="s">
        <v>74</v>
      </c>
      <c r="AV78" s="75">
        <v>2.4</v>
      </c>
      <c r="AW78" s="75">
        <v>595</v>
      </c>
      <c r="AX78" s="75" t="s">
        <v>75</v>
      </c>
      <c r="AY78" s="75">
        <v>54.9</v>
      </c>
      <c r="AZ78" s="75">
        <v>172</v>
      </c>
      <c r="BA78" s="75">
        <v>14.9</v>
      </c>
      <c r="BB78" s="75">
        <v>56.7</v>
      </c>
      <c r="BC78" s="75">
        <v>11.5</v>
      </c>
      <c r="BD78" s="75">
        <v>3.04</v>
      </c>
      <c r="BE78" s="75">
        <v>9.9</v>
      </c>
      <c r="BF78" s="75">
        <v>1.6</v>
      </c>
      <c r="BG78" s="75">
        <v>9.5</v>
      </c>
      <c r="BH78" s="75">
        <v>1.9</v>
      </c>
      <c r="BI78" s="75">
        <v>5.3</v>
      </c>
      <c r="BJ78" s="75">
        <v>0.8</v>
      </c>
      <c r="BK78" s="75">
        <v>5.5</v>
      </c>
      <c r="BL78" s="75">
        <v>0.84</v>
      </c>
      <c r="BM78" s="75">
        <v>6.9</v>
      </c>
      <c r="BN78" s="75">
        <v>0.5</v>
      </c>
      <c r="BO78" s="75">
        <v>0</v>
      </c>
      <c r="BP78" s="75">
        <v>0.2</v>
      </c>
      <c r="BQ78" s="75">
        <v>65</v>
      </c>
      <c r="BR78" s="75">
        <v>5.7</v>
      </c>
      <c r="BS78" s="75">
        <v>2.4</v>
      </c>
      <c r="BT78" s="76">
        <f t="shared" si="27"/>
        <v>0.75804319083296601</v>
      </c>
      <c r="BU78" s="281">
        <f t="shared" si="28"/>
        <v>348.38</v>
      </c>
      <c r="BV78" s="77">
        <f t="shared" si="29"/>
        <v>4.5</v>
      </c>
      <c r="BW78" s="78">
        <f t="shared" si="30"/>
        <v>84.927797833935017</v>
      </c>
      <c r="BX78" s="69">
        <f t="shared" si="33"/>
        <v>0.75804319083296601</v>
      </c>
      <c r="BY78" s="76">
        <v>8.82</v>
      </c>
      <c r="BZ78" s="76">
        <v>1.27</v>
      </c>
      <c r="CA78" s="76">
        <v>52.92</v>
      </c>
      <c r="CB78" s="76">
        <v>3.91</v>
      </c>
      <c r="CC78" s="76">
        <v>0.34</v>
      </c>
      <c r="CD78" s="76">
        <v>0</v>
      </c>
      <c r="CE78" s="76">
        <v>0</v>
      </c>
      <c r="CF78" s="76">
        <v>0</v>
      </c>
      <c r="CG78" s="76">
        <v>0</v>
      </c>
      <c r="CH78" s="76">
        <v>0</v>
      </c>
      <c r="CI78" s="76">
        <v>0</v>
      </c>
      <c r="CJ78" s="76">
        <v>0</v>
      </c>
      <c r="CK78" s="76">
        <v>14.09</v>
      </c>
      <c r="CL78" s="76">
        <v>14.2</v>
      </c>
      <c r="CM78" s="76">
        <v>1.39</v>
      </c>
      <c r="CN78" s="76">
        <v>0</v>
      </c>
      <c r="CO78" s="76">
        <v>0.3</v>
      </c>
      <c r="CP78" s="76">
        <v>2.75</v>
      </c>
      <c r="CQ78" s="76">
        <v>0</v>
      </c>
      <c r="CR78" s="76">
        <v>0</v>
      </c>
      <c r="CS78" s="76">
        <v>0</v>
      </c>
      <c r="CT78" s="76">
        <v>0</v>
      </c>
      <c r="CU78" s="76">
        <v>0</v>
      </c>
      <c r="CV78" s="76">
        <v>0</v>
      </c>
      <c r="CW78" s="76">
        <v>0</v>
      </c>
      <c r="CX78" s="76">
        <v>0</v>
      </c>
      <c r="CY78" s="281">
        <v>99.990000000000009</v>
      </c>
      <c r="CZ78" s="285">
        <v>0.58865406006674081</v>
      </c>
      <c r="DA78" s="285">
        <v>4.3492769744160178E-2</v>
      </c>
      <c r="DB78" s="285">
        <v>3.7819799777530591E-3</v>
      </c>
      <c r="DC78" s="285">
        <v>0</v>
      </c>
      <c r="DD78" s="285">
        <v>0</v>
      </c>
      <c r="DE78" s="285">
        <v>0</v>
      </c>
      <c r="DF78" s="285">
        <v>0</v>
      </c>
      <c r="DG78" s="285">
        <v>0</v>
      </c>
      <c r="DH78" s="285">
        <v>0</v>
      </c>
      <c r="DI78" s="285">
        <v>0</v>
      </c>
      <c r="DJ78" s="285">
        <v>0.15672969966629588</v>
      </c>
      <c r="DK78" s="285">
        <v>0.15795328142380421</v>
      </c>
      <c r="DL78" s="285">
        <v>1.5461624026696328E-2</v>
      </c>
      <c r="DM78" s="285">
        <v>0</v>
      </c>
      <c r="DN78" s="285">
        <v>3.3370411568409341E-3</v>
      </c>
      <c r="DO78" s="285">
        <v>3.0589543937708564E-2</v>
      </c>
      <c r="DP78" s="285">
        <v>0</v>
      </c>
      <c r="DQ78" s="285">
        <v>0</v>
      </c>
      <c r="DR78" s="285">
        <v>0</v>
      </c>
      <c r="DS78" s="285">
        <v>0</v>
      </c>
      <c r="DT78" s="285">
        <v>0</v>
      </c>
      <c r="DU78" s="285">
        <v>0</v>
      </c>
      <c r="DV78" s="285">
        <v>0</v>
      </c>
      <c r="DW78" s="285">
        <v>0</v>
      </c>
      <c r="DX78" s="76">
        <v>1</v>
      </c>
      <c r="DY78" s="78">
        <v>78.882229508171491</v>
      </c>
      <c r="DZ78" s="78">
        <v>14.577701371104792</v>
      </c>
      <c r="EA78" s="78">
        <v>0.30158218029835437</v>
      </c>
      <c r="EB78" s="78">
        <v>0.18921322351253159</v>
      </c>
      <c r="EC78" s="78">
        <v>0</v>
      </c>
      <c r="ED78" s="78">
        <v>0.11993768573347484</v>
      </c>
      <c r="EE78" s="78">
        <v>1.461807237088128E-2</v>
      </c>
      <c r="EF78" s="78">
        <v>4.4711997676941707E-2</v>
      </c>
      <c r="EG78" s="78">
        <v>1.1703983420329207</v>
      </c>
      <c r="EH78" s="78">
        <v>7.2055716397892537E-3</v>
      </c>
      <c r="EI78" s="78">
        <v>0</v>
      </c>
      <c r="EJ78" s="78">
        <v>4.6924020474588293</v>
      </c>
      <c r="EK78" s="78">
        <v>0</v>
      </c>
      <c r="EL78" s="78">
        <v>100</v>
      </c>
      <c r="EM78" s="76">
        <v>92.220566980542188</v>
      </c>
      <c r="EN78" s="76" t="s">
        <v>163</v>
      </c>
      <c r="EO78" s="289">
        <v>5.0782459392701386E-3</v>
      </c>
      <c r="EP78" s="257">
        <f t="shared" si="34"/>
        <v>0.50782459392701385</v>
      </c>
      <c r="EQ78" s="257">
        <f t="shared" si="35"/>
        <v>79.488620398988459</v>
      </c>
      <c r="ER78" s="324">
        <f t="shared" si="36"/>
        <v>5.0887177770338132E-2</v>
      </c>
      <c r="ES78" s="257">
        <f t="shared" si="31"/>
        <v>0.75804319083296601</v>
      </c>
      <c r="ET78">
        <f t="shared" si="32"/>
        <v>4.5</v>
      </c>
      <c r="EU78" s="324">
        <f t="shared" si="37"/>
        <v>6.7129654860986765E-2</v>
      </c>
      <c r="EV78" s="39">
        <f t="shared" si="38"/>
        <v>166.55500000000001</v>
      </c>
      <c r="EW78"/>
      <c r="EX78">
        <f t="shared" si="39"/>
        <v>22.105263157894736</v>
      </c>
      <c r="EY78"/>
      <c r="EZ78"/>
      <c r="FA78"/>
      <c r="FB78"/>
      <c r="FC78"/>
      <c r="FD78"/>
    </row>
    <row r="79" spans="1:160" s="77" customFormat="1" ht="13" customHeight="1" x14ac:dyDescent="0.2">
      <c r="A79" s="72" t="s">
        <v>164</v>
      </c>
      <c r="B79" s="73" t="s">
        <v>462</v>
      </c>
      <c r="C79" s="276">
        <f t="shared" ref="C79:C84" si="40">166.6-F79/100</f>
        <v>166.45</v>
      </c>
      <c r="D79" s="74">
        <v>9</v>
      </c>
      <c r="E79" s="74">
        <v>21</v>
      </c>
      <c r="F79" s="75">
        <f t="shared" si="26"/>
        <v>15</v>
      </c>
      <c r="G79" s="73" t="s">
        <v>514</v>
      </c>
      <c r="H79" s="84">
        <v>7.5</v>
      </c>
      <c r="I79" s="85">
        <v>4</v>
      </c>
      <c r="J79" s="85">
        <v>4</v>
      </c>
      <c r="K79" s="89">
        <f t="shared" si="21"/>
        <v>7.5</v>
      </c>
      <c r="L79" s="75">
        <v>124</v>
      </c>
      <c r="M79" s="75">
        <v>89</v>
      </c>
      <c r="N79" s="75">
        <v>58</v>
      </c>
      <c r="O79" s="75">
        <v>75.47</v>
      </c>
      <c r="P79" s="75">
        <v>10.89</v>
      </c>
      <c r="Q79" s="75">
        <v>3.87</v>
      </c>
      <c r="R79" s="75">
        <v>0.30199999999999999</v>
      </c>
      <c r="S79" s="75">
        <v>0.17</v>
      </c>
      <c r="T79" s="75">
        <v>7.0000000000000007E-2</v>
      </c>
      <c r="U79" s="75">
        <v>0.14000000000000001</v>
      </c>
      <c r="V79" s="75">
        <v>1.38</v>
      </c>
      <c r="W79" s="75">
        <v>0.74299999999999999</v>
      </c>
      <c r="X79" s="75">
        <v>0.05</v>
      </c>
      <c r="Y79" s="75">
        <v>6.09</v>
      </c>
      <c r="Z79" s="75">
        <v>99.18</v>
      </c>
      <c r="AA79" s="75">
        <v>9</v>
      </c>
      <c r="AB79" s="75">
        <v>1</v>
      </c>
      <c r="AC79" s="75">
        <v>69</v>
      </c>
      <c r="AD79" s="75">
        <v>30</v>
      </c>
      <c r="AE79" s="75">
        <v>30</v>
      </c>
      <c r="AF79" s="75">
        <v>0</v>
      </c>
      <c r="AG79" s="75">
        <v>30</v>
      </c>
      <c r="AH79" s="75">
        <v>40</v>
      </c>
      <c r="AI79" s="75">
        <v>11</v>
      </c>
      <c r="AJ79" s="75">
        <v>0</v>
      </c>
      <c r="AK79" s="75">
        <v>0</v>
      </c>
      <c r="AL79" s="75">
        <v>65</v>
      </c>
      <c r="AM79" s="75">
        <v>62</v>
      </c>
      <c r="AN79" s="75">
        <v>54</v>
      </c>
      <c r="AO79" s="75">
        <v>396</v>
      </c>
      <c r="AP79" s="75">
        <v>7</v>
      </c>
      <c r="AQ79" s="75" t="s">
        <v>72</v>
      </c>
      <c r="AR79" s="75">
        <v>0.8</v>
      </c>
      <c r="AS79" s="75" t="s">
        <v>73</v>
      </c>
      <c r="AT79" s="75">
        <v>0</v>
      </c>
      <c r="AU79" s="75" t="s">
        <v>74</v>
      </c>
      <c r="AV79" s="75">
        <v>2.8</v>
      </c>
      <c r="AW79" s="75">
        <v>637</v>
      </c>
      <c r="AX79" s="75" t="s">
        <v>75</v>
      </c>
      <c r="AY79" s="75">
        <v>65.099999999999994</v>
      </c>
      <c r="AZ79" s="75">
        <v>199</v>
      </c>
      <c r="BA79" s="75">
        <v>17.899999999999999</v>
      </c>
      <c r="BB79" s="75">
        <v>68.599999999999994</v>
      </c>
      <c r="BC79" s="75">
        <v>13.9</v>
      </c>
      <c r="BD79" s="75">
        <v>3.85</v>
      </c>
      <c r="BE79" s="75">
        <v>12.1</v>
      </c>
      <c r="BF79" s="75">
        <v>1.9</v>
      </c>
      <c r="BG79" s="75">
        <v>11.5</v>
      </c>
      <c r="BH79" s="75">
        <v>2.2999999999999998</v>
      </c>
      <c r="BI79" s="75">
        <v>6.7</v>
      </c>
      <c r="BJ79" s="75">
        <v>0.97</v>
      </c>
      <c r="BK79" s="75">
        <v>6.6</v>
      </c>
      <c r="BL79" s="75">
        <v>1.03</v>
      </c>
      <c r="BM79" s="75">
        <v>9.1</v>
      </c>
      <c r="BN79" s="75">
        <v>0.5</v>
      </c>
      <c r="BO79" s="75">
        <v>0</v>
      </c>
      <c r="BP79" s="75">
        <v>0.2</v>
      </c>
      <c r="BQ79" s="75">
        <v>27</v>
      </c>
      <c r="BR79" s="75">
        <v>6.6</v>
      </c>
      <c r="BS79" s="75">
        <v>2.8</v>
      </c>
      <c r="BT79" s="76">
        <f t="shared" si="27"/>
        <v>0.75350246118894348</v>
      </c>
      <c r="BU79" s="281">
        <f t="shared" si="28"/>
        <v>411.45000000000005</v>
      </c>
      <c r="BV79" s="77">
        <f t="shared" si="29"/>
        <v>15</v>
      </c>
      <c r="BW79" s="78">
        <f t="shared" si="30"/>
        <v>87.259615384615387</v>
      </c>
      <c r="BX79" s="69">
        <f t="shared" si="33"/>
        <v>0.75350246118894348</v>
      </c>
      <c r="BY79" s="76">
        <v>7.89</v>
      </c>
      <c r="BZ79" s="76">
        <v>0.22</v>
      </c>
      <c r="CA79" s="76">
        <v>48.67</v>
      </c>
      <c r="CB79" s="76">
        <v>6.9368000000000007</v>
      </c>
      <c r="CC79" s="76">
        <v>0.60320000000000007</v>
      </c>
      <c r="CD79" s="76">
        <v>0</v>
      </c>
      <c r="CE79" s="76">
        <v>0</v>
      </c>
      <c r="CF79" s="76">
        <v>0</v>
      </c>
      <c r="CG79" s="76">
        <v>0</v>
      </c>
      <c r="CH79" s="76">
        <v>0</v>
      </c>
      <c r="CI79" s="76">
        <v>4.16</v>
      </c>
      <c r="CJ79" s="76">
        <v>0</v>
      </c>
      <c r="CK79" s="76">
        <v>13.92</v>
      </c>
      <c r="CL79" s="76">
        <v>14.03</v>
      </c>
      <c r="CM79" s="76">
        <v>1.86</v>
      </c>
      <c r="CN79" s="76">
        <v>0</v>
      </c>
      <c r="CO79" s="76">
        <v>0</v>
      </c>
      <c r="CP79" s="76">
        <v>1.71</v>
      </c>
      <c r="CQ79" s="76">
        <v>0</v>
      </c>
      <c r="CR79" s="76">
        <v>0</v>
      </c>
      <c r="CS79" s="76">
        <v>0</v>
      </c>
      <c r="CT79" s="76">
        <v>0</v>
      </c>
      <c r="CU79" s="76">
        <v>0</v>
      </c>
      <c r="CV79" s="76">
        <v>0</v>
      </c>
      <c r="CW79" s="76">
        <v>0</v>
      </c>
      <c r="CX79" s="76">
        <v>0</v>
      </c>
      <c r="CY79" s="281">
        <v>99.999999999999986</v>
      </c>
      <c r="CZ79" s="285">
        <v>0.52965502230928285</v>
      </c>
      <c r="DA79" s="285">
        <v>7.5490260093590167E-2</v>
      </c>
      <c r="DB79" s="285">
        <v>6.5643704429208848E-3</v>
      </c>
      <c r="DC79" s="285">
        <v>0</v>
      </c>
      <c r="DD79" s="285">
        <v>0</v>
      </c>
      <c r="DE79" s="285">
        <v>0</v>
      </c>
      <c r="DF79" s="285">
        <v>0</v>
      </c>
      <c r="DG79" s="285">
        <v>0</v>
      </c>
      <c r="DH79" s="285">
        <v>4.5271520296006097E-2</v>
      </c>
      <c r="DI79" s="285">
        <v>0</v>
      </c>
      <c r="DJ79" s="285">
        <v>0.15148547175971269</v>
      </c>
      <c r="DK79" s="285">
        <v>0.15268255522907823</v>
      </c>
      <c r="DL79" s="285">
        <v>2.0241593209271956E-2</v>
      </c>
      <c r="DM79" s="285">
        <v>0</v>
      </c>
      <c r="DN79" s="285">
        <v>0</v>
      </c>
      <c r="DO79" s="285">
        <v>1.8609206660137118E-2</v>
      </c>
      <c r="DP79" s="285">
        <v>0</v>
      </c>
      <c r="DQ79" s="285">
        <v>0</v>
      </c>
      <c r="DR79" s="285">
        <v>0</v>
      </c>
      <c r="DS79" s="285">
        <v>0</v>
      </c>
      <c r="DT79" s="285">
        <v>0</v>
      </c>
      <c r="DU79" s="285">
        <v>0</v>
      </c>
      <c r="DV79" s="285">
        <v>0</v>
      </c>
      <c r="DW79" s="285">
        <v>0</v>
      </c>
      <c r="DX79" s="76">
        <v>1.0000000000000002</v>
      </c>
      <c r="DY79" s="78">
        <v>74.188428186923332</v>
      </c>
      <c r="DZ79" s="78">
        <v>17.57030710080306</v>
      </c>
      <c r="EA79" s="78">
        <v>0.31221164197313817</v>
      </c>
      <c r="EB79" s="78">
        <v>8.3519323637427395E-2</v>
      </c>
      <c r="EC79" s="78">
        <v>0</v>
      </c>
      <c r="ED79" s="78">
        <v>7.9534654584189804E-2</v>
      </c>
      <c r="EE79" s="78">
        <v>1.8535375503033271E-2</v>
      </c>
      <c r="EF79" s="78">
        <v>7.7606470082065462E-2</v>
      </c>
      <c r="EG79" s="78">
        <v>1.5735243317996532</v>
      </c>
      <c r="EH79" s="78">
        <v>0</v>
      </c>
      <c r="EI79" s="78">
        <v>0</v>
      </c>
      <c r="EJ79" s="78">
        <v>6.0963329146940879</v>
      </c>
      <c r="EK79" s="78">
        <v>0</v>
      </c>
      <c r="EL79" s="78">
        <v>100</v>
      </c>
      <c r="EM79" s="76">
        <v>91.321889312197555</v>
      </c>
      <c r="EN79" s="76" t="s">
        <v>164</v>
      </c>
      <c r="EO79" s="289">
        <v>4.0324770473793405E-3</v>
      </c>
      <c r="EP79" s="257">
        <f t="shared" si="34"/>
        <v>0.40324770473793403</v>
      </c>
      <c r="EQ79" s="257">
        <f t="shared" si="35"/>
        <v>77.635396518375231</v>
      </c>
      <c r="ER79" s="324">
        <f t="shared" si="36"/>
        <v>5.3140096618357495E-2</v>
      </c>
      <c r="ES79" s="257">
        <f t="shared" si="31"/>
        <v>0.75350246118894348</v>
      </c>
      <c r="ET79">
        <f t="shared" si="32"/>
        <v>15</v>
      </c>
      <c r="EU79" s="324">
        <f t="shared" si="37"/>
        <v>7.0524118175418177E-2</v>
      </c>
      <c r="EV79" s="39">
        <f t="shared" si="38"/>
        <v>166.45</v>
      </c>
      <c r="EW79"/>
      <c r="EX79">
        <f t="shared" si="39"/>
        <v>23.478260869565219</v>
      </c>
      <c r="EY79"/>
      <c r="EZ79"/>
      <c r="FA79"/>
      <c r="FB79"/>
      <c r="FC79"/>
      <c r="FD79"/>
    </row>
    <row r="80" spans="1:160" s="77" customFormat="1" ht="13" customHeight="1" x14ac:dyDescent="0.2">
      <c r="A80" s="72" t="s">
        <v>165</v>
      </c>
      <c r="B80" s="73" t="s">
        <v>462</v>
      </c>
      <c r="C80" s="276">
        <f t="shared" si="40"/>
        <v>166.27500000000001</v>
      </c>
      <c r="D80" s="74">
        <v>21</v>
      </c>
      <c r="E80" s="74">
        <v>44</v>
      </c>
      <c r="F80" s="75">
        <f t="shared" si="26"/>
        <v>32.5</v>
      </c>
      <c r="G80" s="73" t="s">
        <v>525</v>
      </c>
      <c r="H80" s="84">
        <v>2.5</v>
      </c>
      <c r="I80" s="85">
        <v>4</v>
      </c>
      <c r="J80" s="85">
        <v>4</v>
      </c>
      <c r="K80" s="89">
        <f t="shared" si="21"/>
        <v>2.5</v>
      </c>
      <c r="L80" s="75">
        <v>129</v>
      </c>
      <c r="M80" s="75">
        <v>86</v>
      </c>
      <c r="N80" s="75">
        <v>68</v>
      </c>
      <c r="O80" s="75">
        <v>69.19</v>
      </c>
      <c r="P80" s="75">
        <v>15.07</v>
      </c>
      <c r="Q80" s="75">
        <v>4.95</v>
      </c>
      <c r="R80" s="75">
        <v>0.189</v>
      </c>
      <c r="S80" s="75">
        <v>0.22</v>
      </c>
      <c r="T80" s="75">
        <v>7.0000000000000007E-2</v>
      </c>
      <c r="U80" s="75">
        <v>0.13</v>
      </c>
      <c r="V80" s="75">
        <v>1.32</v>
      </c>
      <c r="W80" s="75">
        <v>0.77600000000000002</v>
      </c>
      <c r="X80" s="75">
        <v>0.05</v>
      </c>
      <c r="Y80" s="75">
        <v>7.24</v>
      </c>
      <c r="Z80" s="75">
        <v>99.19</v>
      </c>
      <c r="AA80" s="75">
        <v>12</v>
      </c>
      <c r="AB80" s="75">
        <v>2</v>
      </c>
      <c r="AC80" s="75">
        <v>91</v>
      </c>
      <c r="AD80" s="75">
        <v>30</v>
      </c>
      <c r="AE80" s="75">
        <v>33</v>
      </c>
      <c r="AF80" s="75">
        <v>0</v>
      </c>
      <c r="AG80" s="75">
        <v>30</v>
      </c>
      <c r="AH80" s="75">
        <v>50</v>
      </c>
      <c r="AI80" s="75">
        <v>16</v>
      </c>
      <c r="AJ80" s="75">
        <v>0</v>
      </c>
      <c r="AK80" s="75">
        <v>0</v>
      </c>
      <c r="AL80" s="75">
        <v>73</v>
      </c>
      <c r="AM80" s="75">
        <v>58</v>
      </c>
      <c r="AN80" s="75">
        <v>30</v>
      </c>
      <c r="AO80" s="75">
        <v>347</v>
      </c>
      <c r="AP80" s="75">
        <v>8</v>
      </c>
      <c r="AQ80" s="75" t="s">
        <v>72</v>
      </c>
      <c r="AR80" s="75" t="s">
        <v>74</v>
      </c>
      <c r="AS80" s="75" t="s">
        <v>73</v>
      </c>
      <c r="AT80" s="75">
        <v>0</v>
      </c>
      <c r="AU80" s="75" t="s">
        <v>74</v>
      </c>
      <c r="AV80" s="75">
        <v>3.3</v>
      </c>
      <c r="AW80" s="75">
        <v>561</v>
      </c>
      <c r="AX80" s="75" t="s">
        <v>75</v>
      </c>
      <c r="AY80" s="75">
        <v>40.4</v>
      </c>
      <c r="AZ80" s="75">
        <v>189</v>
      </c>
      <c r="BA80" s="75">
        <v>11.1</v>
      </c>
      <c r="BB80" s="75">
        <v>42</v>
      </c>
      <c r="BC80" s="75">
        <v>8.8000000000000007</v>
      </c>
      <c r="BD80" s="75">
        <v>2.2799999999999998</v>
      </c>
      <c r="BE80" s="75">
        <v>7.2</v>
      </c>
      <c r="BF80" s="75">
        <v>1.1000000000000001</v>
      </c>
      <c r="BG80" s="75">
        <v>6.7</v>
      </c>
      <c r="BH80" s="75">
        <v>1.4</v>
      </c>
      <c r="BI80" s="75">
        <v>3.9</v>
      </c>
      <c r="BJ80" s="75">
        <v>0.6</v>
      </c>
      <c r="BK80" s="75">
        <v>4.2</v>
      </c>
      <c r="BL80" s="75">
        <v>0.68</v>
      </c>
      <c r="BM80" s="75">
        <v>8</v>
      </c>
      <c r="BN80" s="75">
        <v>0.6</v>
      </c>
      <c r="BO80" s="75">
        <v>0</v>
      </c>
      <c r="BP80" s="75">
        <v>0.3</v>
      </c>
      <c r="BQ80" s="75">
        <v>36</v>
      </c>
      <c r="BR80" s="75">
        <v>9.1</v>
      </c>
      <c r="BS80" s="75">
        <v>2.8</v>
      </c>
      <c r="BT80" s="76">
        <f t="shared" si="27"/>
        <v>0.82388840453356582</v>
      </c>
      <c r="BU80" s="281">
        <f t="shared" si="28"/>
        <v>319.35999999999996</v>
      </c>
      <c r="BV80" s="77">
        <f t="shared" si="29"/>
        <v>32.5</v>
      </c>
      <c r="BW80" s="78">
        <f t="shared" si="30"/>
        <v>90.837854128993371</v>
      </c>
      <c r="BX80" s="69">
        <f t="shared" si="33"/>
        <v>0.82388840453356582</v>
      </c>
      <c r="BY80" s="76">
        <v>10.79</v>
      </c>
      <c r="BZ80" s="76">
        <v>1.67</v>
      </c>
      <c r="CA80" s="76">
        <v>57.27</v>
      </c>
      <c r="CB80" s="76">
        <v>4.8023999999999996</v>
      </c>
      <c r="CC80" s="76">
        <v>0.41759999999999997</v>
      </c>
      <c r="CD80" s="76">
        <v>0</v>
      </c>
      <c r="CE80" s="76">
        <v>0</v>
      </c>
      <c r="CF80" s="76">
        <v>0</v>
      </c>
      <c r="CG80" s="76">
        <v>0</v>
      </c>
      <c r="CH80" s="76">
        <v>0</v>
      </c>
      <c r="CI80" s="76">
        <v>6.75</v>
      </c>
      <c r="CJ80" s="76">
        <v>0</v>
      </c>
      <c r="CK80" s="76">
        <v>7.23</v>
      </c>
      <c r="CL80" s="76">
        <v>5.89</v>
      </c>
      <c r="CM80" s="76">
        <v>0.03</v>
      </c>
      <c r="CN80" s="76">
        <v>0</v>
      </c>
      <c r="CO80" s="76">
        <v>0</v>
      </c>
      <c r="CP80" s="76">
        <v>5.16</v>
      </c>
      <c r="CQ80" s="76">
        <v>0</v>
      </c>
      <c r="CR80" s="76">
        <v>0</v>
      </c>
      <c r="CS80" s="76">
        <v>0</v>
      </c>
      <c r="CT80" s="76">
        <v>0</v>
      </c>
      <c r="CU80" s="76">
        <v>0</v>
      </c>
      <c r="CV80" s="76">
        <v>0</v>
      </c>
      <c r="CW80" s="76">
        <v>0</v>
      </c>
      <c r="CX80" s="76">
        <v>0</v>
      </c>
      <c r="CY80" s="281">
        <v>100.01</v>
      </c>
      <c r="CZ80" s="285">
        <v>0.65414049114791539</v>
      </c>
      <c r="DA80" s="285">
        <v>5.4853226727584227E-2</v>
      </c>
      <c r="DB80" s="285">
        <v>4.7698458023986284E-3</v>
      </c>
      <c r="DC80" s="285">
        <v>0</v>
      </c>
      <c r="DD80" s="285">
        <v>0</v>
      </c>
      <c r="DE80" s="285">
        <v>0</v>
      </c>
      <c r="DF80" s="285">
        <v>0</v>
      </c>
      <c r="DG80" s="285">
        <v>0</v>
      </c>
      <c r="DH80" s="285">
        <v>7.7098800685322669E-2</v>
      </c>
      <c r="DI80" s="285">
        <v>0</v>
      </c>
      <c r="DJ80" s="285">
        <v>8.2581382067390061E-2</v>
      </c>
      <c r="DK80" s="285">
        <v>6.7275842375785253E-2</v>
      </c>
      <c r="DL80" s="285">
        <v>3.4266133637921183E-4</v>
      </c>
      <c r="DM80" s="285">
        <v>0</v>
      </c>
      <c r="DN80" s="285">
        <v>0</v>
      </c>
      <c r="DO80" s="285">
        <v>5.8937749857224435E-2</v>
      </c>
      <c r="DP80" s="285">
        <v>0</v>
      </c>
      <c r="DQ80" s="285">
        <v>0</v>
      </c>
      <c r="DR80" s="285">
        <v>0</v>
      </c>
      <c r="DS80" s="285">
        <v>0</v>
      </c>
      <c r="DT80" s="285">
        <v>0</v>
      </c>
      <c r="DU80" s="285">
        <v>0</v>
      </c>
      <c r="DV80" s="285">
        <v>0</v>
      </c>
      <c r="DW80" s="285">
        <v>0</v>
      </c>
      <c r="DX80" s="76">
        <v>0.99999999999999978</v>
      </c>
      <c r="DY80" s="78">
        <v>79.314175972185296</v>
      </c>
      <c r="DZ80" s="78">
        <v>13.456719232258768</v>
      </c>
      <c r="EA80" s="78">
        <v>0.128378762224339</v>
      </c>
      <c r="EB80" s="78">
        <v>0.26451643504672634</v>
      </c>
      <c r="EC80" s="78">
        <v>0</v>
      </c>
      <c r="ED80" s="78">
        <v>0.14699247497222245</v>
      </c>
      <c r="EE80" s="78">
        <v>3.1377750133080218E-4</v>
      </c>
      <c r="EF80" s="78">
        <v>5.6390921075929308E-2</v>
      </c>
      <c r="EG80" s="78">
        <v>1.6141327422691383</v>
      </c>
      <c r="EH80" s="78">
        <v>0</v>
      </c>
      <c r="EI80" s="78">
        <v>0</v>
      </c>
      <c r="EJ80" s="78">
        <v>5.0183796824662306</v>
      </c>
      <c r="EK80" s="78">
        <v>0</v>
      </c>
      <c r="EL80" s="78">
        <v>99.999999999999972</v>
      </c>
      <c r="EM80" s="76">
        <v>88.955007890884772</v>
      </c>
      <c r="EN80" s="76" t="s">
        <v>165</v>
      </c>
      <c r="EO80" s="289">
        <v>4.1670167642527071E-3</v>
      </c>
      <c r="EP80" s="257">
        <f t="shared" si="34"/>
        <v>0.41670167642527073</v>
      </c>
      <c r="EQ80" s="257">
        <f t="shared" si="35"/>
        <v>65.685950413223139</v>
      </c>
      <c r="ER80" s="324">
        <f t="shared" si="36"/>
        <v>5.1490514905149047E-2</v>
      </c>
      <c r="ES80" s="257">
        <f t="shared" si="31"/>
        <v>0.82388840453356582</v>
      </c>
      <c r="ET80">
        <f t="shared" si="32"/>
        <v>32.5</v>
      </c>
      <c r="EU80" s="324">
        <f t="shared" si="37"/>
        <v>6.2496953011858154E-2</v>
      </c>
      <c r="EV80" s="39">
        <f t="shared" si="38"/>
        <v>166.27500000000001</v>
      </c>
      <c r="EW80"/>
      <c r="EX80">
        <f t="shared" si="39"/>
        <v>21.428571428571431</v>
      </c>
      <c r="EY80"/>
      <c r="EZ80"/>
      <c r="FA80"/>
      <c r="FB80"/>
      <c r="FC80"/>
      <c r="FD80"/>
    </row>
    <row r="81" spans="1:160" s="77" customFormat="1" ht="13" customHeight="1" x14ac:dyDescent="0.2">
      <c r="A81" s="72" t="s">
        <v>166</v>
      </c>
      <c r="B81" s="73" t="s">
        <v>462</v>
      </c>
      <c r="C81" s="276">
        <f t="shared" si="40"/>
        <v>166</v>
      </c>
      <c r="D81" s="74">
        <v>44</v>
      </c>
      <c r="E81" s="74">
        <v>76</v>
      </c>
      <c r="F81" s="75">
        <f t="shared" si="26"/>
        <v>60</v>
      </c>
      <c r="G81" s="73" t="s">
        <v>525</v>
      </c>
      <c r="H81" s="84">
        <v>2.5</v>
      </c>
      <c r="I81" s="85">
        <v>4</v>
      </c>
      <c r="J81" s="85">
        <v>4</v>
      </c>
      <c r="K81" s="89">
        <f t="shared" si="21"/>
        <v>2.5</v>
      </c>
      <c r="L81" s="75">
        <v>129</v>
      </c>
      <c r="M81" s="75">
        <v>86</v>
      </c>
      <c r="N81" s="75">
        <v>68</v>
      </c>
      <c r="O81" s="75">
        <v>63.04</v>
      </c>
      <c r="P81" s="75">
        <v>19.059999999999999</v>
      </c>
      <c r="Q81" s="75">
        <v>6.5</v>
      </c>
      <c r="R81" s="75">
        <v>0.14299999999999999</v>
      </c>
      <c r="S81" s="75">
        <v>0.25</v>
      </c>
      <c r="T81" s="75">
        <v>0.08</v>
      </c>
      <c r="U81" s="75">
        <v>0.09</v>
      </c>
      <c r="V81" s="75">
        <v>1.1499999999999999</v>
      </c>
      <c r="W81" s="75">
        <v>0.78300000000000003</v>
      </c>
      <c r="X81" s="75">
        <v>0.05</v>
      </c>
      <c r="Y81" s="75">
        <v>8.8699999999999992</v>
      </c>
      <c r="Z81" s="75">
        <v>100</v>
      </c>
      <c r="AA81" s="75">
        <v>16</v>
      </c>
      <c r="AB81" s="75">
        <v>2</v>
      </c>
      <c r="AC81" s="75">
        <v>114</v>
      </c>
      <c r="AD81" s="75">
        <v>40</v>
      </c>
      <c r="AE81" s="75">
        <v>31</v>
      </c>
      <c r="AF81" s="75">
        <v>30</v>
      </c>
      <c r="AG81" s="75">
        <v>40</v>
      </c>
      <c r="AH81" s="75">
        <v>60</v>
      </c>
      <c r="AI81" s="75">
        <v>15</v>
      </c>
      <c r="AJ81" s="75">
        <v>1</v>
      </c>
      <c r="AK81" s="75">
        <v>0</v>
      </c>
      <c r="AL81" s="75">
        <v>71</v>
      </c>
      <c r="AM81" s="75">
        <v>57</v>
      </c>
      <c r="AN81" s="75">
        <v>14</v>
      </c>
      <c r="AO81" s="75">
        <v>268</v>
      </c>
      <c r="AP81" s="75">
        <v>8</v>
      </c>
      <c r="AQ81" s="75" t="s">
        <v>72</v>
      </c>
      <c r="AR81" s="75">
        <v>1</v>
      </c>
      <c r="AS81" s="75" t="s">
        <v>73</v>
      </c>
      <c r="AT81" s="75">
        <v>1</v>
      </c>
      <c r="AU81" s="75" t="s">
        <v>74</v>
      </c>
      <c r="AV81" s="75">
        <v>3.2</v>
      </c>
      <c r="AW81" s="75">
        <v>458</v>
      </c>
      <c r="AX81" s="75" t="s">
        <v>75</v>
      </c>
      <c r="AY81" s="75">
        <v>18.2</v>
      </c>
      <c r="AZ81" s="75">
        <v>158</v>
      </c>
      <c r="BA81" s="75">
        <v>4.5</v>
      </c>
      <c r="BB81" s="75">
        <v>16.899999999999999</v>
      </c>
      <c r="BC81" s="75">
        <v>3.4</v>
      </c>
      <c r="BD81" s="75">
        <v>0.81</v>
      </c>
      <c r="BE81" s="75">
        <v>2.6</v>
      </c>
      <c r="BF81" s="75">
        <v>0.5</v>
      </c>
      <c r="BG81" s="75">
        <v>2.9</v>
      </c>
      <c r="BH81" s="75">
        <v>0.6</v>
      </c>
      <c r="BI81" s="75">
        <v>1.8</v>
      </c>
      <c r="BJ81" s="75">
        <v>0.28000000000000003</v>
      </c>
      <c r="BK81" s="75">
        <v>2</v>
      </c>
      <c r="BL81" s="75">
        <v>0.32</v>
      </c>
      <c r="BM81" s="75">
        <v>6.6</v>
      </c>
      <c r="BN81" s="75">
        <v>0.6</v>
      </c>
      <c r="BO81" s="75">
        <v>1</v>
      </c>
      <c r="BP81" s="75">
        <v>0.4</v>
      </c>
      <c r="BQ81" s="75">
        <v>30</v>
      </c>
      <c r="BR81" s="75">
        <v>11.4</v>
      </c>
      <c r="BS81" s="75">
        <v>2.7</v>
      </c>
      <c r="BT81" s="76">
        <f t="shared" si="27"/>
        <v>0.89670828603859254</v>
      </c>
      <c r="BU81" s="281">
        <f t="shared" si="28"/>
        <v>212.81</v>
      </c>
      <c r="BV81" s="77">
        <f t="shared" si="29"/>
        <v>60</v>
      </c>
      <c r="BW81" s="78">
        <f t="shared" si="30"/>
        <v>93.523061825318948</v>
      </c>
      <c r="BX81" s="69">
        <f t="shared" si="33"/>
        <v>0.89670828603859254</v>
      </c>
      <c r="BY81" s="76">
        <v>11.42</v>
      </c>
      <c r="BZ81" s="76">
        <v>2.08</v>
      </c>
      <c r="CA81" s="76">
        <v>47.61</v>
      </c>
      <c r="CB81" s="76">
        <v>3.8272000000000004</v>
      </c>
      <c r="CC81" s="76">
        <v>0.33280000000000004</v>
      </c>
      <c r="CD81" s="76">
        <v>0</v>
      </c>
      <c r="CE81" s="76">
        <v>0</v>
      </c>
      <c r="CF81" s="76">
        <v>0</v>
      </c>
      <c r="CG81" s="76">
        <v>0</v>
      </c>
      <c r="CH81" s="76">
        <v>0</v>
      </c>
      <c r="CI81" s="76">
        <v>5.14</v>
      </c>
      <c r="CJ81" s="76">
        <v>0</v>
      </c>
      <c r="CK81" s="76">
        <v>11.71</v>
      </c>
      <c r="CL81" s="76">
        <v>7.84</v>
      </c>
      <c r="CM81" s="76">
        <v>0.03</v>
      </c>
      <c r="CN81" s="76">
        <v>0</v>
      </c>
      <c r="CO81" s="76">
        <v>0</v>
      </c>
      <c r="CP81" s="76">
        <v>6.9</v>
      </c>
      <c r="CQ81" s="76">
        <v>0</v>
      </c>
      <c r="CR81" s="76">
        <v>0</v>
      </c>
      <c r="CS81" s="76">
        <v>0</v>
      </c>
      <c r="CT81" s="76">
        <v>0</v>
      </c>
      <c r="CU81" s="76">
        <v>0</v>
      </c>
      <c r="CV81" s="76">
        <v>0</v>
      </c>
      <c r="CW81" s="76">
        <v>0</v>
      </c>
      <c r="CX81" s="76">
        <v>0</v>
      </c>
      <c r="CY81" s="281">
        <v>96.890000000000015</v>
      </c>
      <c r="CZ81" s="285">
        <v>0.57093176639884868</v>
      </c>
      <c r="DA81" s="285">
        <v>4.5895191269936443E-2</v>
      </c>
      <c r="DB81" s="285">
        <v>3.9908861973857778E-3</v>
      </c>
      <c r="DC81" s="285">
        <v>0</v>
      </c>
      <c r="DD81" s="285">
        <v>0</v>
      </c>
      <c r="DE81" s="285">
        <v>0</v>
      </c>
      <c r="DF81" s="285">
        <v>0</v>
      </c>
      <c r="DG81" s="285">
        <v>0</v>
      </c>
      <c r="DH81" s="285">
        <v>6.1638086101450995E-2</v>
      </c>
      <c r="DI81" s="285">
        <v>0</v>
      </c>
      <c r="DJ81" s="285">
        <v>0.14042451133229403</v>
      </c>
      <c r="DK81" s="285">
        <v>9.4016069073030326E-2</v>
      </c>
      <c r="DL81" s="285">
        <v>3.5975536635088134E-4</v>
      </c>
      <c r="DM81" s="285">
        <v>0</v>
      </c>
      <c r="DN81" s="285">
        <v>0</v>
      </c>
      <c r="DO81" s="285">
        <v>8.2743734260702709E-2</v>
      </c>
      <c r="DP81" s="285">
        <v>0</v>
      </c>
      <c r="DQ81" s="285">
        <v>0</v>
      </c>
      <c r="DR81" s="285">
        <v>0</v>
      </c>
      <c r="DS81" s="285">
        <v>0</v>
      </c>
      <c r="DT81" s="285">
        <v>0</v>
      </c>
      <c r="DU81" s="285">
        <v>0</v>
      </c>
      <c r="DV81" s="285">
        <v>0</v>
      </c>
      <c r="DW81" s="285">
        <v>0</v>
      </c>
      <c r="DX81" s="76">
        <v>0.99999999999999978</v>
      </c>
      <c r="DY81" s="78">
        <v>75.515458871805578</v>
      </c>
      <c r="DZ81" s="78">
        <v>16.13868485330514</v>
      </c>
      <c r="EA81" s="78">
        <v>0.21742816305319337</v>
      </c>
      <c r="EB81" s="78">
        <v>0.37135923346438876</v>
      </c>
      <c r="EC81" s="78">
        <v>0</v>
      </c>
      <c r="ED81" s="78">
        <v>0.20616571800997496</v>
      </c>
      <c r="EE81" s="78">
        <v>3.2943063006969333E-4</v>
      </c>
      <c r="EF81" s="78">
        <v>4.7181766015711765E-2</v>
      </c>
      <c r="EG81" s="78">
        <v>1.7390277977635655</v>
      </c>
      <c r="EH81" s="78">
        <v>0</v>
      </c>
      <c r="EI81" s="78">
        <v>0</v>
      </c>
      <c r="EJ81" s="78">
        <v>5.7643641659523741</v>
      </c>
      <c r="EK81" s="78">
        <v>0</v>
      </c>
      <c r="EL81" s="78">
        <v>100</v>
      </c>
      <c r="EM81" s="76">
        <v>90.033379724643524</v>
      </c>
      <c r="EN81" s="76" t="s">
        <v>166</v>
      </c>
      <c r="EO81" s="289">
        <v>6.2220972752937715E-3</v>
      </c>
      <c r="EP81" s="257">
        <f t="shared" si="34"/>
        <v>0.6222097275293772</v>
      </c>
      <c r="EQ81" s="257">
        <f t="shared" si="35"/>
        <v>69.062937062937038</v>
      </c>
      <c r="ER81" s="324">
        <f t="shared" si="36"/>
        <v>4.5736871823828358E-2</v>
      </c>
      <c r="ES81" s="257">
        <f t="shared" si="31"/>
        <v>0.89670828603859254</v>
      </c>
      <c r="ET81">
        <f t="shared" si="32"/>
        <v>60</v>
      </c>
      <c r="EU81" s="324">
        <f t="shared" si="37"/>
        <v>5.1005296299737699E-2</v>
      </c>
      <c r="EV81" s="39">
        <f t="shared" si="38"/>
        <v>166</v>
      </c>
      <c r="EW81"/>
      <c r="EX81">
        <f t="shared" si="39"/>
        <v>23.333333333333336</v>
      </c>
      <c r="EY81"/>
      <c r="EZ81"/>
      <c r="FA81"/>
      <c r="FB81"/>
      <c r="FC81"/>
      <c r="FD81"/>
    </row>
    <row r="82" spans="1:160" s="77" customFormat="1" ht="13" customHeight="1" x14ac:dyDescent="0.2">
      <c r="A82" s="72" t="s">
        <v>167</v>
      </c>
      <c r="B82" s="73" t="s">
        <v>462</v>
      </c>
      <c r="C82" s="276">
        <f t="shared" si="40"/>
        <v>165.71</v>
      </c>
      <c r="D82" s="74">
        <v>76</v>
      </c>
      <c r="E82" s="74">
        <v>102</v>
      </c>
      <c r="F82" s="75">
        <f t="shared" si="26"/>
        <v>89</v>
      </c>
      <c r="G82" s="73" t="s">
        <v>507</v>
      </c>
      <c r="H82" s="84">
        <v>2.5</v>
      </c>
      <c r="I82" s="85">
        <v>4</v>
      </c>
      <c r="J82" s="85">
        <v>6</v>
      </c>
      <c r="K82" s="89">
        <f t="shared" si="21"/>
        <v>1.6666666666666667</v>
      </c>
      <c r="L82" s="75">
        <v>140</v>
      </c>
      <c r="M82" s="75">
        <v>81</v>
      </c>
      <c r="N82" s="75">
        <v>54</v>
      </c>
      <c r="O82" s="75">
        <v>62.76</v>
      </c>
      <c r="P82" s="75">
        <v>18.739999999999998</v>
      </c>
      <c r="Q82" s="75">
        <v>7.27</v>
      </c>
      <c r="R82" s="75">
        <v>4.7E-2</v>
      </c>
      <c r="S82" s="75">
        <v>0.25</v>
      </c>
      <c r="T82" s="75">
        <v>0.04</v>
      </c>
      <c r="U82" s="75">
        <v>0.1</v>
      </c>
      <c r="V82" s="75">
        <v>0.87</v>
      </c>
      <c r="W82" s="75">
        <v>0.73699999999999999</v>
      </c>
      <c r="X82" s="75">
        <v>0.03</v>
      </c>
      <c r="Y82" s="75">
        <v>8.67</v>
      </c>
      <c r="Z82" s="75">
        <v>99.5</v>
      </c>
      <c r="AA82" s="75">
        <v>19</v>
      </c>
      <c r="AB82" s="75">
        <v>1</v>
      </c>
      <c r="AC82" s="75">
        <v>133</v>
      </c>
      <c r="AD82" s="75">
        <v>40</v>
      </c>
      <c r="AE82" s="75">
        <v>9</v>
      </c>
      <c r="AF82" s="75">
        <v>0</v>
      </c>
      <c r="AG82" s="75">
        <v>40</v>
      </c>
      <c r="AH82" s="75">
        <v>60</v>
      </c>
      <c r="AI82" s="75">
        <v>16</v>
      </c>
      <c r="AJ82" s="75">
        <v>1</v>
      </c>
      <c r="AK82" s="75">
        <v>0</v>
      </c>
      <c r="AL82" s="75">
        <v>54</v>
      </c>
      <c r="AM82" s="75">
        <v>33</v>
      </c>
      <c r="AN82" s="75">
        <v>6</v>
      </c>
      <c r="AO82" s="75">
        <v>227</v>
      </c>
      <c r="AP82" s="75">
        <v>7</v>
      </c>
      <c r="AQ82" s="75" t="s">
        <v>72</v>
      </c>
      <c r="AR82" s="75">
        <v>0.7</v>
      </c>
      <c r="AS82" s="75" t="s">
        <v>73</v>
      </c>
      <c r="AT82" s="75">
        <v>1</v>
      </c>
      <c r="AU82" s="75">
        <v>0.5</v>
      </c>
      <c r="AV82" s="75">
        <v>2.7</v>
      </c>
      <c r="AW82" s="75">
        <v>305</v>
      </c>
      <c r="AX82" s="75" t="s">
        <v>75</v>
      </c>
      <c r="AY82" s="75">
        <v>8.3000000000000007</v>
      </c>
      <c r="AZ82" s="75">
        <v>37.6</v>
      </c>
      <c r="BA82" s="75">
        <v>1.93</v>
      </c>
      <c r="BB82" s="75">
        <v>7.2</v>
      </c>
      <c r="BC82" s="75">
        <v>1.4</v>
      </c>
      <c r="BD82" s="75">
        <v>0.35</v>
      </c>
      <c r="BE82" s="75">
        <v>1</v>
      </c>
      <c r="BF82" s="75">
        <v>0.2</v>
      </c>
      <c r="BG82" s="75">
        <v>1.3</v>
      </c>
      <c r="BH82" s="75">
        <v>0.3</v>
      </c>
      <c r="BI82" s="75">
        <v>0.9</v>
      </c>
      <c r="BJ82" s="75">
        <v>0.14000000000000001</v>
      </c>
      <c r="BK82" s="75">
        <v>1.1000000000000001</v>
      </c>
      <c r="BL82" s="75">
        <v>0.2</v>
      </c>
      <c r="BM82" s="75">
        <v>5.7</v>
      </c>
      <c r="BN82" s="75">
        <v>0.5</v>
      </c>
      <c r="BO82" s="75">
        <v>0</v>
      </c>
      <c r="BP82" s="75">
        <v>0.2</v>
      </c>
      <c r="BQ82" s="75">
        <v>23</v>
      </c>
      <c r="BR82" s="75">
        <v>10.5</v>
      </c>
      <c r="BS82" s="75">
        <v>2.2999999999999998</v>
      </c>
      <c r="BT82" s="76">
        <f t="shared" si="27"/>
        <v>0.81917211328976025</v>
      </c>
      <c r="BU82" s="281">
        <f t="shared" si="28"/>
        <v>61.920000000000009</v>
      </c>
      <c r="BV82" s="77">
        <f t="shared" si="29"/>
        <v>89</v>
      </c>
      <c r="BW82" s="78">
        <f t="shared" si="30"/>
        <v>94.886075949367083</v>
      </c>
      <c r="BX82" s="69">
        <f t="shared" si="33"/>
        <v>0.81917211328976025</v>
      </c>
      <c r="BY82" s="76">
        <v>8.6999999999999993</v>
      </c>
      <c r="BZ82" s="76">
        <v>1.26</v>
      </c>
      <c r="CA82" s="76">
        <v>37.94</v>
      </c>
      <c r="CB82" s="76">
        <v>1.5087999999999999</v>
      </c>
      <c r="CC82" s="76">
        <v>0.13119999999999998</v>
      </c>
      <c r="CD82" s="76">
        <v>0</v>
      </c>
      <c r="CE82" s="76">
        <v>0</v>
      </c>
      <c r="CF82" s="76">
        <v>0</v>
      </c>
      <c r="CG82" s="76">
        <v>0</v>
      </c>
      <c r="CH82" s="76">
        <v>0</v>
      </c>
      <c r="CI82" s="76">
        <v>1.56</v>
      </c>
      <c r="CJ82" s="76">
        <v>0</v>
      </c>
      <c r="CK82" s="76">
        <v>25.36</v>
      </c>
      <c r="CL82" s="76">
        <v>14.25</v>
      </c>
      <c r="CM82" s="76">
        <v>2.73</v>
      </c>
      <c r="CN82" s="76">
        <v>0</v>
      </c>
      <c r="CO82" s="76">
        <v>0</v>
      </c>
      <c r="CP82" s="76">
        <v>5.58</v>
      </c>
      <c r="CQ82" s="76">
        <v>0</v>
      </c>
      <c r="CR82" s="76">
        <v>0</v>
      </c>
      <c r="CS82" s="76">
        <v>0</v>
      </c>
      <c r="CT82" s="76">
        <v>0</v>
      </c>
      <c r="CU82" s="76">
        <v>0</v>
      </c>
      <c r="CV82" s="76">
        <v>0</v>
      </c>
      <c r="CW82" s="76">
        <v>0</v>
      </c>
      <c r="CX82" s="76">
        <v>0</v>
      </c>
      <c r="CY82" s="281">
        <v>99.02000000000001</v>
      </c>
      <c r="CZ82" s="285">
        <v>0.42600494048955756</v>
      </c>
      <c r="DA82" s="285">
        <v>1.6941387828430271E-2</v>
      </c>
      <c r="DB82" s="285">
        <v>1.4731641589939364E-3</v>
      </c>
      <c r="DC82" s="285">
        <v>0</v>
      </c>
      <c r="DD82" s="285">
        <v>0</v>
      </c>
      <c r="DE82" s="285">
        <v>0</v>
      </c>
      <c r="DF82" s="285">
        <v>0</v>
      </c>
      <c r="DG82" s="285">
        <v>0</v>
      </c>
      <c r="DH82" s="285">
        <v>1.7516281158769371E-2</v>
      </c>
      <c r="DI82" s="285">
        <v>0</v>
      </c>
      <c r="DJ82" s="285">
        <v>0.28475185268358411</v>
      </c>
      <c r="DK82" s="285">
        <v>0.16000449135414327</v>
      </c>
      <c r="DL82" s="285">
        <v>3.0653492027846396E-2</v>
      </c>
      <c r="DM82" s="285">
        <v>0</v>
      </c>
      <c r="DN82" s="285">
        <v>0</v>
      </c>
      <c r="DO82" s="285">
        <v>6.2654390298675047E-2</v>
      </c>
      <c r="DP82" s="285">
        <v>0</v>
      </c>
      <c r="DQ82" s="285">
        <v>0</v>
      </c>
      <c r="DR82" s="285">
        <v>0</v>
      </c>
      <c r="DS82" s="285">
        <v>0</v>
      </c>
      <c r="DT82" s="285">
        <v>0</v>
      </c>
      <c r="DU82" s="285">
        <v>0</v>
      </c>
      <c r="DV82" s="285">
        <v>0</v>
      </c>
      <c r="DW82" s="285">
        <v>0</v>
      </c>
      <c r="DX82" s="76">
        <v>1</v>
      </c>
      <c r="DY82" s="78">
        <v>68.88678450725169</v>
      </c>
      <c r="DZ82" s="78">
        <v>21.494947641349903</v>
      </c>
      <c r="EA82" s="78">
        <v>0.55794717241773595</v>
      </c>
      <c r="EB82" s="78">
        <v>0.28119695784076887</v>
      </c>
      <c r="EC82" s="78">
        <v>0</v>
      </c>
      <c r="ED82" s="78">
        <v>0.20609262751265756</v>
      </c>
      <c r="EE82" s="78">
        <v>2.8069627688946414E-2</v>
      </c>
      <c r="EF82" s="78">
        <v>1.7416303851990268E-2</v>
      </c>
      <c r="EG82" s="78">
        <v>1.1350888221707556</v>
      </c>
      <c r="EH82" s="78">
        <v>0</v>
      </c>
      <c r="EI82" s="78">
        <v>0</v>
      </c>
      <c r="EJ82" s="78">
        <v>7.3924563399155403</v>
      </c>
      <c r="EK82" s="78">
        <v>0</v>
      </c>
      <c r="EL82" s="78">
        <v>99.999999999999986</v>
      </c>
      <c r="EM82" s="76">
        <v>94.793616071359821</v>
      </c>
      <c r="EN82" s="76" t="s">
        <v>167</v>
      </c>
      <c r="EO82" s="289">
        <v>8.64451856464174E-3</v>
      </c>
      <c r="EP82" s="257">
        <f t="shared" si="34"/>
        <v>0.864451856464174</v>
      </c>
      <c r="EQ82" s="257">
        <f t="shared" si="35"/>
        <v>85.07956189295308</v>
      </c>
      <c r="ER82" s="324">
        <f t="shared" si="36"/>
        <v>4.6357615894039736E-2</v>
      </c>
      <c r="ES82" s="257">
        <f t="shared" si="31"/>
        <v>0.81917211328976025</v>
      </c>
      <c r="ET82">
        <f t="shared" si="32"/>
        <v>89</v>
      </c>
      <c r="EU82" s="324">
        <f t="shared" si="37"/>
        <v>5.6590813019585746E-2</v>
      </c>
      <c r="EV82" s="39">
        <f t="shared" si="38"/>
        <v>165.71</v>
      </c>
      <c r="EW82"/>
      <c r="EX82">
        <f t="shared" si="39"/>
        <v>20</v>
      </c>
      <c r="EY82"/>
      <c r="EZ82"/>
      <c r="FA82"/>
      <c r="FB82"/>
      <c r="FC82"/>
      <c r="FD82"/>
    </row>
    <row r="83" spans="1:160" s="77" customFormat="1" ht="13" customHeight="1" x14ac:dyDescent="0.2">
      <c r="A83" s="72" t="s">
        <v>168</v>
      </c>
      <c r="B83" s="73" t="s">
        <v>462</v>
      </c>
      <c r="C83" s="276">
        <f t="shared" si="40"/>
        <v>165.345</v>
      </c>
      <c r="D83" s="74">
        <v>102</v>
      </c>
      <c r="E83" s="74">
        <v>149</v>
      </c>
      <c r="F83" s="75">
        <f t="shared" si="26"/>
        <v>125.5</v>
      </c>
      <c r="G83" s="73" t="s">
        <v>507</v>
      </c>
      <c r="H83" s="84">
        <v>2.5</v>
      </c>
      <c r="I83" s="85">
        <v>4</v>
      </c>
      <c r="J83" s="85">
        <v>6</v>
      </c>
      <c r="K83" s="89">
        <f t="shared" si="21"/>
        <v>1.6666666666666667</v>
      </c>
      <c r="L83" s="75">
        <v>140</v>
      </c>
      <c r="M83" s="75">
        <v>81</v>
      </c>
      <c r="N83" s="75">
        <v>54</v>
      </c>
      <c r="O83" s="75">
        <v>66.180000000000007</v>
      </c>
      <c r="P83" s="75">
        <v>15.82</v>
      </c>
      <c r="Q83" s="75">
        <v>7.59</v>
      </c>
      <c r="R83" s="75">
        <v>3.9E-2</v>
      </c>
      <c r="S83" s="75">
        <v>0.19</v>
      </c>
      <c r="T83" s="75">
        <v>0.03</v>
      </c>
      <c r="U83" s="75">
        <v>0.06</v>
      </c>
      <c r="V83" s="75">
        <v>0.49</v>
      </c>
      <c r="W83" s="75">
        <v>0.68500000000000005</v>
      </c>
      <c r="X83" s="75">
        <v>0.03</v>
      </c>
      <c r="Y83" s="75">
        <v>7.54</v>
      </c>
      <c r="Z83" s="75">
        <v>98.65</v>
      </c>
      <c r="AA83" s="75">
        <v>19</v>
      </c>
      <c r="AB83" s="75">
        <v>1</v>
      </c>
      <c r="AC83" s="75">
        <v>133</v>
      </c>
      <c r="AD83" s="75">
        <v>40</v>
      </c>
      <c r="AE83" s="75">
        <v>7</v>
      </c>
      <c r="AF83" s="75">
        <v>0</v>
      </c>
      <c r="AG83" s="75">
        <v>40</v>
      </c>
      <c r="AH83" s="75">
        <v>50</v>
      </c>
      <c r="AI83" s="75">
        <v>14</v>
      </c>
      <c r="AJ83" s="75">
        <v>1</v>
      </c>
      <c r="AK83" s="75">
        <v>0</v>
      </c>
      <c r="AL83" s="75">
        <v>34</v>
      </c>
      <c r="AM83" s="75">
        <v>17</v>
      </c>
      <c r="AN83" s="75">
        <v>3</v>
      </c>
      <c r="AO83" s="75">
        <v>210</v>
      </c>
      <c r="AP83" s="75">
        <v>5</v>
      </c>
      <c r="AQ83" s="75" t="s">
        <v>72</v>
      </c>
      <c r="AR83" s="75">
        <v>0.7</v>
      </c>
      <c r="AS83" s="75" t="s">
        <v>73</v>
      </c>
      <c r="AT83" s="75">
        <v>1</v>
      </c>
      <c r="AU83" s="75" t="s">
        <v>74</v>
      </c>
      <c r="AV83" s="75">
        <v>2</v>
      </c>
      <c r="AW83" s="75">
        <v>154</v>
      </c>
      <c r="AX83" s="75" t="s">
        <v>75</v>
      </c>
      <c r="AY83" s="75">
        <v>5.0999999999999996</v>
      </c>
      <c r="AZ83" s="75">
        <v>24.2</v>
      </c>
      <c r="BA83" s="75">
        <v>1.24</v>
      </c>
      <c r="BB83" s="75">
        <v>4.4000000000000004</v>
      </c>
      <c r="BC83" s="75">
        <v>0.9</v>
      </c>
      <c r="BD83" s="75">
        <v>0.21</v>
      </c>
      <c r="BE83" s="75">
        <v>0.7</v>
      </c>
      <c r="BF83" s="75">
        <v>0.1</v>
      </c>
      <c r="BG83" s="75">
        <v>0.9</v>
      </c>
      <c r="BH83" s="75">
        <v>0.2</v>
      </c>
      <c r="BI83" s="75">
        <v>0.6</v>
      </c>
      <c r="BJ83" s="75">
        <v>0.1</v>
      </c>
      <c r="BK83" s="75">
        <v>0.8</v>
      </c>
      <c r="BL83" s="75">
        <v>0.14000000000000001</v>
      </c>
      <c r="BM83" s="75">
        <v>4.9000000000000004</v>
      </c>
      <c r="BN83" s="75">
        <v>0.4</v>
      </c>
      <c r="BO83" s="75">
        <v>0</v>
      </c>
      <c r="BP83" s="75">
        <v>0.1</v>
      </c>
      <c r="BQ83" s="75">
        <v>11</v>
      </c>
      <c r="BR83" s="75">
        <v>8</v>
      </c>
      <c r="BS83" s="75">
        <v>1.7</v>
      </c>
      <c r="BT83" s="76">
        <f t="shared" si="27"/>
        <v>0.8259385665529011</v>
      </c>
      <c r="BU83" s="281">
        <f t="shared" si="28"/>
        <v>39.590000000000003</v>
      </c>
      <c r="BV83" s="77">
        <f t="shared" si="29"/>
        <v>125.5</v>
      </c>
      <c r="BW83" s="78">
        <f t="shared" si="30"/>
        <v>96.463414634146346</v>
      </c>
      <c r="BX83" s="69">
        <f t="shared" si="33"/>
        <v>0.8259385665529011</v>
      </c>
      <c r="BY83" s="76">
        <v>7.75</v>
      </c>
      <c r="BZ83" s="76">
        <v>1.61</v>
      </c>
      <c r="CA83" s="76">
        <v>44.78</v>
      </c>
      <c r="CB83" s="76">
        <v>0.60720000000000007</v>
      </c>
      <c r="CC83" s="76">
        <v>5.2800000000000007E-2</v>
      </c>
      <c r="CD83" s="76">
        <v>0</v>
      </c>
      <c r="CE83" s="76">
        <v>0</v>
      </c>
      <c r="CF83" s="76">
        <v>0</v>
      </c>
      <c r="CG83" s="76">
        <v>0</v>
      </c>
      <c r="CH83" s="76">
        <v>0</v>
      </c>
      <c r="CI83" s="76">
        <v>0.4</v>
      </c>
      <c r="CJ83" s="76">
        <v>0</v>
      </c>
      <c r="CK83" s="76">
        <v>24.37</v>
      </c>
      <c r="CL83" s="76">
        <v>11.67</v>
      </c>
      <c r="CM83" s="76">
        <v>2.9</v>
      </c>
      <c r="CN83" s="76">
        <v>0</v>
      </c>
      <c r="CO83" s="76">
        <v>0</v>
      </c>
      <c r="CP83" s="76">
        <v>5.05</v>
      </c>
      <c r="CQ83" s="76">
        <v>0</v>
      </c>
      <c r="CR83" s="76">
        <v>0</v>
      </c>
      <c r="CS83" s="76">
        <v>0</v>
      </c>
      <c r="CT83" s="76">
        <v>0</v>
      </c>
      <c r="CU83" s="76">
        <v>0</v>
      </c>
      <c r="CV83" s="76">
        <v>0</v>
      </c>
      <c r="CW83" s="76">
        <v>0</v>
      </c>
      <c r="CX83" s="76">
        <v>0</v>
      </c>
      <c r="CY83" s="281">
        <v>99.19</v>
      </c>
      <c r="CZ83" s="285">
        <v>0.49849716130468663</v>
      </c>
      <c r="DA83" s="285">
        <v>6.7594344873650241E-3</v>
      </c>
      <c r="DB83" s="285">
        <v>5.8777691194478469E-4</v>
      </c>
      <c r="DC83" s="285">
        <v>0</v>
      </c>
      <c r="DD83" s="285">
        <v>0</v>
      </c>
      <c r="DE83" s="285">
        <v>0</v>
      </c>
      <c r="DF83" s="285">
        <v>0</v>
      </c>
      <c r="DG83" s="285">
        <v>0</v>
      </c>
      <c r="DH83" s="285">
        <v>4.4528553935210954E-3</v>
      </c>
      <c r="DI83" s="285">
        <v>0</v>
      </c>
      <c r="DJ83" s="285">
        <v>0.27129021485027277</v>
      </c>
      <c r="DK83" s="285">
        <v>0.12991205610597795</v>
      </c>
      <c r="DL83" s="285">
        <v>3.2283201603027945E-2</v>
      </c>
      <c r="DM83" s="285">
        <v>0</v>
      </c>
      <c r="DN83" s="285">
        <v>0</v>
      </c>
      <c r="DO83" s="285">
        <v>5.6217299343203832E-2</v>
      </c>
      <c r="DP83" s="285">
        <v>0</v>
      </c>
      <c r="DQ83" s="285">
        <v>0</v>
      </c>
      <c r="DR83" s="285">
        <v>0</v>
      </c>
      <c r="DS83" s="285">
        <v>0</v>
      </c>
      <c r="DT83" s="285">
        <v>0</v>
      </c>
      <c r="DU83" s="285">
        <v>0</v>
      </c>
      <c r="DV83" s="285">
        <v>0</v>
      </c>
      <c r="DW83" s="285">
        <v>0</v>
      </c>
      <c r="DX83" s="76">
        <v>0.99999999999999989</v>
      </c>
      <c r="DY83" s="78">
        <v>73.12363887429575</v>
      </c>
      <c r="DZ83" s="78">
        <v>18.634249407249786</v>
      </c>
      <c r="EA83" s="78">
        <v>0.5436131836966146</v>
      </c>
      <c r="EB83" s="78">
        <v>0.25230687710749405</v>
      </c>
      <c r="EC83" s="78">
        <v>0</v>
      </c>
      <c r="ED83" s="78">
        <v>0.19278104400134133</v>
      </c>
      <c r="EE83" s="78">
        <v>2.9561964711263506E-2</v>
      </c>
      <c r="EF83" s="78">
        <v>6.9489209556971264E-3</v>
      </c>
      <c r="EG83" s="78">
        <v>0.89443410502703724</v>
      </c>
      <c r="EH83" s="78">
        <v>0</v>
      </c>
      <c r="EI83" s="78">
        <v>0</v>
      </c>
      <c r="EJ83" s="78">
        <v>6.3224656229550424</v>
      </c>
      <c r="EK83" s="78">
        <v>0</v>
      </c>
      <c r="EL83" s="78">
        <v>100.00000000000004</v>
      </c>
      <c r="EM83" s="76">
        <v>95.241831122353503</v>
      </c>
      <c r="EN83" s="76" t="s">
        <v>168</v>
      </c>
      <c r="EO83" s="289">
        <v>8.1862767974378303E-3</v>
      </c>
      <c r="EP83" s="257">
        <f t="shared" si="34"/>
        <v>0.81862767974378303</v>
      </c>
      <c r="EQ83" s="257">
        <f t="shared" si="35"/>
        <v>86.453143534994069</v>
      </c>
      <c r="ER83" s="324">
        <f t="shared" si="36"/>
        <v>4.5553145336225592E-2</v>
      </c>
      <c r="ES83" s="257">
        <f t="shared" si="31"/>
        <v>0.8259385665529011</v>
      </c>
      <c r="ET83">
        <f t="shared" si="32"/>
        <v>125.5</v>
      </c>
      <c r="EU83" s="324">
        <f t="shared" si="37"/>
        <v>5.5153188361628504E-2</v>
      </c>
      <c r="EV83" s="39">
        <f t="shared" si="38"/>
        <v>165.345</v>
      </c>
      <c r="EW83"/>
      <c r="EX83">
        <f t="shared" si="39"/>
        <v>15</v>
      </c>
      <c r="EY83"/>
      <c r="EZ83"/>
      <c r="FA83"/>
      <c r="FB83"/>
      <c r="FC83"/>
      <c r="FD83"/>
    </row>
    <row r="84" spans="1:160" s="77" customFormat="1" ht="13" customHeight="1" x14ac:dyDescent="0.2">
      <c r="A84" s="72" t="s">
        <v>169</v>
      </c>
      <c r="B84" s="73" t="s">
        <v>462</v>
      </c>
      <c r="C84" s="276">
        <f t="shared" si="40"/>
        <v>165.07999999999998</v>
      </c>
      <c r="D84" s="74">
        <v>149</v>
      </c>
      <c r="E84" s="74">
        <v>155</v>
      </c>
      <c r="F84" s="75">
        <f t="shared" si="26"/>
        <v>152</v>
      </c>
      <c r="G84" s="73" t="s">
        <v>507</v>
      </c>
      <c r="H84" s="84">
        <v>2.5</v>
      </c>
      <c r="I84" s="85">
        <v>4</v>
      </c>
      <c r="J84" s="85">
        <v>6</v>
      </c>
      <c r="K84" s="89">
        <f t="shared" si="21"/>
        <v>1.6666666666666667</v>
      </c>
      <c r="L84" s="75">
        <v>140</v>
      </c>
      <c r="M84" s="75">
        <v>81</v>
      </c>
      <c r="N84" s="75">
        <v>54</v>
      </c>
      <c r="O84" s="75">
        <v>61.35</v>
      </c>
      <c r="P84" s="75">
        <v>19.559999999999999</v>
      </c>
      <c r="Q84" s="75">
        <v>8.2200000000000006</v>
      </c>
      <c r="R84" s="75">
        <v>3.4000000000000002E-2</v>
      </c>
      <c r="S84" s="75">
        <v>0.23</v>
      </c>
      <c r="T84" s="75">
        <v>0.03</v>
      </c>
      <c r="U84" s="75">
        <v>0.1</v>
      </c>
      <c r="V84" s="75">
        <v>0.59</v>
      </c>
      <c r="W84" s="75">
        <v>0.73799999999999999</v>
      </c>
      <c r="X84" s="75">
        <v>0.03</v>
      </c>
      <c r="Y84" s="75">
        <v>8.91</v>
      </c>
      <c r="Z84" s="75">
        <v>99.78</v>
      </c>
      <c r="AA84" s="75">
        <v>23</v>
      </c>
      <c r="AB84" s="75">
        <v>2</v>
      </c>
      <c r="AC84" s="75">
        <v>138</v>
      </c>
      <c r="AD84" s="75">
        <v>30</v>
      </c>
      <c r="AE84" s="75">
        <v>6</v>
      </c>
      <c r="AF84" s="75">
        <v>0</v>
      </c>
      <c r="AG84" s="75">
        <v>40</v>
      </c>
      <c r="AH84" s="75">
        <v>60</v>
      </c>
      <c r="AI84" s="75">
        <v>16</v>
      </c>
      <c r="AJ84" s="75">
        <v>1</v>
      </c>
      <c r="AK84" s="75">
        <v>0</v>
      </c>
      <c r="AL84" s="75">
        <v>41</v>
      </c>
      <c r="AM84" s="75">
        <v>18</v>
      </c>
      <c r="AN84" s="75">
        <v>5</v>
      </c>
      <c r="AO84" s="75">
        <v>137</v>
      </c>
      <c r="AP84" s="75">
        <v>6</v>
      </c>
      <c r="AQ84" s="75" t="s">
        <v>72</v>
      </c>
      <c r="AR84" s="75" t="s">
        <v>74</v>
      </c>
      <c r="AS84" s="75" t="s">
        <v>73</v>
      </c>
      <c r="AT84" s="75">
        <v>1</v>
      </c>
      <c r="AU84" s="75" t="s">
        <v>74</v>
      </c>
      <c r="AV84" s="75">
        <v>2.5</v>
      </c>
      <c r="AW84" s="75">
        <v>163</v>
      </c>
      <c r="AX84" s="75" t="s">
        <v>75</v>
      </c>
      <c r="AY84" s="75">
        <v>6</v>
      </c>
      <c r="AZ84" s="75">
        <v>27.1</v>
      </c>
      <c r="BA84" s="75">
        <v>1.44</v>
      </c>
      <c r="BB84" s="75">
        <v>5.2</v>
      </c>
      <c r="BC84" s="75">
        <v>0.9</v>
      </c>
      <c r="BD84" s="75">
        <v>0.25</v>
      </c>
      <c r="BE84" s="75">
        <v>0.8</v>
      </c>
      <c r="BF84" s="75">
        <v>0.1</v>
      </c>
      <c r="BG84" s="75">
        <v>1</v>
      </c>
      <c r="BH84" s="75">
        <v>0.2</v>
      </c>
      <c r="BI84" s="75">
        <v>0.7</v>
      </c>
      <c r="BJ84" s="75">
        <v>0.11</v>
      </c>
      <c r="BK84" s="75">
        <v>0.8</v>
      </c>
      <c r="BL84" s="75">
        <v>0.13</v>
      </c>
      <c r="BM84" s="75">
        <v>3.6</v>
      </c>
      <c r="BN84" s="75">
        <v>0.4</v>
      </c>
      <c r="BO84" s="75">
        <v>0</v>
      </c>
      <c r="BP84" s="75">
        <v>0.2</v>
      </c>
      <c r="BQ84" s="75">
        <v>24</v>
      </c>
      <c r="BR84" s="75">
        <v>9.6</v>
      </c>
      <c r="BS84" s="75">
        <v>1.9</v>
      </c>
      <c r="BT84" s="76">
        <f t="shared" si="27"/>
        <v>0.81873111782477337</v>
      </c>
      <c r="BU84" s="281">
        <f t="shared" si="28"/>
        <v>44.730000000000004</v>
      </c>
      <c r="BV84" s="77">
        <f t="shared" si="29"/>
        <v>152</v>
      </c>
      <c r="BW84" s="78">
        <f t="shared" si="30"/>
        <v>96.449704142011811</v>
      </c>
      <c r="BX84" s="69">
        <f t="shared" si="33"/>
        <v>0.81873111782477337</v>
      </c>
      <c r="BY84" s="76">
        <v>7.73</v>
      </c>
      <c r="BZ84" s="76">
        <v>1.64</v>
      </c>
      <c r="CA84" s="76">
        <v>38.94</v>
      </c>
      <c r="CB84" s="76">
        <v>0.81880000000000008</v>
      </c>
      <c r="CC84" s="76">
        <v>7.1199999999999999E-2</v>
      </c>
      <c r="CD84" s="76">
        <v>0</v>
      </c>
      <c r="CE84" s="76">
        <v>0</v>
      </c>
      <c r="CF84" s="76">
        <v>0</v>
      </c>
      <c r="CG84" s="76">
        <v>0</v>
      </c>
      <c r="CH84" s="76">
        <v>0</v>
      </c>
      <c r="CI84" s="76">
        <v>1.31</v>
      </c>
      <c r="CJ84" s="76">
        <v>0</v>
      </c>
      <c r="CK84" s="76">
        <v>29.44</v>
      </c>
      <c r="CL84" s="76">
        <v>14.38</v>
      </c>
      <c r="CM84" s="76">
        <v>3.4</v>
      </c>
      <c r="CN84" s="76">
        <v>0</v>
      </c>
      <c r="CO84" s="76">
        <v>0</v>
      </c>
      <c r="CP84" s="76">
        <v>2.2799999999999998</v>
      </c>
      <c r="CQ84" s="76">
        <v>0</v>
      </c>
      <c r="CR84" s="76">
        <v>0</v>
      </c>
      <c r="CS84" s="76">
        <v>0</v>
      </c>
      <c r="CT84" s="76">
        <v>0</v>
      </c>
      <c r="CU84" s="76">
        <v>0</v>
      </c>
      <c r="CV84" s="76">
        <v>0</v>
      </c>
      <c r="CW84" s="76">
        <v>0</v>
      </c>
      <c r="CX84" s="76">
        <v>0</v>
      </c>
      <c r="CY84" s="281">
        <v>100.01</v>
      </c>
      <c r="CZ84" s="285">
        <v>0.42961165048543687</v>
      </c>
      <c r="DA84" s="285">
        <v>9.0335392762577234E-3</v>
      </c>
      <c r="DB84" s="285">
        <v>7.8552515445719326E-4</v>
      </c>
      <c r="DC84" s="285">
        <v>0</v>
      </c>
      <c r="DD84" s="285">
        <v>0</v>
      </c>
      <c r="DE84" s="285">
        <v>0</v>
      </c>
      <c r="DF84" s="285">
        <v>0</v>
      </c>
      <c r="DG84" s="285">
        <v>0</v>
      </c>
      <c r="DH84" s="285">
        <v>1.4452780229479259E-2</v>
      </c>
      <c r="DI84" s="285">
        <v>0</v>
      </c>
      <c r="DJ84" s="285">
        <v>0.32480141218005298</v>
      </c>
      <c r="DK84" s="285">
        <v>0.15864960282436011</v>
      </c>
      <c r="DL84" s="285">
        <v>3.7511032656663723E-2</v>
      </c>
      <c r="DM84" s="285">
        <v>0</v>
      </c>
      <c r="DN84" s="285">
        <v>0</v>
      </c>
      <c r="DO84" s="285">
        <v>2.5154457193292141E-2</v>
      </c>
      <c r="DP84" s="285">
        <v>0</v>
      </c>
      <c r="DQ84" s="285">
        <v>0</v>
      </c>
      <c r="DR84" s="285">
        <v>0</v>
      </c>
      <c r="DS84" s="285">
        <v>0</v>
      </c>
      <c r="DT84" s="285">
        <v>0</v>
      </c>
      <c r="DU84" s="285">
        <v>0</v>
      </c>
      <c r="DV84" s="285">
        <v>0</v>
      </c>
      <c r="DW84" s="285">
        <v>0</v>
      </c>
      <c r="DX84" s="76">
        <v>1.0000000000000002</v>
      </c>
      <c r="DY84" s="78">
        <v>68.807274336832663</v>
      </c>
      <c r="DZ84" s="78">
        <v>21.943254119166859</v>
      </c>
      <c r="EA84" s="78">
        <v>0.64638042090009984</v>
      </c>
      <c r="EB84" s="78">
        <v>0.11289483155403358</v>
      </c>
      <c r="EC84" s="78">
        <v>0</v>
      </c>
      <c r="ED84" s="78">
        <v>0.12420715896380607</v>
      </c>
      <c r="EE84" s="78">
        <v>3.4349127986591607E-2</v>
      </c>
      <c r="EF84" s="78">
        <v>9.2867754689003237E-3</v>
      </c>
      <c r="EG84" s="78">
        <v>0.5928154091761153</v>
      </c>
      <c r="EH84" s="78">
        <v>0</v>
      </c>
      <c r="EI84" s="78">
        <v>0</v>
      </c>
      <c r="EJ84" s="78">
        <v>7.7295378199509353</v>
      </c>
      <c r="EK84" s="78">
        <v>0</v>
      </c>
      <c r="EL84" s="78">
        <v>100</v>
      </c>
      <c r="EM84" s="76">
        <v>97.181312597039877</v>
      </c>
      <c r="EN84" s="76" t="s">
        <v>169</v>
      </c>
      <c r="EO84" s="289">
        <v>7.694357872939964E-3</v>
      </c>
      <c r="EP84" s="257">
        <f t="shared" si="34"/>
        <v>0.76943578729399642</v>
      </c>
      <c r="EQ84" s="257">
        <f t="shared" si="35"/>
        <v>93.436853002070407</v>
      </c>
      <c r="ER84" s="324">
        <f t="shared" si="36"/>
        <v>4.5871559633027519E-2</v>
      </c>
      <c r="ES84" s="257">
        <f t="shared" si="31"/>
        <v>0.81873111782477337</v>
      </c>
      <c r="ET84">
        <f t="shared" si="32"/>
        <v>152</v>
      </c>
      <c r="EU84" s="324">
        <f t="shared" si="37"/>
        <v>5.6027624496428445E-2</v>
      </c>
      <c r="EV84" s="39">
        <f t="shared" si="38"/>
        <v>165.07999999999998</v>
      </c>
      <c r="EW84"/>
      <c r="EX84">
        <f t="shared" si="39"/>
        <v>25</v>
      </c>
      <c r="EY84"/>
      <c r="EZ84"/>
      <c r="FA84"/>
      <c r="FB84"/>
      <c r="FC84"/>
      <c r="FD84"/>
    </row>
    <row r="85" spans="1:160" s="77" customFormat="1" ht="13" customHeight="1" x14ac:dyDescent="0.2">
      <c r="A85" s="72" t="s">
        <v>113</v>
      </c>
      <c r="B85" s="73" t="s">
        <v>462</v>
      </c>
      <c r="C85" s="276">
        <f>162.7-F85/100</f>
        <v>162.69</v>
      </c>
      <c r="D85" s="74">
        <v>0</v>
      </c>
      <c r="E85" s="74">
        <v>2</v>
      </c>
      <c r="F85" s="75">
        <f t="shared" si="26"/>
        <v>1</v>
      </c>
      <c r="G85" s="73" t="s">
        <v>527</v>
      </c>
      <c r="H85" s="84">
        <v>7.5</v>
      </c>
      <c r="I85" s="85">
        <v>2.5</v>
      </c>
      <c r="J85" s="85">
        <v>2</v>
      </c>
      <c r="K85" s="89">
        <f t="shared" si="21"/>
        <v>9.375</v>
      </c>
      <c r="L85" s="75">
        <v>74</v>
      </c>
      <c r="M85" s="75">
        <v>57</v>
      </c>
      <c r="N85" s="75">
        <v>45</v>
      </c>
      <c r="O85" s="75">
        <v>81.59</v>
      </c>
      <c r="P85" s="75">
        <v>3.93</v>
      </c>
      <c r="Q85" s="75">
        <v>2.84</v>
      </c>
      <c r="R85" s="75">
        <v>6.6000000000000003E-2</v>
      </c>
      <c r="S85" s="75">
        <v>7.0000000000000007E-2</v>
      </c>
      <c r="T85" s="75">
        <v>0.2</v>
      </c>
      <c r="U85" s="75">
        <v>0.12</v>
      </c>
      <c r="V85" s="75">
        <v>1.1599999999999999</v>
      </c>
      <c r="W85" s="75">
        <v>0.28299999999999997</v>
      </c>
      <c r="X85" s="75">
        <v>0</v>
      </c>
      <c r="Y85" s="75">
        <v>9.08</v>
      </c>
      <c r="Z85" s="75">
        <v>99.35</v>
      </c>
      <c r="AA85" s="75">
        <v>3</v>
      </c>
      <c r="AB85" s="75">
        <v>0</v>
      </c>
      <c r="AC85" s="75">
        <v>38</v>
      </c>
      <c r="AD85" s="75">
        <v>0</v>
      </c>
      <c r="AE85" s="75">
        <v>3</v>
      </c>
      <c r="AF85" s="75">
        <v>0</v>
      </c>
      <c r="AG85" s="75">
        <v>0</v>
      </c>
      <c r="AH85" s="75">
        <v>0</v>
      </c>
      <c r="AI85" s="75">
        <v>5</v>
      </c>
      <c r="AJ85" s="75">
        <v>0</v>
      </c>
      <c r="AK85" s="75">
        <v>0</v>
      </c>
      <c r="AL85" s="75">
        <v>31</v>
      </c>
      <c r="AM85" s="75">
        <v>49</v>
      </c>
      <c r="AN85" s="75">
        <v>4</v>
      </c>
      <c r="AO85" s="75">
        <v>392</v>
      </c>
      <c r="AP85" s="75">
        <v>3</v>
      </c>
      <c r="AQ85" s="75" t="s">
        <v>72</v>
      </c>
      <c r="AR85" s="75">
        <v>0.8</v>
      </c>
      <c r="AS85" s="75" t="s">
        <v>73</v>
      </c>
      <c r="AT85" s="75">
        <v>1</v>
      </c>
      <c r="AU85" s="75" t="s">
        <v>74</v>
      </c>
      <c r="AV85" s="75">
        <v>0.8</v>
      </c>
      <c r="AW85" s="75">
        <v>368</v>
      </c>
      <c r="AX85" s="75" t="s">
        <v>75</v>
      </c>
      <c r="AY85" s="75">
        <v>5</v>
      </c>
      <c r="AZ85" s="75">
        <v>9.5</v>
      </c>
      <c r="BA85" s="75">
        <v>1.1000000000000001</v>
      </c>
      <c r="BB85" s="75">
        <v>3.9</v>
      </c>
      <c r="BC85" s="75">
        <v>0.8</v>
      </c>
      <c r="BD85" s="75">
        <v>0.16</v>
      </c>
      <c r="BE85" s="75">
        <v>0.6</v>
      </c>
      <c r="BF85" s="75">
        <v>0.1</v>
      </c>
      <c r="BG85" s="75">
        <v>0.8</v>
      </c>
      <c r="BH85" s="75">
        <v>0.2</v>
      </c>
      <c r="BI85" s="75">
        <v>0.6</v>
      </c>
      <c r="BJ85" s="75">
        <v>0.09</v>
      </c>
      <c r="BK85" s="75">
        <v>0.7</v>
      </c>
      <c r="BL85" s="75">
        <v>0.13</v>
      </c>
      <c r="BM85" s="75">
        <v>10.6</v>
      </c>
      <c r="BN85" s="75">
        <v>0.4</v>
      </c>
      <c r="BO85" s="75">
        <v>0</v>
      </c>
      <c r="BP85" s="75">
        <v>0.1</v>
      </c>
      <c r="BQ85" s="75">
        <v>14</v>
      </c>
      <c r="BR85" s="75">
        <v>2.4</v>
      </c>
      <c r="BS85" s="75">
        <v>1.5</v>
      </c>
      <c r="BT85" s="76">
        <f t="shared" si="27"/>
        <v>0.65517241379310343</v>
      </c>
      <c r="BU85" s="281">
        <f t="shared" si="28"/>
        <v>23.680000000000003</v>
      </c>
      <c r="BV85" s="77">
        <f t="shared" si="29"/>
        <v>1</v>
      </c>
      <c r="BW85" s="78">
        <f t="shared" si="30"/>
        <v>72.64325323475046</v>
      </c>
      <c r="BX85" s="69">
        <f t="shared" si="33"/>
        <v>0.65517241379310343</v>
      </c>
      <c r="BY85" s="76">
        <v>8.81</v>
      </c>
      <c r="BZ85" s="76">
        <v>0.78</v>
      </c>
      <c r="CA85" s="76">
        <v>55.69</v>
      </c>
      <c r="CB85" s="76">
        <v>4.6551999999999998</v>
      </c>
      <c r="CC85" s="76">
        <v>0.40479999999999999</v>
      </c>
      <c r="CD85" s="76">
        <v>0</v>
      </c>
      <c r="CE85" s="76">
        <v>0</v>
      </c>
      <c r="CF85" s="76">
        <v>0</v>
      </c>
      <c r="CG85" s="76">
        <v>0</v>
      </c>
      <c r="CH85" s="76">
        <v>0</v>
      </c>
      <c r="CI85" s="76">
        <v>0</v>
      </c>
      <c r="CJ85" s="76">
        <v>0</v>
      </c>
      <c r="CK85" s="76">
        <v>13.32</v>
      </c>
      <c r="CL85" s="76">
        <v>13.42</v>
      </c>
      <c r="CM85" s="76">
        <v>0.32</v>
      </c>
      <c r="CN85" s="76">
        <v>0</v>
      </c>
      <c r="CO85" s="76">
        <v>0.2</v>
      </c>
      <c r="CP85" s="76">
        <v>2.41</v>
      </c>
      <c r="CQ85" s="76">
        <v>0</v>
      </c>
      <c r="CR85" s="76">
        <v>0</v>
      </c>
      <c r="CS85" s="76">
        <v>0</v>
      </c>
      <c r="CT85" s="76">
        <v>0</v>
      </c>
      <c r="CU85" s="76">
        <v>0</v>
      </c>
      <c r="CV85" s="76">
        <v>0</v>
      </c>
      <c r="CW85" s="76">
        <v>0</v>
      </c>
      <c r="CX85" s="76">
        <v>0</v>
      </c>
      <c r="CY85" s="281">
        <v>100.00999999999999</v>
      </c>
      <c r="CZ85" s="285">
        <v>0.61590356115903566</v>
      </c>
      <c r="DA85" s="285">
        <v>5.1484184914841857E-2</v>
      </c>
      <c r="DB85" s="285">
        <v>4.4768856447688571E-3</v>
      </c>
      <c r="DC85" s="285">
        <v>0</v>
      </c>
      <c r="DD85" s="285">
        <v>0</v>
      </c>
      <c r="DE85" s="285">
        <v>0</v>
      </c>
      <c r="DF85" s="285">
        <v>0</v>
      </c>
      <c r="DG85" s="285">
        <v>0</v>
      </c>
      <c r="DH85" s="285">
        <v>0</v>
      </c>
      <c r="DI85" s="285">
        <v>0</v>
      </c>
      <c r="DJ85" s="285">
        <v>0.14731254147312545</v>
      </c>
      <c r="DK85" s="285">
        <v>0.14841849148418493</v>
      </c>
      <c r="DL85" s="285">
        <v>3.5390400353904009E-3</v>
      </c>
      <c r="DM85" s="285">
        <v>0</v>
      </c>
      <c r="DN85" s="285">
        <v>2.2119000221190008E-3</v>
      </c>
      <c r="DO85" s="285">
        <v>2.6653395266533958E-2</v>
      </c>
      <c r="DP85" s="285">
        <v>0</v>
      </c>
      <c r="DQ85" s="285">
        <v>0</v>
      </c>
      <c r="DR85" s="285">
        <v>0</v>
      </c>
      <c r="DS85" s="285">
        <v>0</v>
      </c>
      <c r="DT85" s="285">
        <v>0</v>
      </c>
      <c r="DU85" s="285">
        <v>0</v>
      </c>
      <c r="DV85" s="285">
        <v>0</v>
      </c>
      <c r="DW85" s="285">
        <v>0</v>
      </c>
      <c r="DX85" s="76">
        <v>1.0000000000000002</v>
      </c>
      <c r="DY85" s="78">
        <v>80.56889595797206</v>
      </c>
      <c r="DZ85" s="78">
        <v>13.404699972853237</v>
      </c>
      <c r="EA85" s="78">
        <v>0.24046010389135439</v>
      </c>
      <c r="EB85" s="78">
        <v>0.15403999679546285</v>
      </c>
      <c r="EC85" s="78">
        <v>0</v>
      </c>
      <c r="ED85" s="78">
        <v>8.4305539176989491E-2</v>
      </c>
      <c r="EE85" s="78">
        <v>3.5454621063410615E-3</v>
      </c>
      <c r="EF85" s="78">
        <v>5.2927435292178263E-2</v>
      </c>
      <c r="EG85" s="78">
        <v>1.206841616951827</v>
      </c>
      <c r="EH85" s="78">
        <v>4.7760885528058249E-3</v>
      </c>
      <c r="EI85" s="78">
        <v>0</v>
      </c>
      <c r="EJ85" s="78">
        <v>4.2795078264077473</v>
      </c>
      <c r="EK85" s="78">
        <v>0</v>
      </c>
      <c r="EL85" s="78">
        <v>100</v>
      </c>
      <c r="EM85" s="76">
        <v>91.387283429175341</v>
      </c>
      <c r="EN85" s="76" t="s">
        <v>113</v>
      </c>
      <c r="EO85" s="289">
        <v>4.0836370039840893E-3</v>
      </c>
      <c r="EP85" s="257">
        <f t="shared" si="34"/>
        <v>0.40836370039840891</v>
      </c>
      <c r="EQ85" s="257">
        <f t="shared" si="35"/>
        <v>77.709968032548687</v>
      </c>
      <c r="ER85" s="324">
        <f t="shared" si="36"/>
        <v>3.9408866995073899E-2</v>
      </c>
      <c r="ES85" s="257">
        <f t="shared" si="31"/>
        <v>0.65517241379310343</v>
      </c>
      <c r="ET85">
        <f t="shared" si="32"/>
        <v>1</v>
      </c>
      <c r="EU85" s="324">
        <f t="shared" si="37"/>
        <v>6.0150375939849635E-2</v>
      </c>
      <c r="EV85" s="39">
        <f t="shared" si="38"/>
        <v>162.69</v>
      </c>
      <c r="EW85"/>
      <c r="EX85">
        <f t="shared" si="39"/>
        <v>20</v>
      </c>
      <c r="EY85"/>
      <c r="EZ85"/>
      <c r="FA85"/>
      <c r="FB85"/>
      <c r="FC85"/>
      <c r="FD85"/>
    </row>
    <row r="86" spans="1:160" s="77" customFormat="1" ht="13" customHeight="1" x14ac:dyDescent="0.2">
      <c r="A86" s="72" t="s">
        <v>115</v>
      </c>
      <c r="B86" s="73" t="s">
        <v>462</v>
      </c>
      <c r="C86" s="276">
        <f t="shared" ref="C86:C98" si="41">162.7-F86/100</f>
        <v>162.64499999999998</v>
      </c>
      <c r="D86" s="74">
        <v>2</v>
      </c>
      <c r="E86" s="74">
        <v>9</v>
      </c>
      <c r="F86" s="75">
        <f t="shared" si="26"/>
        <v>5.5</v>
      </c>
      <c r="G86" s="73" t="s">
        <v>511</v>
      </c>
      <c r="H86" s="84">
        <v>5</v>
      </c>
      <c r="I86" s="85">
        <v>4</v>
      </c>
      <c r="J86" s="85">
        <v>4</v>
      </c>
      <c r="K86" s="89">
        <f t="shared" si="21"/>
        <v>5</v>
      </c>
      <c r="L86" s="75">
        <v>127</v>
      </c>
      <c r="M86" s="75">
        <v>87</v>
      </c>
      <c r="N86" s="75">
        <v>63</v>
      </c>
      <c r="O86" s="75">
        <v>85.97</v>
      </c>
      <c r="P86" s="75">
        <v>5.42</v>
      </c>
      <c r="Q86" s="75">
        <v>3.65</v>
      </c>
      <c r="R86" s="75">
        <v>4.7E-2</v>
      </c>
      <c r="S86" s="75">
        <v>0.06</v>
      </c>
      <c r="T86" s="75">
        <v>7.0000000000000007E-2</v>
      </c>
      <c r="U86" s="75">
        <v>0.12</v>
      </c>
      <c r="V86" s="75">
        <v>1.56</v>
      </c>
      <c r="W86" s="75">
        <v>0.41</v>
      </c>
      <c r="X86" s="75">
        <v>0</v>
      </c>
      <c r="Y86" s="75">
        <v>3.27</v>
      </c>
      <c r="Z86" s="75">
        <v>100.6</v>
      </c>
      <c r="AA86" s="75">
        <v>4</v>
      </c>
      <c r="AB86" s="75">
        <v>0</v>
      </c>
      <c r="AC86" s="75">
        <v>51</v>
      </c>
      <c r="AD86" s="75">
        <v>20</v>
      </c>
      <c r="AE86" s="75">
        <v>4</v>
      </c>
      <c r="AF86" s="75">
        <v>0</v>
      </c>
      <c r="AG86" s="75">
        <v>20</v>
      </c>
      <c r="AH86" s="75">
        <v>0</v>
      </c>
      <c r="AI86" s="75">
        <v>7</v>
      </c>
      <c r="AJ86" s="75">
        <v>1</v>
      </c>
      <c r="AK86" s="75">
        <v>0</v>
      </c>
      <c r="AL86" s="75">
        <v>43</v>
      </c>
      <c r="AM86" s="75">
        <v>53</v>
      </c>
      <c r="AN86" s="75">
        <v>6</v>
      </c>
      <c r="AO86" s="75">
        <v>679</v>
      </c>
      <c r="AP86" s="75">
        <v>7</v>
      </c>
      <c r="AQ86" s="75" t="s">
        <v>72</v>
      </c>
      <c r="AR86" s="75">
        <v>1.7</v>
      </c>
      <c r="AS86" s="75" t="s">
        <v>73</v>
      </c>
      <c r="AT86" s="75">
        <v>2</v>
      </c>
      <c r="AU86" s="75" t="s">
        <v>74</v>
      </c>
      <c r="AV86" s="75">
        <v>1.1000000000000001</v>
      </c>
      <c r="AW86" s="75">
        <v>461</v>
      </c>
      <c r="AX86" s="75" t="s">
        <v>75</v>
      </c>
      <c r="AY86" s="75">
        <v>5.5</v>
      </c>
      <c r="AZ86" s="75">
        <v>11.8</v>
      </c>
      <c r="BA86" s="75">
        <v>1.23</v>
      </c>
      <c r="BB86" s="75">
        <v>4.5</v>
      </c>
      <c r="BC86" s="75">
        <v>0.8</v>
      </c>
      <c r="BD86" s="75">
        <v>0.19</v>
      </c>
      <c r="BE86" s="75">
        <v>0.9</v>
      </c>
      <c r="BF86" s="75">
        <v>0.2</v>
      </c>
      <c r="BG86" s="75">
        <v>1</v>
      </c>
      <c r="BH86" s="75">
        <v>0.2</v>
      </c>
      <c r="BI86" s="75">
        <v>0.7</v>
      </c>
      <c r="BJ86" s="75">
        <v>0.13</v>
      </c>
      <c r="BK86" s="75">
        <v>1.1000000000000001</v>
      </c>
      <c r="BL86" s="75">
        <v>0.2</v>
      </c>
      <c r="BM86" s="75">
        <v>17.899999999999999</v>
      </c>
      <c r="BN86" s="75">
        <v>0.6</v>
      </c>
      <c r="BO86" s="75">
        <v>0</v>
      </c>
      <c r="BP86" s="75">
        <v>0.1</v>
      </c>
      <c r="BQ86" s="75">
        <v>20</v>
      </c>
      <c r="BR86" s="75">
        <v>3.6</v>
      </c>
      <c r="BS86" s="75">
        <v>2.2999999999999998</v>
      </c>
      <c r="BT86" s="76">
        <f t="shared" si="27"/>
        <v>0.68208092485549132</v>
      </c>
      <c r="BU86" s="281">
        <f t="shared" si="28"/>
        <v>28.45</v>
      </c>
      <c r="BV86" s="77">
        <f t="shared" si="29"/>
        <v>5.5</v>
      </c>
      <c r="BW86" s="78">
        <f t="shared" si="30"/>
        <v>75.592747559274756</v>
      </c>
      <c r="BX86" s="69">
        <f t="shared" si="33"/>
        <v>0.68208092485549132</v>
      </c>
      <c r="BY86" s="76">
        <v>6.68</v>
      </c>
      <c r="BZ86" s="76">
        <v>1.17</v>
      </c>
      <c r="CA86" s="76">
        <v>55.69</v>
      </c>
      <c r="CB86" s="76">
        <v>5.5016000000000007</v>
      </c>
      <c r="CC86" s="76">
        <v>0.47840000000000005</v>
      </c>
      <c r="CD86" s="76">
        <v>0</v>
      </c>
      <c r="CE86" s="76">
        <v>0</v>
      </c>
      <c r="CF86" s="76">
        <v>0</v>
      </c>
      <c r="CG86" s="76">
        <v>0</v>
      </c>
      <c r="CH86" s="76">
        <v>0</v>
      </c>
      <c r="CI86" s="76">
        <v>0</v>
      </c>
      <c r="CJ86" s="76">
        <v>0</v>
      </c>
      <c r="CK86" s="76">
        <v>13.44</v>
      </c>
      <c r="CL86" s="76">
        <v>13.54</v>
      </c>
      <c r="CM86" s="76">
        <v>0.53</v>
      </c>
      <c r="CN86" s="76">
        <v>0</v>
      </c>
      <c r="CO86" s="76">
        <v>0.08</v>
      </c>
      <c r="CP86" s="76">
        <v>2.99</v>
      </c>
      <c r="CQ86" s="76">
        <v>0</v>
      </c>
      <c r="CR86" s="76">
        <v>0</v>
      </c>
      <c r="CS86" s="76">
        <v>0</v>
      </c>
      <c r="CT86" s="76">
        <v>0</v>
      </c>
      <c r="CU86" s="76">
        <v>0</v>
      </c>
      <c r="CV86" s="76">
        <v>0</v>
      </c>
      <c r="CW86" s="76">
        <v>0</v>
      </c>
      <c r="CX86" s="76">
        <v>0</v>
      </c>
      <c r="CY86" s="281">
        <v>100.1</v>
      </c>
      <c r="CZ86" s="285">
        <v>0.60368563685636856</v>
      </c>
      <c r="DA86" s="285">
        <v>5.96379403794038E-2</v>
      </c>
      <c r="DB86" s="285">
        <v>5.1859078590785913E-3</v>
      </c>
      <c r="DC86" s="285">
        <v>0</v>
      </c>
      <c r="DD86" s="285">
        <v>0</v>
      </c>
      <c r="DE86" s="285">
        <v>0</v>
      </c>
      <c r="DF86" s="285">
        <v>0</v>
      </c>
      <c r="DG86" s="285">
        <v>0</v>
      </c>
      <c r="DH86" s="285">
        <v>0</v>
      </c>
      <c r="DI86" s="285">
        <v>0</v>
      </c>
      <c r="DJ86" s="285">
        <v>0.14569105691056911</v>
      </c>
      <c r="DK86" s="285">
        <v>0.1467750677506775</v>
      </c>
      <c r="DL86" s="285">
        <v>5.7452574525745257E-3</v>
      </c>
      <c r="DM86" s="285">
        <v>0</v>
      </c>
      <c r="DN86" s="285">
        <v>8.6720867208672087E-4</v>
      </c>
      <c r="DO86" s="285">
        <v>3.2411924119241195E-2</v>
      </c>
      <c r="DP86" s="285">
        <v>0</v>
      </c>
      <c r="DQ86" s="285">
        <v>0</v>
      </c>
      <c r="DR86" s="285">
        <v>0</v>
      </c>
      <c r="DS86" s="285">
        <v>0</v>
      </c>
      <c r="DT86" s="285">
        <v>0</v>
      </c>
      <c r="DU86" s="285">
        <v>0</v>
      </c>
      <c r="DV86" s="285">
        <v>0</v>
      </c>
      <c r="DW86" s="285">
        <v>0</v>
      </c>
      <c r="DX86" s="76">
        <v>1</v>
      </c>
      <c r="DY86" s="78">
        <v>80.102783800066376</v>
      </c>
      <c r="DZ86" s="78">
        <v>13.638044880464012</v>
      </c>
      <c r="EA86" s="78">
        <v>0.24659533886637278</v>
      </c>
      <c r="EB86" s="78">
        <v>0.15896084228256946</v>
      </c>
      <c r="EC86" s="78">
        <v>0</v>
      </c>
      <c r="ED86" s="78">
        <v>9.4786380295043896E-2</v>
      </c>
      <c r="EE86" s="78">
        <v>5.3804512162428271E-3</v>
      </c>
      <c r="EF86" s="78">
        <v>6.1309764068532994E-2</v>
      </c>
      <c r="EG86" s="78">
        <v>1.413094796142599</v>
      </c>
      <c r="EH86" s="78">
        <v>1.8725373526057565E-3</v>
      </c>
      <c r="EI86" s="78">
        <v>0</v>
      </c>
      <c r="EJ86" s="78">
        <v>4.2771712092456404</v>
      </c>
      <c r="EK86" s="78">
        <v>0</v>
      </c>
      <c r="EL86" s="78">
        <v>100</v>
      </c>
      <c r="EM86" s="76">
        <v>90.211657215292021</v>
      </c>
      <c r="EN86" s="76" t="s">
        <v>115</v>
      </c>
      <c r="EO86" s="289">
        <v>4.1986265695437355E-3</v>
      </c>
      <c r="EP86" s="257">
        <f t="shared" si="34"/>
        <v>0.41986265695437353</v>
      </c>
      <c r="EQ86" s="257">
        <f t="shared" si="35"/>
        <v>74.8820427421593</v>
      </c>
      <c r="ER86" s="324">
        <f t="shared" si="36"/>
        <v>4.0511727078891252E-2</v>
      </c>
      <c r="ES86" s="257">
        <f t="shared" si="31"/>
        <v>0.68208092485549132</v>
      </c>
      <c r="ET86">
        <f t="shared" si="32"/>
        <v>5.5</v>
      </c>
      <c r="EU86" s="324">
        <f t="shared" si="37"/>
        <v>5.9394311734306669E-2</v>
      </c>
      <c r="EV86" s="39">
        <f t="shared" si="38"/>
        <v>162.64499999999998</v>
      </c>
      <c r="EW86"/>
      <c r="EX86">
        <f t="shared" si="39"/>
        <v>30</v>
      </c>
      <c r="EY86"/>
      <c r="EZ86"/>
      <c r="FA86"/>
      <c r="FB86"/>
      <c r="FC86"/>
      <c r="FD86"/>
    </row>
    <row r="87" spans="1:160" s="77" customFormat="1" ht="13" customHeight="1" x14ac:dyDescent="0.2">
      <c r="A87" s="72" t="s">
        <v>116</v>
      </c>
      <c r="B87" s="73" t="s">
        <v>462</v>
      </c>
      <c r="C87" s="276">
        <f t="shared" si="41"/>
        <v>162.57999999999998</v>
      </c>
      <c r="D87" s="74">
        <v>9</v>
      </c>
      <c r="E87" s="74">
        <v>15</v>
      </c>
      <c r="F87" s="75">
        <f t="shared" si="26"/>
        <v>12</v>
      </c>
      <c r="G87" s="73" t="s">
        <v>512</v>
      </c>
      <c r="H87" s="84">
        <v>10</v>
      </c>
      <c r="I87" s="85">
        <v>4</v>
      </c>
      <c r="J87" s="85">
        <v>6</v>
      </c>
      <c r="K87" s="89">
        <f t="shared" si="21"/>
        <v>6.666666666666667</v>
      </c>
      <c r="L87" s="75">
        <v>142</v>
      </c>
      <c r="M87" s="75">
        <v>79</v>
      </c>
      <c r="N87" s="75">
        <v>62</v>
      </c>
      <c r="O87" s="75">
        <v>84.94</v>
      </c>
      <c r="P87" s="75">
        <v>6.63</v>
      </c>
      <c r="Q87" s="75">
        <v>3.22</v>
      </c>
      <c r="R87" s="75">
        <v>0.03</v>
      </c>
      <c r="S87" s="75">
        <v>0.06</v>
      </c>
      <c r="T87" s="75">
        <v>0.05</v>
      </c>
      <c r="U87" s="75">
        <v>0.11</v>
      </c>
      <c r="V87" s="75">
        <v>1.41</v>
      </c>
      <c r="W87" s="75">
        <v>0.36899999999999999</v>
      </c>
      <c r="X87" s="75">
        <v>0</v>
      </c>
      <c r="Y87" s="75">
        <v>2.85</v>
      </c>
      <c r="Z87" s="75">
        <v>99.67</v>
      </c>
      <c r="AA87" s="75">
        <v>5</v>
      </c>
      <c r="AB87" s="75">
        <v>0</v>
      </c>
      <c r="AC87" s="75">
        <v>50</v>
      </c>
      <c r="AD87" s="75">
        <v>0</v>
      </c>
      <c r="AE87" s="75">
        <v>5</v>
      </c>
      <c r="AF87" s="75">
        <v>0</v>
      </c>
      <c r="AG87" s="75">
        <v>10</v>
      </c>
      <c r="AH87" s="75">
        <v>0</v>
      </c>
      <c r="AI87" s="75">
        <v>8</v>
      </c>
      <c r="AJ87" s="75">
        <v>0</v>
      </c>
      <c r="AK87" s="75">
        <v>0</v>
      </c>
      <c r="AL87" s="75">
        <v>42</v>
      </c>
      <c r="AM87" s="75">
        <v>46</v>
      </c>
      <c r="AN87" s="75">
        <v>6</v>
      </c>
      <c r="AO87" s="75">
        <v>486</v>
      </c>
      <c r="AP87" s="75">
        <v>5</v>
      </c>
      <c r="AQ87" s="75" t="s">
        <v>72</v>
      </c>
      <c r="AR87" s="75">
        <v>0.6</v>
      </c>
      <c r="AS87" s="75" t="s">
        <v>73</v>
      </c>
      <c r="AT87" s="75">
        <v>0</v>
      </c>
      <c r="AU87" s="75" t="s">
        <v>74</v>
      </c>
      <c r="AV87" s="75">
        <v>1.3</v>
      </c>
      <c r="AW87" s="75">
        <v>411</v>
      </c>
      <c r="AX87" s="75" t="s">
        <v>75</v>
      </c>
      <c r="AY87" s="75">
        <v>7.2</v>
      </c>
      <c r="AZ87" s="75">
        <v>19</v>
      </c>
      <c r="BA87" s="75">
        <v>1.64</v>
      </c>
      <c r="BB87" s="75">
        <v>5.9</v>
      </c>
      <c r="BC87" s="75">
        <v>1.2</v>
      </c>
      <c r="BD87" s="75">
        <v>0.28000000000000003</v>
      </c>
      <c r="BE87" s="75">
        <v>1</v>
      </c>
      <c r="BF87" s="75">
        <v>0.2</v>
      </c>
      <c r="BG87" s="75">
        <v>1.2</v>
      </c>
      <c r="BH87" s="75">
        <v>0.3</v>
      </c>
      <c r="BI87" s="75">
        <v>0.8</v>
      </c>
      <c r="BJ87" s="75">
        <v>0.14000000000000001</v>
      </c>
      <c r="BK87" s="75">
        <v>1</v>
      </c>
      <c r="BL87" s="75">
        <v>0.18</v>
      </c>
      <c r="BM87" s="75">
        <v>10.8</v>
      </c>
      <c r="BN87" s="75">
        <v>0.6</v>
      </c>
      <c r="BO87" s="75">
        <v>0</v>
      </c>
      <c r="BP87" s="75">
        <v>0</v>
      </c>
      <c r="BQ87" s="75">
        <v>11</v>
      </c>
      <c r="BR87" s="75">
        <v>4</v>
      </c>
      <c r="BS87" s="75">
        <v>2.1</v>
      </c>
      <c r="BT87" s="76">
        <f t="shared" si="27"/>
        <v>0.72519083969465647</v>
      </c>
      <c r="BU87" s="281">
        <f t="shared" si="28"/>
        <v>40.040000000000006</v>
      </c>
      <c r="BV87" s="77">
        <f t="shared" si="29"/>
        <v>12</v>
      </c>
      <c r="BW87" s="78">
        <f t="shared" si="30"/>
        <v>80.853658536585371</v>
      </c>
      <c r="BX87" s="69">
        <f t="shared" si="33"/>
        <v>0.72519083969465647</v>
      </c>
      <c r="BY87" s="76">
        <v>7.19</v>
      </c>
      <c r="BZ87" s="76">
        <v>0.84</v>
      </c>
      <c r="CA87" s="76">
        <v>56.69</v>
      </c>
      <c r="CB87" s="76">
        <v>5.2532000000000005</v>
      </c>
      <c r="CC87" s="76">
        <v>0.45679999999999998</v>
      </c>
      <c r="CD87" s="76">
        <v>0</v>
      </c>
      <c r="CE87" s="76">
        <v>0</v>
      </c>
      <c r="CF87" s="76">
        <v>0</v>
      </c>
      <c r="CG87" s="76">
        <v>0</v>
      </c>
      <c r="CH87" s="76">
        <v>0</v>
      </c>
      <c r="CI87" s="76">
        <v>0</v>
      </c>
      <c r="CJ87" s="76">
        <v>0</v>
      </c>
      <c r="CK87" s="76">
        <v>13.06</v>
      </c>
      <c r="CL87" s="76">
        <v>13.16</v>
      </c>
      <c r="CM87" s="76">
        <v>0.6</v>
      </c>
      <c r="CN87" s="76">
        <v>0</v>
      </c>
      <c r="CO87" s="76">
        <v>0.18</v>
      </c>
      <c r="CP87" s="76">
        <v>2.56</v>
      </c>
      <c r="CQ87" s="76">
        <v>0</v>
      </c>
      <c r="CR87" s="76">
        <v>0</v>
      </c>
      <c r="CS87" s="76">
        <v>0</v>
      </c>
      <c r="CT87" s="76">
        <v>0</v>
      </c>
      <c r="CU87" s="76">
        <v>0</v>
      </c>
      <c r="CV87" s="76">
        <v>0</v>
      </c>
      <c r="CW87" s="76">
        <v>0</v>
      </c>
      <c r="CX87" s="76">
        <v>0</v>
      </c>
      <c r="CY87" s="281">
        <v>99.990000000000009</v>
      </c>
      <c r="CZ87" s="285">
        <v>0.61646367986080908</v>
      </c>
      <c r="DA87" s="285">
        <v>5.7124836885602444E-2</v>
      </c>
      <c r="DB87" s="285">
        <v>4.9673771204871682E-3</v>
      </c>
      <c r="DC87" s="285">
        <v>0</v>
      </c>
      <c r="DD87" s="285">
        <v>0</v>
      </c>
      <c r="DE87" s="285">
        <v>0</v>
      </c>
      <c r="DF87" s="285">
        <v>0</v>
      </c>
      <c r="DG87" s="285">
        <v>0</v>
      </c>
      <c r="DH87" s="285">
        <v>0</v>
      </c>
      <c r="DI87" s="285">
        <v>0</v>
      </c>
      <c r="DJ87" s="285">
        <v>0.14201826881252719</v>
      </c>
      <c r="DK87" s="285">
        <v>0.14310569812962159</v>
      </c>
      <c r="DL87" s="285">
        <v>6.5245759025663336E-3</v>
      </c>
      <c r="DM87" s="285">
        <v>0</v>
      </c>
      <c r="DN87" s="285">
        <v>1.9573727707698999E-3</v>
      </c>
      <c r="DO87" s="285">
        <v>2.7838190517616358E-2</v>
      </c>
      <c r="DP87" s="285">
        <v>0</v>
      </c>
      <c r="DQ87" s="285">
        <v>0</v>
      </c>
      <c r="DR87" s="285">
        <v>0</v>
      </c>
      <c r="DS87" s="285">
        <v>0</v>
      </c>
      <c r="DT87" s="285">
        <v>0</v>
      </c>
      <c r="DU87" s="285">
        <v>0</v>
      </c>
      <c r="DV87" s="285">
        <v>0</v>
      </c>
      <c r="DW87" s="285">
        <v>0</v>
      </c>
      <c r="DX87" s="76">
        <v>1</v>
      </c>
      <c r="DY87" s="78">
        <v>80.701057619132229</v>
      </c>
      <c r="DZ87" s="78">
        <v>13.245309292768651</v>
      </c>
      <c r="EA87" s="78">
        <v>0.24399364231871032</v>
      </c>
      <c r="EB87" s="78">
        <v>0.15539691343709125</v>
      </c>
      <c r="EC87" s="78">
        <v>0</v>
      </c>
      <c r="ED87" s="78">
        <v>9.0749597171272622E-2</v>
      </c>
      <c r="EE87" s="78">
        <v>6.244272572874565E-3</v>
      </c>
      <c r="EF87" s="78">
        <v>5.8726211026550686E-2</v>
      </c>
      <c r="EG87" s="78">
        <v>1.3264484129085483</v>
      </c>
      <c r="EH87" s="78">
        <v>4.2264955877580725E-3</v>
      </c>
      <c r="EI87" s="78">
        <v>0</v>
      </c>
      <c r="EJ87" s="78">
        <v>4.1678475430763307</v>
      </c>
      <c r="EK87" s="78">
        <v>0</v>
      </c>
      <c r="EL87" s="78">
        <v>99.999999999999986</v>
      </c>
      <c r="EM87" s="76">
        <v>90.493648044052804</v>
      </c>
      <c r="EN87" s="76" t="s">
        <v>116</v>
      </c>
      <c r="EO87" s="289">
        <v>4.1337627796513982E-3</v>
      </c>
      <c r="EP87" s="257">
        <f t="shared" si="34"/>
        <v>0.41337627796513982</v>
      </c>
      <c r="EQ87" s="257">
        <f t="shared" si="35"/>
        <v>75.6273435246611</v>
      </c>
      <c r="ER87" s="324">
        <f t="shared" si="36"/>
        <v>4.5307443365695796E-2</v>
      </c>
      <c r="ES87" s="257">
        <f t="shared" si="31"/>
        <v>0.72519083969465647</v>
      </c>
      <c r="ET87">
        <f t="shared" si="32"/>
        <v>12</v>
      </c>
      <c r="EU87" s="324">
        <f t="shared" si="37"/>
        <v>6.2476579799012097E-2</v>
      </c>
      <c r="EV87" s="39">
        <f t="shared" si="38"/>
        <v>162.57999999999998</v>
      </c>
      <c r="EW87"/>
      <c r="EX87">
        <f t="shared" si="39"/>
        <v>20</v>
      </c>
      <c r="EY87"/>
      <c r="EZ87"/>
      <c r="FA87"/>
      <c r="FB87"/>
      <c r="FC87"/>
      <c r="FD87"/>
    </row>
    <row r="88" spans="1:160" s="77" customFormat="1" ht="13" customHeight="1" x14ac:dyDescent="0.2">
      <c r="A88" s="72" t="s">
        <v>117</v>
      </c>
      <c r="B88" s="73" t="s">
        <v>462</v>
      </c>
      <c r="C88" s="276">
        <f t="shared" si="41"/>
        <v>162.33999999999997</v>
      </c>
      <c r="D88" s="74">
        <v>15</v>
      </c>
      <c r="E88" s="74">
        <v>57</v>
      </c>
      <c r="F88" s="75">
        <f t="shared" si="26"/>
        <v>36</v>
      </c>
      <c r="G88" s="73" t="s">
        <v>518</v>
      </c>
      <c r="H88" s="84">
        <v>2.5</v>
      </c>
      <c r="I88" s="85">
        <v>4</v>
      </c>
      <c r="J88" s="85">
        <v>8</v>
      </c>
      <c r="K88" s="89">
        <f t="shared" si="21"/>
        <v>1.25</v>
      </c>
      <c r="L88" s="75">
        <v>150</v>
      </c>
      <c r="M88" s="75">
        <v>75</v>
      </c>
      <c r="N88" s="75">
        <v>38</v>
      </c>
      <c r="O88" s="75">
        <v>58.39</v>
      </c>
      <c r="P88" s="75">
        <v>21.32</v>
      </c>
      <c r="Q88" s="75">
        <v>8.89</v>
      </c>
      <c r="R88" s="75">
        <v>2.5999999999999999E-2</v>
      </c>
      <c r="S88" s="75">
        <v>0.19</v>
      </c>
      <c r="T88" s="75">
        <v>0.02</v>
      </c>
      <c r="U88" s="75">
        <v>0.05</v>
      </c>
      <c r="V88" s="75">
        <v>0.62</v>
      </c>
      <c r="W88" s="75">
        <v>0.67600000000000005</v>
      </c>
      <c r="X88" s="75">
        <v>0.03</v>
      </c>
      <c r="Y88" s="75">
        <v>10.31</v>
      </c>
      <c r="Z88" s="75">
        <v>100.5</v>
      </c>
      <c r="AA88" s="75">
        <v>21</v>
      </c>
      <c r="AB88" s="75">
        <v>2</v>
      </c>
      <c r="AC88" s="75">
        <v>133</v>
      </c>
      <c r="AD88" s="75">
        <v>30</v>
      </c>
      <c r="AE88" s="75">
        <v>6</v>
      </c>
      <c r="AF88" s="75">
        <v>0</v>
      </c>
      <c r="AG88" s="75">
        <v>40</v>
      </c>
      <c r="AH88" s="75">
        <v>60</v>
      </c>
      <c r="AI88" s="75">
        <v>26</v>
      </c>
      <c r="AJ88" s="75">
        <v>2</v>
      </c>
      <c r="AK88" s="75">
        <v>0</v>
      </c>
      <c r="AL88" s="75">
        <v>42</v>
      </c>
      <c r="AM88" s="75">
        <v>17</v>
      </c>
      <c r="AN88" s="75">
        <v>6</v>
      </c>
      <c r="AO88" s="75">
        <v>233</v>
      </c>
      <c r="AP88" s="75">
        <v>7</v>
      </c>
      <c r="AQ88" s="75" t="s">
        <v>72</v>
      </c>
      <c r="AR88" s="75" t="s">
        <v>74</v>
      </c>
      <c r="AS88" s="75" t="s">
        <v>73</v>
      </c>
      <c r="AT88" s="75">
        <v>2</v>
      </c>
      <c r="AU88" s="75" t="s">
        <v>74</v>
      </c>
      <c r="AV88" s="75">
        <v>2.9</v>
      </c>
      <c r="AW88" s="75">
        <v>173</v>
      </c>
      <c r="AX88" s="75" t="s">
        <v>75</v>
      </c>
      <c r="AY88" s="75">
        <v>7.3</v>
      </c>
      <c r="AZ88" s="75">
        <v>17.600000000000001</v>
      </c>
      <c r="BA88" s="75">
        <v>1.76</v>
      </c>
      <c r="BB88" s="75">
        <v>6.4</v>
      </c>
      <c r="BC88" s="75">
        <v>1.2</v>
      </c>
      <c r="BD88" s="75">
        <v>0.3</v>
      </c>
      <c r="BE88" s="75">
        <v>1.1000000000000001</v>
      </c>
      <c r="BF88" s="75">
        <v>0.2</v>
      </c>
      <c r="BG88" s="75">
        <v>1.1000000000000001</v>
      </c>
      <c r="BH88" s="75">
        <v>0.2</v>
      </c>
      <c r="BI88" s="75">
        <v>0.8</v>
      </c>
      <c r="BJ88" s="75">
        <v>0.13</v>
      </c>
      <c r="BK88" s="75">
        <v>1</v>
      </c>
      <c r="BL88" s="75">
        <v>0.17</v>
      </c>
      <c r="BM88" s="75">
        <v>5.8</v>
      </c>
      <c r="BN88" s="75">
        <v>0.6</v>
      </c>
      <c r="BO88" s="75">
        <v>0</v>
      </c>
      <c r="BP88" s="75">
        <v>0.2</v>
      </c>
      <c r="BQ88" s="75">
        <v>16</v>
      </c>
      <c r="BR88" s="75">
        <v>11.9</v>
      </c>
      <c r="BS88" s="75">
        <v>2.5</v>
      </c>
      <c r="BT88" s="76">
        <f t="shared" si="27"/>
        <v>0.70682730923694781</v>
      </c>
      <c r="BU88" s="281">
        <f t="shared" si="28"/>
        <v>39.260000000000012</v>
      </c>
      <c r="BV88" s="77">
        <f t="shared" si="29"/>
        <v>36</v>
      </c>
      <c r="BW88" s="78">
        <f t="shared" si="30"/>
        <v>96.865061335756465</v>
      </c>
      <c r="BX88" s="69">
        <f t="shared" si="33"/>
        <v>0.70682730923694781</v>
      </c>
      <c r="BY88" s="76">
        <v>10.16</v>
      </c>
      <c r="BZ88" s="76">
        <v>2.09</v>
      </c>
      <c r="CA88" s="76">
        <v>32.07</v>
      </c>
      <c r="CB88" s="76">
        <v>2.9532000000000003</v>
      </c>
      <c r="CC88" s="76">
        <v>0.25680000000000003</v>
      </c>
      <c r="CD88" s="76">
        <v>0</v>
      </c>
      <c r="CE88" s="76">
        <v>0</v>
      </c>
      <c r="CF88" s="76">
        <v>0</v>
      </c>
      <c r="CG88" s="76">
        <v>0</v>
      </c>
      <c r="CH88" s="76">
        <v>4.91</v>
      </c>
      <c r="CI88" s="76">
        <v>1.53</v>
      </c>
      <c r="CJ88" s="76">
        <v>0</v>
      </c>
      <c r="CK88" s="76">
        <v>15.82</v>
      </c>
      <c r="CL88" s="76">
        <v>15.95</v>
      </c>
      <c r="CM88" s="76">
        <v>8.1199999999999992</v>
      </c>
      <c r="CN88" s="76">
        <v>0.122</v>
      </c>
      <c r="CO88" s="76">
        <v>3.21</v>
      </c>
      <c r="CP88" s="76">
        <v>0</v>
      </c>
      <c r="CQ88" s="76">
        <v>0</v>
      </c>
      <c r="CR88" s="76">
        <v>0</v>
      </c>
      <c r="CS88" s="76">
        <v>0</v>
      </c>
      <c r="CT88" s="76">
        <v>0</v>
      </c>
      <c r="CU88" s="76">
        <v>0</v>
      </c>
      <c r="CV88" s="76">
        <v>0</v>
      </c>
      <c r="CW88" s="76">
        <v>0</v>
      </c>
      <c r="CX88" s="76">
        <v>0</v>
      </c>
      <c r="CY88" s="281">
        <v>97.191999999999993</v>
      </c>
      <c r="CZ88" s="285">
        <v>0.37755174118810486</v>
      </c>
      <c r="DA88" s="285">
        <v>3.476725294907114E-2</v>
      </c>
      <c r="DB88" s="285">
        <v>3.0232393868757511E-3</v>
      </c>
      <c r="DC88" s="285">
        <v>0</v>
      </c>
      <c r="DD88" s="285">
        <v>0</v>
      </c>
      <c r="DE88" s="285">
        <v>0</v>
      </c>
      <c r="DF88" s="285">
        <v>0</v>
      </c>
      <c r="DG88" s="285">
        <v>5.7804148713239627E-2</v>
      </c>
      <c r="DH88" s="285">
        <v>1.801229073956347E-2</v>
      </c>
      <c r="DI88" s="285">
        <v>0</v>
      </c>
      <c r="DJ88" s="285">
        <v>0.18624473169927716</v>
      </c>
      <c r="DK88" s="285">
        <v>0.18777518777518779</v>
      </c>
      <c r="DL88" s="285">
        <v>9.5594641049186496E-2</v>
      </c>
      <c r="DM88" s="285">
        <v>1.4362741635468908E-3</v>
      </c>
      <c r="DN88" s="285">
        <v>3.7790492335946883E-2</v>
      </c>
      <c r="DO88" s="285">
        <v>0</v>
      </c>
      <c r="DP88" s="285">
        <v>0</v>
      </c>
      <c r="DQ88" s="285">
        <v>0</v>
      </c>
      <c r="DR88" s="285">
        <v>0</v>
      </c>
      <c r="DS88" s="285">
        <v>0</v>
      </c>
      <c r="DT88" s="285">
        <v>0</v>
      </c>
      <c r="DU88" s="285">
        <v>0</v>
      </c>
      <c r="DV88" s="285">
        <v>0</v>
      </c>
      <c r="DW88" s="285">
        <v>0</v>
      </c>
      <c r="DX88" s="76">
        <v>1</v>
      </c>
      <c r="DY88" s="78">
        <v>62.995614588864242</v>
      </c>
      <c r="DZ88" s="78">
        <v>21.526791321822756</v>
      </c>
      <c r="EA88" s="78">
        <v>5.4927634764909943</v>
      </c>
      <c r="EB88" s="78">
        <v>0.59715190315587496</v>
      </c>
      <c r="EC88" s="78">
        <v>0</v>
      </c>
      <c r="ED88" s="78">
        <v>0.36977483534990929</v>
      </c>
      <c r="EE88" s="78">
        <v>9.2743173922883143E-2</v>
      </c>
      <c r="EF88" s="78">
        <v>3.5741879448853445E-2</v>
      </c>
      <c r="EG88" s="78">
        <v>1.1857618809956738</v>
      </c>
      <c r="EH88" s="78">
        <v>8.2369853940200494E-2</v>
      </c>
      <c r="EI88" s="78">
        <v>0</v>
      </c>
      <c r="EJ88" s="78">
        <v>7.6212870860086195</v>
      </c>
      <c r="EK88" s="78">
        <v>0</v>
      </c>
      <c r="EL88" s="78">
        <v>100.00000000000003</v>
      </c>
      <c r="EM88" s="76">
        <v>94.246115611617455</v>
      </c>
      <c r="EN88" s="76" t="s">
        <v>117</v>
      </c>
      <c r="EO88" s="289">
        <v>6.1436590509308983E-2</v>
      </c>
      <c r="EP88" s="257">
        <f t="shared" si="34"/>
        <v>6.1436590509308981</v>
      </c>
      <c r="EQ88" s="257">
        <f t="shared" si="35"/>
        <v>85.381658920271704</v>
      </c>
      <c r="ER88" s="324">
        <f t="shared" si="36"/>
        <v>4.4776119402985072E-2</v>
      </c>
      <c r="ES88" s="257">
        <f t="shared" si="31"/>
        <v>0.70682730923694781</v>
      </c>
      <c r="ET88">
        <f t="shared" si="32"/>
        <v>36</v>
      </c>
      <c r="EU88" s="324">
        <f t="shared" si="37"/>
        <v>6.3348032564450471E-2</v>
      </c>
      <c r="EV88" s="39">
        <f t="shared" si="38"/>
        <v>162.33999999999997</v>
      </c>
      <c r="EW88"/>
      <c r="EX88">
        <f t="shared" si="39"/>
        <v>30</v>
      </c>
      <c r="EY88"/>
      <c r="EZ88"/>
      <c r="FA88"/>
      <c r="FB88"/>
      <c r="FC88"/>
      <c r="FD88"/>
    </row>
    <row r="89" spans="1:160" s="77" customFormat="1" ht="13" customHeight="1" x14ac:dyDescent="0.2">
      <c r="A89" s="72" t="s">
        <v>118</v>
      </c>
      <c r="B89" s="73" t="s">
        <v>462</v>
      </c>
      <c r="C89" s="276">
        <f t="shared" si="41"/>
        <v>162.005</v>
      </c>
      <c r="D89" s="74">
        <v>57</v>
      </c>
      <c r="E89" s="74">
        <v>82</v>
      </c>
      <c r="F89" s="75">
        <f t="shared" si="26"/>
        <v>69.5</v>
      </c>
      <c r="G89" s="73" t="s">
        <v>518</v>
      </c>
      <c r="H89" s="84">
        <v>2.5</v>
      </c>
      <c r="I89" s="85">
        <v>4</v>
      </c>
      <c r="J89" s="85">
        <v>8</v>
      </c>
      <c r="K89" s="89">
        <f t="shared" si="21"/>
        <v>1.25</v>
      </c>
      <c r="L89" s="75">
        <v>150</v>
      </c>
      <c r="M89" s="75">
        <v>75</v>
      </c>
      <c r="N89" s="75">
        <v>38</v>
      </c>
      <c r="O89" s="75">
        <v>55.93</v>
      </c>
      <c r="P89" s="75">
        <v>22.76</v>
      </c>
      <c r="Q89" s="75">
        <v>9.66</v>
      </c>
      <c r="R89" s="75">
        <v>2.9000000000000001E-2</v>
      </c>
      <c r="S89" s="75">
        <v>0.21</v>
      </c>
      <c r="T89" s="75">
        <v>0.02</v>
      </c>
      <c r="U89" s="75">
        <v>0.06</v>
      </c>
      <c r="V89" s="75">
        <v>0.26</v>
      </c>
      <c r="W89" s="75">
        <v>0.67100000000000004</v>
      </c>
      <c r="X89" s="75">
        <v>0.03</v>
      </c>
      <c r="Y89" s="75">
        <v>10.89</v>
      </c>
      <c r="Z89" s="75">
        <v>100.5</v>
      </c>
      <c r="AA89" s="75">
        <v>30</v>
      </c>
      <c r="AB89" s="75">
        <v>2</v>
      </c>
      <c r="AC89" s="75">
        <v>141</v>
      </c>
      <c r="AD89" s="75">
        <v>20</v>
      </c>
      <c r="AE89" s="75">
        <v>5</v>
      </c>
      <c r="AF89" s="75">
        <v>0</v>
      </c>
      <c r="AG89" s="75">
        <v>50</v>
      </c>
      <c r="AH89" s="75">
        <v>60</v>
      </c>
      <c r="AI89" s="75">
        <v>27</v>
      </c>
      <c r="AJ89" s="75">
        <v>2</v>
      </c>
      <c r="AK89" s="75">
        <v>0</v>
      </c>
      <c r="AL89" s="75">
        <v>23</v>
      </c>
      <c r="AM89" s="75">
        <v>4</v>
      </c>
      <c r="AN89" s="75">
        <v>2</v>
      </c>
      <c r="AO89" s="75">
        <v>131</v>
      </c>
      <c r="AP89" s="75">
        <v>5</v>
      </c>
      <c r="AQ89" s="75" t="s">
        <v>72</v>
      </c>
      <c r="AR89" s="75" t="s">
        <v>74</v>
      </c>
      <c r="AS89" s="75" t="s">
        <v>73</v>
      </c>
      <c r="AT89" s="75">
        <v>1</v>
      </c>
      <c r="AU89" s="75" t="s">
        <v>74</v>
      </c>
      <c r="AV89" s="75">
        <v>1.9</v>
      </c>
      <c r="AW89" s="75">
        <v>43</v>
      </c>
      <c r="AX89" s="75" t="s">
        <v>75</v>
      </c>
      <c r="AY89" s="75">
        <v>4.7</v>
      </c>
      <c r="AZ89" s="75">
        <v>12.2</v>
      </c>
      <c r="BA89" s="75">
        <v>1.1499999999999999</v>
      </c>
      <c r="BB89" s="75">
        <v>4.0999999999999996</v>
      </c>
      <c r="BC89" s="75">
        <v>0.8</v>
      </c>
      <c r="BD89" s="75">
        <v>0.2</v>
      </c>
      <c r="BE89" s="75">
        <v>0.7</v>
      </c>
      <c r="BF89" s="75">
        <v>0.1</v>
      </c>
      <c r="BG89" s="75">
        <v>0.7</v>
      </c>
      <c r="BH89" s="75">
        <v>0.1</v>
      </c>
      <c r="BI89" s="75">
        <v>0.5</v>
      </c>
      <c r="BJ89" s="75">
        <v>0.08</v>
      </c>
      <c r="BK89" s="75">
        <v>0.7</v>
      </c>
      <c r="BL89" s="75">
        <v>0.12</v>
      </c>
      <c r="BM89" s="75">
        <v>3.3</v>
      </c>
      <c r="BN89" s="75">
        <v>0.4</v>
      </c>
      <c r="BO89" s="75">
        <v>0</v>
      </c>
      <c r="BP89" s="75">
        <v>0.1</v>
      </c>
      <c r="BQ89" s="75">
        <v>13</v>
      </c>
      <c r="BR89" s="75">
        <v>8.6999999999999993</v>
      </c>
      <c r="BS89" s="75">
        <v>1.7</v>
      </c>
      <c r="BT89" s="76">
        <f t="shared" si="27"/>
        <v>0.72189349112426038</v>
      </c>
      <c r="BU89" s="281">
        <f t="shared" si="28"/>
        <v>26.15</v>
      </c>
      <c r="BV89" s="77">
        <f t="shared" si="29"/>
        <v>69.5</v>
      </c>
      <c r="BW89" s="78">
        <f t="shared" si="30"/>
        <v>98.528138528138527</v>
      </c>
      <c r="BX89" s="69">
        <f t="shared" si="33"/>
        <v>0.72189349112426038</v>
      </c>
      <c r="BY89" s="76">
        <v>12.9</v>
      </c>
      <c r="BZ89" s="76">
        <v>1.21</v>
      </c>
      <c r="CA89" s="76">
        <v>24.48</v>
      </c>
      <c r="CB89" s="76">
        <v>9.1999999999999998E-3</v>
      </c>
      <c r="CC89" s="76">
        <v>8.0000000000000004E-4</v>
      </c>
      <c r="CD89" s="76">
        <v>0</v>
      </c>
      <c r="CE89" s="76">
        <v>0</v>
      </c>
      <c r="CF89" s="76">
        <v>0</v>
      </c>
      <c r="CG89" s="76">
        <v>0</v>
      </c>
      <c r="CH89" s="76">
        <v>9.8800000000000008</v>
      </c>
      <c r="CI89" s="76">
        <v>5.53</v>
      </c>
      <c r="CJ89" s="76">
        <v>0</v>
      </c>
      <c r="CK89" s="76">
        <v>16.64</v>
      </c>
      <c r="CL89" s="76">
        <v>16.61</v>
      </c>
      <c r="CM89" s="76">
        <v>5.76</v>
      </c>
      <c r="CN89" s="76">
        <v>0</v>
      </c>
      <c r="CO89" s="76">
        <v>1.93</v>
      </c>
      <c r="CP89" s="76">
        <v>4.88</v>
      </c>
      <c r="CQ89" s="76">
        <v>0</v>
      </c>
      <c r="CR89" s="76">
        <v>0</v>
      </c>
      <c r="CS89" s="76">
        <v>0</v>
      </c>
      <c r="CT89" s="76">
        <v>0</v>
      </c>
      <c r="CU89" s="76">
        <v>0</v>
      </c>
      <c r="CV89" s="76">
        <v>0</v>
      </c>
      <c r="CW89" s="76">
        <v>0</v>
      </c>
      <c r="CX89" s="76">
        <v>0</v>
      </c>
      <c r="CY89" s="281">
        <v>99.830000000000013</v>
      </c>
      <c r="CZ89" s="285">
        <v>0.2855809612692487</v>
      </c>
      <c r="DA89" s="285">
        <v>1.07326178254783E-4</v>
      </c>
      <c r="DB89" s="285">
        <v>9.3327111525898257E-6</v>
      </c>
      <c r="DC89" s="285">
        <v>0</v>
      </c>
      <c r="DD89" s="285">
        <v>0</v>
      </c>
      <c r="DE89" s="285">
        <v>0</v>
      </c>
      <c r="DF89" s="285">
        <v>0</v>
      </c>
      <c r="DG89" s="285">
        <v>0.11525898273448436</v>
      </c>
      <c r="DH89" s="285">
        <v>6.4512365842277181E-2</v>
      </c>
      <c r="DI89" s="285">
        <v>0</v>
      </c>
      <c r="DJ89" s="285">
        <v>0.19412039197386838</v>
      </c>
      <c r="DK89" s="285">
        <v>0.19377041530564626</v>
      </c>
      <c r="DL89" s="285">
        <v>6.7195520298646741E-2</v>
      </c>
      <c r="DM89" s="285">
        <v>0</v>
      </c>
      <c r="DN89" s="285">
        <v>2.2515165655622955E-2</v>
      </c>
      <c r="DO89" s="285">
        <v>5.6929538030797935E-2</v>
      </c>
      <c r="DP89" s="285">
        <v>0</v>
      </c>
      <c r="DQ89" s="285">
        <v>0</v>
      </c>
      <c r="DR89" s="285">
        <v>0</v>
      </c>
      <c r="DS89" s="285">
        <v>0</v>
      </c>
      <c r="DT89" s="285">
        <v>0</v>
      </c>
      <c r="DU89" s="285">
        <v>0</v>
      </c>
      <c r="DV89" s="285">
        <v>0</v>
      </c>
      <c r="DW89" s="285">
        <v>0</v>
      </c>
      <c r="DX89" s="76">
        <v>0.99999999999999989</v>
      </c>
      <c r="DY89" s="78">
        <v>53.115505563792567</v>
      </c>
      <c r="DZ89" s="78">
        <v>24.638581667980116</v>
      </c>
      <c r="EA89" s="78">
        <v>10.196929704497776</v>
      </c>
      <c r="EB89" s="78">
        <v>0.60584624632406991</v>
      </c>
      <c r="EC89" s="78">
        <v>0</v>
      </c>
      <c r="ED89" s="78">
        <v>0.37682185976566163</v>
      </c>
      <c r="EE89" s="78">
        <v>6.4633383264716765E-2</v>
      </c>
      <c r="EF89" s="78">
        <v>1.1033484096393344E-4</v>
      </c>
      <c r="EG89" s="78">
        <v>1.050126813662787</v>
      </c>
      <c r="EH89" s="78">
        <v>4.8616313520956363E-2</v>
      </c>
      <c r="EI89" s="78">
        <v>0</v>
      </c>
      <c r="EJ89" s="78">
        <v>9.9028281123503703</v>
      </c>
      <c r="EK89" s="78">
        <v>0</v>
      </c>
      <c r="EL89" s="78">
        <v>99.999999999999986</v>
      </c>
      <c r="EM89" s="76">
        <v>95.670986075492621</v>
      </c>
      <c r="EN89" s="76" t="s">
        <v>118</v>
      </c>
      <c r="EO89" s="289">
        <v>0.10857302112991013</v>
      </c>
      <c r="EP89" s="257">
        <f t="shared" si="34"/>
        <v>10.857302112991013</v>
      </c>
      <c r="EQ89" s="257">
        <f t="shared" si="35"/>
        <v>87.707281903388605</v>
      </c>
      <c r="ER89" s="324">
        <f t="shared" si="36"/>
        <v>4.651162790697675E-2</v>
      </c>
      <c r="ES89" s="257">
        <f t="shared" si="31"/>
        <v>0.72189349112426038</v>
      </c>
      <c r="ET89">
        <f t="shared" si="32"/>
        <v>69.5</v>
      </c>
      <c r="EU89" s="324">
        <f t="shared" si="37"/>
        <v>6.44300419367137E-2</v>
      </c>
      <c r="EV89" s="39">
        <f t="shared" si="38"/>
        <v>162.005</v>
      </c>
      <c r="EW89"/>
      <c r="EX89">
        <f t="shared" si="39"/>
        <v>20</v>
      </c>
      <c r="EY89"/>
      <c r="EZ89"/>
      <c r="FA89"/>
      <c r="FB89"/>
      <c r="FC89"/>
      <c r="FD89"/>
    </row>
    <row r="90" spans="1:160" s="77" customFormat="1" ht="13" customHeight="1" x14ac:dyDescent="0.2">
      <c r="A90" s="72" t="s">
        <v>119</v>
      </c>
      <c r="B90" s="73" t="s">
        <v>462</v>
      </c>
      <c r="C90" s="276">
        <f t="shared" si="41"/>
        <v>161.70999999999998</v>
      </c>
      <c r="D90" s="74">
        <v>82</v>
      </c>
      <c r="E90" s="74">
        <v>116</v>
      </c>
      <c r="F90" s="75">
        <f t="shared" si="26"/>
        <v>99</v>
      </c>
      <c r="G90" s="73" t="s">
        <v>522</v>
      </c>
      <c r="H90" s="84">
        <v>2.5</v>
      </c>
      <c r="I90" s="85">
        <v>5</v>
      </c>
      <c r="J90" s="85">
        <v>8</v>
      </c>
      <c r="K90" s="89">
        <f t="shared" si="21"/>
        <v>1.5625</v>
      </c>
      <c r="L90" s="75">
        <v>179</v>
      </c>
      <c r="M90" s="75">
        <v>101</v>
      </c>
      <c r="N90" s="75">
        <v>61</v>
      </c>
      <c r="O90" s="75">
        <v>53.53</v>
      </c>
      <c r="P90" s="75">
        <v>23.57</v>
      </c>
      <c r="Q90" s="75">
        <v>10.77</v>
      </c>
      <c r="R90" s="75">
        <v>2.8000000000000001E-2</v>
      </c>
      <c r="S90" s="75">
        <v>0.24</v>
      </c>
      <c r="T90" s="75">
        <v>0.02</v>
      </c>
      <c r="U90" s="75">
        <v>0.08</v>
      </c>
      <c r="V90" s="75">
        <v>0.25</v>
      </c>
      <c r="W90" s="75">
        <v>0.73599999999999999</v>
      </c>
      <c r="X90" s="75">
        <v>0.04</v>
      </c>
      <c r="Y90" s="75">
        <v>11.11</v>
      </c>
      <c r="Z90" s="75">
        <v>100.4</v>
      </c>
      <c r="AA90" s="75">
        <v>35</v>
      </c>
      <c r="AB90" s="75">
        <v>2</v>
      </c>
      <c r="AC90" s="75">
        <v>146</v>
      </c>
      <c r="AD90" s="75">
        <v>20</v>
      </c>
      <c r="AE90" s="75">
        <v>5</v>
      </c>
      <c r="AF90" s="75">
        <v>0</v>
      </c>
      <c r="AG90" s="75">
        <v>50</v>
      </c>
      <c r="AH90" s="75">
        <v>50</v>
      </c>
      <c r="AI90" s="75">
        <v>27</v>
      </c>
      <c r="AJ90" s="75">
        <v>2</v>
      </c>
      <c r="AK90" s="75">
        <v>0</v>
      </c>
      <c r="AL90" s="75">
        <v>21</v>
      </c>
      <c r="AM90" s="75">
        <v>2</v>
      </c>
      <c r="AN90" s="75">
        <v>3</v>
      </c>
      <c r="AO90" s="75">
        <v>108</v>
      </c>
      <c r="AP90" s="75">
        <v>5</v>
      </c>
      <c r="AQ90" s="75" t="s">
        <v>72</v>
      </c>
      <c r="AR90" s="75" t="s">
        <v>74</v>
      </c>
      <c r="AS90" s="75" t="s">
        <v>73</v>
      </c>
      <c r="AT90" s="75">
        <v>1</v>
      </c>
      <c r="AU90" s="75" t="s">
        <v>74</v>
      </c>
      <c r="AV90" s="75">
        <v>1.5</v>
      </c>
      <c r="AW90" s="75">
        <v>33</v>
      </c>
      <c r="AX90" s="75" t="s">
        <v>75</v>
      </c>
      <c r="AY90" s="75">
        <v>5.4</v>
      </c>
      <c r="AZ90" s="75">
        <v>14.1</v>
      </c>
      <c r="BA90" s="75">
        <v>1.42</v>
      </c>
      <c r="BB90" s="75">
        <v>5.3</v>
      </c>
      <c r="BC90" s="75">
        <v>1</v>
      </c>
      <c r="BD90" s="75">
        <v>0.27</v>
      </c>
      <c r="BE90" s="75">
        <v>0.8</v>
      </c>
      <c r="BF90" s="75">
        <v>0.1</v>
      </c>
      <c r="BG90" s="75">
        <v>0.8</v>
      </c>
      <c r="BH90" s="75">
        <v>0.2</v>
      </c>
      <c r="BI90" s="75">
        <v>0.6</v>
      </c>
      <c r="BJ90" s="75">
        <v>0.1</v>
      </c>
      <c r="BK90" s="75">
        <v>0.7</v>
      </c>
      <c r="BL90" s="75">
        <v>0.13</v>
      </c>
      <c r="BM90" s="75">
        <v>2.7</v>
      </c>
      <c r="BN90" s="75">
        <v>0.3</v>
      </c>
      <c r="BO90" s="75">
        <v>0</v>
      </c>
      <c r="BP90" s="75">
        <v>0</v>
      </c>
      <c r="BQ90" s="75">
        <v>12</v>
      </c>
      <c r="BR90" s="75">
        <v>6.7</v>
      </c>
      <c r="BS90" s="75">
        <v>1.8</v>
      </c>
      <c r="BT90" s="76">
        <f t="shared" si="27"/>
        <v>0.72307692307692306</v>
      </c>
      <c r="BU90" s="281">
        <f t="shared" si="28"/>
        <v>30.920000000000005</v>
      </c>
      <c r="BV90" s="77">
        <f t="shared" si="29"/>
        <v>99</v>
      </c>
      <c r="BW90" s="78">
        <f t="shared" si="30"/>
        <v>98.536789297658871</v>
      </c>
      <c r="BX90" s="69">
        <f t="shared" si="33"/>
        <v>0.72307692307692306</v>
      </c>
      <c r="BY90" s="76">
        <v>11.5</v>
      </c>
      <c r="BZ90" s="76">
        <v>1.29</v>
      </c>
      <c r="CA90" s="76">
        <v>23.21</v>
      </c>
      <c r="CB90" s="76">
        <v>1.84E-2</v>
      </c>
      <c r="CC90" s="76">
        <v>1.6000000000000001E-3</v>
      </c>
      <c r="CD90" s="76">
        <v>0</v>
      </c>
      <c r="CE90" s="76">
        <v>0</v>
      </c>
      <c r="CF90" s="76">
        <v>0</v>
      </c>
      <c r="CG90" s="76">
        <v>0</v>
      </c>
      <c r="CH90" s="76">
        <v>10.97</v>
      </c>
      <c r="CI90" s="76">
        <v>5.61</v>
      </c>
      <c r="CJ90" s="76">
        <v>0</v>
      </c>
      <c r="CK90" s="76">
        <v>16.71</v>
      </c>
      <c r="CL90" s="76">
        <v>16.86</v>
      </c>
      <c r="CM90" s="76">
        <v>7.54</v>
      </c>
      <c r="CN90" s="76">
        <v>0</v>
      </c>
      <c r="CO90" s="76">
        <v>1.92</v>
      </c>
      <c r="CP90" s="76">
        <v>4.3600000000000003</v>
      </c>
      <c r="CQ90" s="76">
        <v>0</v>
      </c>
      <c r="CR90" s="76">
        <v>0</v>
      </c>
      <c r="CS90" s="76">
        <v>0</v>
      </c>
      <c r="CT90" s="76">
        <v>0</v>
      </c>
      <c r="CU90" s="76">
        <v>0</v>
      </c>
      <c r="CV90" s="76">
        <v>0</v>
      </c>
      <c r="CW90" s="76">
        <v>0</v>
      </c>
      <c r="CX90" s="76">
        <v>0</v>
      </c>
      <c r="CY90" s="281">
        <v>99.990000000000009</v>
      </c>
      <c r="CZ90" s="285">
        <v>0.26616972477064221</v>
      </c>
      <c r="DA90" s="285">
        <v>2.1100917431192659E-4</v>
      </c>
      <c r="DB90" s="285">
        <v>1.8348623853211011E-5</v>
      </c>
      <c r="DC90" s="285">
        <v>0</v>
      </c>
      <c r="DD90" s="285">
        <v>0</v>
      </c>
      <c r="DE90" s="285">
        <v>0</v>
      </c>
      <c r="DF90" s="285">
        <v>0</v>
      </c>
      <c r="DG90" s="285">
        <v>0.12580275229357799</v>
      </c>
      <c r="DH90" s="285">
        <v>6.4334862385321101E-2</v>
      </c>
      <c r="DI90" s="285">
        <v>0</v>
      </c>
      <c r="DJ90" s="285">
        <v>0.19162844036697249</v>
      </c>
      <c r="DK90" s="285">
        <v>0.193348623853211</v>
      </c>
      <c r="DL90" s="285">
        <v>8.6467889908256879E-2</v>
      </c>
      <c r="DM90" s="285">
        <v>0</v>
      </c>
      <c r="DN90" s="285">
        <v>2.2018348623853209E-2</v>
      </c>
      <c r="DO90" s="285">
        <v>0.05</v>
      </c>
      <c r="DP90" s="285">
        <v>0</v>
      </c>
      <c r="DQ90" s="285">
        <v>0</v>
      </c>
      <c r="DR90" s="285">
        <v>0</v>
      </c>
      <c r="DS90" s="285">
        <v>0</v>
      </c>
      <c r="DT90" s="285">
        <v>0</v>
      </c>
      <c r="DU90" s="285">
        <v>0</v>
      </c>
      <c r="DV90" s="285">
        <v>0</v>
      </c>
      <c r="DW90" s="285">
        <v>0</v>
      </c>
      <c r="DX90" s="76">
        <v>1.0000000000000002</v>
      </c>
      <c r="DY90" s="78">
        <v>51.43245813398417</v>
      </c>
      <c r="DZ90" s="78">
        <v>25.148754576644212</v>
      </c>
      <c r="EA90" s="78">
        <v>11.149922841214041</v>
      </c>
      <c r="EB90" s="78">
        <v>0.5670154077858186</v>
      </c>
      <c r="EC90" s="78">
        <v>0</v>
      </c>
      <c r="ED90" s="78">
        <v>0.38855729068368461</v>
      </c>
      <c r="EE90" s="78">
        <v>8.2212786288921161E-2</v>
      </c>
      <c r="EF90" s="78">
        <v>2.1692437081257743E-4</v>
      </c>
      <c r="EG90" s="78">
        <v>1.0446616526767145</v>
      </c>
      <c r="EH90" s="78">
        <v>4.7543551590242483E-2</v>
      </c>
      <c r="EI90" s="78">
        <v>0</v>
      </c>
      <c r="EJ90" s="78">
        <v>10.13865683476137</v>
      </c>
      <c r="EK90" s="78">
        <v>0</v>
      </c>
      <c r="EL90" s="78">
        <v>100</v>
      </c>
      <c r="EM90" s="76">
        <v>95.71054204720582</v>
      </c>
      <c r="EN90" s="76" t="s">
        <v>119</v>
      </c>
      <c r="EO90" s="289">
        <v>0.11767969635700583</v>
      </c>
      <c r="EP90" s="257">
        <f t="shared" si="34"/>
        <v>11.767969635700583</v>
      </c>
      <c r="EQ90" s="257">
        <f t="shared" si="35"/>
        <v>88.83968113374668</v>
      </c>
      <c r="ER90" s="324">
        <f t="shared" si="36"/>
        <v>4.8473967684021547E-2</v>
      </c>
      <c r="ES90" s="257">
        <f t="shared" si="31"/>
        <v>0.72307692307692306</v>
      </c>
      <c r="ET90">
        <f t="shared" si="32"/>
        <v>99</v>
      </c>
      <c r="EU90" s="324">
        <f t="shared" si="37"/>
        <v>6.7038465945987252E-2</v>
      </c>
      <c r="EV90" s="39">
        <f t="shared" si="38"/>
        <v>161.70999999999998</v>
      </c>
      <c r="EW90"/>
      <c r="EX90">
        <f t="shared" si="39"/>
        <v>15</v>
      </c>
      <c r="EY90"/>
      <c r="EZ90"/>
      <c r="FA90"/>
      <c r="FB90"/>
      <c r="FC90"/>
      <c r="FD90"/>
    </row>
    <row r="91" spans="1:160" s="77" customFormat="1" ht="13" customHeight="1" x14ac:dyDescent="0.2">
      <c r="A91" s="72" t="s">
        <v>120</v>
      </c>
      <c r="B91" s="73" t="s">
        <v>462</v>
      </c>
      <c r="C91" s="276">
        <f t="shared" si="41"/>
        <v>161.26499999999999</v>
      </c>
      <c r="D91" s="74">
        <v>116</v>
      </c>
      <c r="E91" s="74">
        <v>171</v>
      </c>
      <c r="F91" s="75">
        <f t="shared" si="26"/>
        <v>143.5</v>
      </c>
      <c r="G91" s="73" t="s">
        <v>522</v>
      </c>
      <c r="H91" s="84">
        <v>2.5</v>
      </c>
      <c r="I91" s="85">
        <v>5</v>
      </c>
      <c r="J91" s="85">
        <v>8</v>
      </c>
      <c r="K91" s="89">
        <f t="shared" ref="K91:K123" si="42">H91*I91/J91</f>
        <v>1.5625</v>
      </c>
      <c r="L91" s="75">
        <v>179</v>
      </c>
      <c r="M91" s="75">
        <v>101</v>
      </c>
      <c r="N91" s="75">
        <v>61</v>
      </c>
      <c r="O91" s="75">
        <v>55.12</v>
      </c>
      <c r="P91" s="75">
        <v>21.87</v>
      </c>
      <c r="Q91" s="75">
        <v>9.57</v>
      </c>
      <c r="R91" s="75">
        <v>2.9000000000000001E-2</v>
      </c>
      <c r="S91" s="75">
        <v>0.23</v>
      </c>
      <c r="T91" s="75">
        <v>0.01</v>
      </c>
      <c r="U91" s="75">
        <v>0.03</v>
      </c>
      <c r="V91" s="75">
        <v>0.2</v>
      </c>
      <c r="W91" s="75">
        <v>0.67700000000000005</v>
      </c>
      <c r="X91" s="75">
        <v>0.04</v>
      </c>
      <c r="Y91" s="75">
        <v>11.01</v>
      </c>
      <c r="Z91" s="75">
        <v>98.78</v>
      </c>
      <c r="AA91" s="75">
        <v>34</v>
      </c>
      <c r="AB91" s="75">
        <v>2</v>
      </c>
      <c r="AC91" s="75">
        <v>135</v>
      </c>
      <c r="AD91" s="75">
        <v>20</v>
      </c>
      <c r="AE91" s="75">
        <v>4</v>
      </c>
      <c r="AF91" s="75">
        <v>0</v>
      </c>
      <c r="AG91" s="75">
        <v>50</v>
      </c>
      <c r="AH91" s="75">
        <v>50</v>
      </c>
      <c r="AI91" s="75">
        <v>26</v>
      </c>
      <c r="AJ91" s="75">
        <v>2</v>
      </c>
      <c r="AK91" s="75">
        <v>0</v>
      </c>
      <c r="AL91" s="75">
        <v>19</v>
      </c>
      <c r="AM91" s="75" t="s">
        <v>72</v>
      </c>
      <c r="AN91" s="75">
        <v>5</v>
      </c>
      <c r="AO91" s="75">
        <v>123</v>
      </c>
      <c r="AP91" s="75">
        <v>5</v>
      </c>
      <c r="AQ91" s="75" t="s">
        <v>72</v>
      </c>
      <c r="AR91" s="75" t="s">
        <v>74</v>
      </c>
      <c r="AS91" s="75" t="s">
        <v>73</v>
      </c>
      <c r="AT91" s="75">
        <v>1</v>
      </c>
      <c r="AU91" s="75" t="s">
        <v>74</v>
      </c>
      <c r="AV91" s="75">
        <v>1.5</v>
      </c>
      <c r="AW91" s="75">
        <v>41</v>
      </c>
      <c r="AX91" s="75" t="s">
        <v>75</v>
      </c>
      <c r="AY91" s="75">
        <v>6.6</v>
      </c>
      <c r="AZ91" s="75">
        <v>16.5</v>
      </c>
      <c r="BA91" s="75">
        <v>1.83</v>
      </c>
      <c r="BB91" s="75">
        <v>7</v>
      </c>
      <c r="BC91" s="75">
        <v>1.4</v>
      </c>
      <c r="BD91" s="75">
        <v>0.35</v>
      </c>
      <c r="BE91" s="75">
        <v>1</v>
      </c>
      <c r="BF91" s="75">
        <v>0.2</v>
      </c>
      <c r="BG91" s="75">
        <v>1</v>
      </c>
      <c r="BH91" s="75">
        <v>0.2</v>
      </c>
      <c r="BI91" s="75">
        <v>0.6</v>
      </c>
      <c r="BJ91" s="75">
        <v>0.11</v>
      </c>
      <c r="BK91" s="75">
        <v>0.8</v>
      </c>
      <c r="BL91" s="75">
        <v>0.14000000000000001</v>
      </c>
      <c r="BM91" s="75">
        <v>3.1</v>
      </c>
      <c r="BN91" s="75">
        <v>0.4</v>
      </c>
      <c r="BO91" s="75">
        <v>0</v>
      </c>
      <c r="BP91" s="75">
        <v>0</v>
      </c>
      <c r="BQ91" s="75">
        <v>13</v>
      </c>
      <c r="BR91" s="75">
        <v>5.7</v>
      </c>
      <c r="BS91" s="75">
        <v>1.4</v>
      </c>
      <c r="BT91" s="76">
        <f t="shared" si="27"/>
        <v>0.71428571428571419</v>
      </c>
      <c r="BU91" s="281">
        <f t="shared" si="28"/>
        <v>37.730000000000004</v>
      </c>
      <c r="BV91" s="77">
        <f t="shared" si="29"/>
        <v>143.5</v>
      </c>
      <c r="BW91" s="78">
        <f t="shared" si="30"/>
        <v>98.914518317503379</v>
      </c>
      <c r="BX91" s="69">
        <f t="shared" si="33"/>
        <v>0.71428571428571419</v>
      </c>
      <c r="BY91" s="76">
        <v>10.46</v>
      </c>
      <c r="BZ91" s="76">
        <v>0</v>
      </c>
      <c r="CA91" s="76">
        <v>29.68</v>
      </c>
      <c r="CB91" s="76">
        <v>0</v>
      </c>
      <c r="CC91" s="76">
        <v>0</v>
      </c>
      <c r="CD91" s="76">
        <v>0</v>
      </c>
      <c r="CE91" s="76">
        <v>0</v>
      </c>
      <c r="CF91" s="76">
        <v>0</v>
      </c>
      <c r="CG91" s="76">
        <v>0</v>
      </c>
      <c r="CH91" s="76">
        <v>8.89</v>
      </c>
      <c r="CI91" s="76">
        <v>7.44</v>
      </c>
      <c r="CJ91" s="76">
        <v>0</v>
      </c>
      <c r="CK91" s="76">
        <v>16.3</v>
      </c>
      <c r="CL91" s="76">
        <v>16.45</v>
      </c>
      <c r="CM91" s="76">
        <v>0.35</v>
      </c>
      <c r="CN91" s="76">
        <v>0</v>
      </c>
      <c r="CO91" s="76">
        <v>8.18</v>
      </c>
      <c r="CP91" s="76">
        <v>2.2400000000000002</v>
      </c>
      <c r="CQ91" s="76">
        <v>0</v>
      </c>
      <c r="CR91" s="76">
        <v>0</v>
      </c>
      <c r="CS91" s="76">
        <v>0</v>
      </c>
      <c r="CT91" s="76">
        <v>0</v>
      </c>
      <c r="CU91" s="76">
        <v>0</v>
      </c>
      <c r="CV91" s="76">
        <v>0</v>
      </c>
      <c r="CW91" s="76">
        <v>0</v>
      </c>
      <c r="CX91" s="76">
        <v>0</v>
      </c>
      <c r="CY91" s="281">
        <v>99.99</v>
      </c>
      <c r="CZ91" s="285">
        <v>0.33150899139953094</v>
      </c>
      <c r="DA91" s="285">
        <v>0</v>
      </c>
      <c r="DB91" s="285">
        <v>0</v>
      </c>
      <c r="DC91" s="285">
        <v>0</v>
      </c>
      <c r="DD91" s="285">
        <v>0</v>
      </c>
      <c r="DE91" s="285">
        <v>0</v>
      </c>
      <c r="DF91" s="285">
        <v>0</v>
      </c>
      <c r="DG91" s="285">
        <v>9.9296325254104784E-2</v>
      </c>
      <c r="DH91" s="285">
        <v>8.3100636658103452E-2</v>
      </c>
      <c r="DI91" s="285">
        <v>0</v>
      </c>
      <c r="DJ91" s="285">
        <v>0.18206187869987717</v>
      </c>
      <c r="DK91" s="285">
        <v>0.18373729476153247</v>
      </c>
      <c r="DL91" s="285">
        <v>3.9093041438623931E-3</v>
      </c>
      <c r="DM91" s="285">
        <v>0</v>
      </c>
      <c r="DN91" s="285">
        <v>9.1366022562269639E-2</v>
      </c>
      <c r="DO91" s="285">
        <v>2.5019546520719319E-2</v>
      </c>
      <c r="DP91" s="285">
        <v>0</v>
      </c>
      <c r="DQ91" s="285">
        <v>0</v>
      </c>
      <c r="DR91" s="285">
        <v>0</v>
      </c>
      <c r="DS91" s="285">
        <v>0</v>
      </c>
      <c r="DT91" s="285">
        <v>0</v>
      </c>
      <c r="DU91" s="285">
        <v>0</v>
      </c>
      <c r="DV91" s="285">
        <v>0</v>
      </c>
      <c r="DW91" s="285">
        <v>0</v>
      </c>
      <c r="DX91" s="76">
        <v>1</v>
      </c>
      <c r="DY91" s="78">
        <v>55.352771470121766</v>
      </c>
      <c r="DZ91" s="78">
        <v>23.363824386938798</v>
      </c>
      <c r="EA91" s="78">
        <v>8.5963819911714161</v>
      </c>
      <c r="EB91" s="78">
        <v>1.5339723232919056</v>
      </c>
      <c r="EC91" s="78">
        <v>0</v>
      </c>
      <c r="ED91" s="78">
        <v>0.57516831327797258</v>
      </c>
      <c r="EE91" s="78">
        <v>1.6167428202371152E-2</v>
      </c>
      <c r="EF91" s="78">
        <v>0</v>
      </c>
      <c r="EG91" s="78">
        <v>0.80273579651265692</v>
      </c>
      <c r="EH91" s="78">
        <v>0.1972838781641722</v>
      </c>
      <c r="EI91" s="78">
        <v>0</v>
      </c>
      <c r="EJ91" s="78">
        <v>9.5616944123189533</v>
      </c>
      <c r="EK91" s="78">
        <v>0</v>
      </c>
      <c r="EL91" s="78">
        <v>100.00000000000003</v>
      </c>
      <c r="EM91" s="76">
        <v>96.613685445803924</v>
      </c>
      <c r="EN91" s="76" t="s">
        <v>120</v>
      </c>
      <c r="EO91" s="289">
        <v>0.10268411823559592</v>
      </c>
      <c r="EP91" s="257">
        <f t="shared" si="34"/>
        <v>10.268411823559592</v>
      </c>
      <c r="EQ91" s="257">
        <f t="shared" si="35"/>
        <v>82.487394957983199</v>
      </c>
      <c r="ER91" s="324">
        <f t="shared" si="36"/>
        <v>4.7619047619047616E-2</v>
      </c>
      <c r="ES91" s="257">
        <f t="shared" si="31"/>
        <v>0.71428571428571419</v>
      </c>
      <c r="ET91">
        <f t="shared" si="32"/>
        <v>143.5</v>
      </c>
      <c r="EU91" s="324">
        <f t="shared" si="37"/>
        <v>6.6666666666666666E-2</v>
      </c>
      <c r="EV91" s="39">
        <f t="shared" si="38"/>
        <v>161.26499999999999</v>
      </c>
      <c r="EW91"/>
      <c r="EX91">
        <f t="shared" si="39"/>
        <v>25</v>
      </c>
      <c r="EY91"/>
      <c r="EZ91"/>
      <c r="FA91"/>
      <c r="FB91"/>
      <c r="FC91"/>
      <c r="FD91"/>
    </row>
    <row r="92" spans="1:160" s="77" customFormat="1" ht="13" customHeight="1" x14ac:dyDescent="0.2">
      <c r="A92" s="72" t="s">
        <v>121</v>
      </c>
      <c r="B92" s="73" t="s">
        <v>462</v>
      </c>
      <c r="C92" s="276">
        <f t="shared" si="41"/>
        <v>160.82</v>
      </c>
      <c r="D92" s="74">
        <v>171</v>
      </c>
      <c r="E92" s="74">
        <v>205</v>
      </c>
      <c r="F92" s="75">
        <f t="shared" si="26"/>
        <v>188</v>
      </c>
      <c r="G92" s="73" t="s">
        <v>522</v>
      </c>
      <c r="H92" s="84">
        <v>2.5</v>
      </c>
      <c r="I92" s="85">
        <v>5</v>
      </c>
      <c r="J92" s="85">
        <v>8</v>
      </c>
      <c r="K92" s="89">
        <f t="shared" si="42"/>
        <v>1.5625</v>
      </c>
      <c r="L92" s="75">
        <v>179</v>
      </c>
      <c r="M92" s="75">
        <v>101</v>
      </c>
      <c r="N92" s="75">
        <v>61</v>
      </c>
      <c r="O92" s="75">
        <v>56.98</v>
      </c>
      <c r="P92" s="75">
        <v>20.88</v>
      </c>
      <c r="Q92" s="75">
        <v>9.86</v>
      </c>
      <c r="R92" s="75">
        <v>3.9E-2</v>
      </c>
      <c r="S92" s="75">
        <v>0.38</v>
      </c>
      <c r="T92" s="75">
        <v>0.02</v>
      </c>
      <c r="U92" s="75">
        <v>0.04</v>
      </c>
      <c r="V92" s="75">
        <v>0.31</v>
      </c>
      <c r="W92" s="75">
        <v>0.71</v>
      </c>
      <c r="X92" s="75">
        <v>0.05</v>
      </c>
      <c r="Y92" s="75">
        <v>10.52</v>
      </c>
      <c r="Z92" s="75">
        <v>99.78</v>
      </c>
      <c r="AA92" s="75">
        <v>36</v>
      </c>
      <c r="AB92" s="75">
        <v>2</v>
      </c>
      <c r="AC92" s="75">
        <v>128</v>
      </c>
      <c r="AD92" s="75">
        <v>0</v>
      </c>
      <c r="AE92" s="75">
        <v>6</v>
      </c>
      <c r="AF92" s="75">
        <v>0</v>
      </c>
      <c r="AG92" s="75">
        <v>60</v>
      </c>
      <c r="AH92" s="75">
        <v>50</v>
      </c>
      <c r="AI92" s="75">
        <v>24</v>
      </c>
      <c r="AJ92" s="75">
        <v>2</v>
      </c>
      <c r="AK92" s="75">
        <v>0</v>
      </c>
      <c r="AL92" s="75">
        <v>20</v>
      </c>
      <c r="AM92" s="75" t="s">
        <v>72</v>
      </c>
      <c r="AN92" s="75">
        <v>5</v>
      </c>
      <c r="AO92" s="75">
        <v>139</v>
      </c>
      <c r="AP92" s="75">
        <v>4</v>
      </c>
      <c r="AQ92" s="75" t="s">
        <v>72</v>
      </c>
      <c r="AR92" s="75" t="s">
        <v>74</v>
      </c>
      <c r="AS92" s="75" t="s">
        <v>73</v>
      </c>
      <c r="AT92" s="75">
        <v>1</v>
      </c>
      <c r="AU92" s="75" t="s">
        <v>74</v>
      </c>
      <c r="AV92" s="75">
        <v>1.6</v>
      </c>
      <c r="AW92" s="75">
        <v>60</v>
      </c>
      <c r="AX92" s="75" t="s">
        <v>75</v>
      </c>
      <c r="AY92" s="75">
        <v>8</v>
      </c>
      <c r="AZ92" s="75">
        <v>26.8</v>
      </c>
      <c r="BA92" s="75">
        <v>2.41</v>
      </c>
      <c r="BB92" s="75">
        <v>9.1</v>
      </c>
      <c r="BC92" s="75">
        <v>2</v>
      </c>
      <c r="BD92" s="75">
        <v>0.48</v>
      </c>
      <c r="BE92" s="75">
        <v>1.4</v>
      </c>
      <c r="BF92" s="75">
        <v>0.2</v>
      </c>
      <c r="BG92" s="75">
        <v>1.4</v>
      </c>
      <c r="BH92" s="75">
        <v>0.3</v>
      </c>
      <c r="BI92" s="75">
        <v>0.8</v>
      </c>
      <c r="BJ92" s="75">
        <v>0.13</v>
      </c>
      <c r="BK92" s="75">
        <v>1.1000000000000001</v>
      </c>
      <c r="BL92" s="75">
        <v>0.19</v>
      </c>
      <c r="BM92" s="75">
        <v>3.5</v>
      </c>
      <c r="BN92" s="75">
        <v>0.3</v>
      </c>
      <c r="BO92" s="75">
        <v>0</v>
      </c>
      <c r="BP92" s="75">
        <v>0</v>
      </c>
      <c r="BQ92" s="75">
        <v>23</v>
      </c>
      <c r="BR92" s="75">
        <v>3.8</v>
      </c>
      <c r="BS92" s="75">
        <v>1.4</v>
      </c>
      <c r="BT92" s="76">
        <f t="shared" si="27"/>
        <v>0.77011494252873569</v>
      </c>
      <c r="BU92" s="281">
        <f t="shared" si="28"/>
        <v>54.309999999999988</v>
      </c>
      <c r="BV92" s="77">
        <f t="shared" si="29"/>
        <v>188</v>
      </c>
      <c r="BW92" s="78">
        <f t="shared" si="30"/>
        <v>98.258823529411785</v>
      </c>
      <c r="BX92" s="69">
        <f t="shared" si="33"/>
        <v>0.77011494252873569</v>
      </c>
      <c r="BY92" s="76">
        <v>12.25</v>
      </c>
      <c r="BZ92" s="76">
        <v>0</v>
      </c>
      <c r="CA92" s="76">
        <v>29.88</v>
      </c>
      <c r="CB92" s="76">
        <v>0</v>
      </c>
      <c r="CC92" s="76">
        <v>0</v>
      </c>
      <c r="CD92" s="76">
        <v>0</v>
      </c>
      <c r="CE92" s="76">
        <v>0</v>
      </c>
      <c r="CF92" s="76">
        <v>0</v>
      </c>
      <c r="CG92" s="76">
        <v>0</v>
      </c>
      <c r="CH92" s="76">
        <v>8.48</v>
      </c>
      <c r="CI92" s="76">
        <v>8.52</v>
      </c>
      <c r="CJ92" s="76">
        <v>0</v>
      </c>
      <c r="CK92" s="76">
        <v>16.850000000000001</v>
      </c>
      <c r="CL92" s="76">
        <v>17.010000000000002</v>
      </c>
      <c r="CM92" s="76">
        <v>0</v>
      </c>
      <c r="CN92" s="76">
        <v>0</v>
      </c>
      <c r="CO92" s="76">
        <v>3.79</v>
      </c>
      <c r="CP92" s="76">
        <v>3.21</v>
      </c>
      <c r="CQ92" s="76">
        <v>0</v>
      </c>
      <c r="CR92" s="76">
        <v>0</v>
      </c>
      <c r="CS92" s="76">
        <v>0</v>
      </c>
      <c r="CT92" s="76">
        <v>0</v>
      </c>
      <c r="CU92" s="76">
        <v>0</v>
      </c>
      <c r="CV92" s="76">
        <v>0</v>
      </c>
      <c r="CW92" s="76">
        <v>0</v>
      </c>
      <c r="CX92" s="76">
        <v>0</v>
      </c>
      <c r="CY92" s="281">
        <v>99.99</v>
      </c>
      <c r="CZ92" s="285">
        <v>0.34055162981536358</v>
      </c>
      <c r="DA92" s="285">
        <v>0</v>
      </c>
      <c r="DB92" s="285">
        <v>0</v>
      </c>
      <c r="DC92" s="285">
        <v>0</v>
      </c>
      <c r="DD92" s="285">
        <v>0</v>
      </c>
      <c r="DE92" s="285">
        <v>0</v>
      </c>
      <c r="DF92" s="285">
        <v>0</v>
      </c>
      <c r="DG92" s="285">
        <v>9.6649190790973338E-2</v>
      </c>
      <c r="DH92" s="285">
        <v>9.710508320036472E-2</v>
      </c>
      <c r="DI92" s="285">
        <v>0</v>
      </c>
      <c r="DJ92" s="285">
        <v>0.19204467745612039</v>
      </c>
      <c r="DK92" s="285">
        <v>0.19386824709368591</v>
      </c>
      <c r="DL92" s="285">
        <v>0</v>
      </c>
      <c r="DM92" s="285">
        <v>0</v>
      </c>
      <c r="DN92" s="285">
        <v>4.3195805789833605E-2</v>
      </c>
      <c r="DO92" s="285">
        <v>3.6585365853658541E-2</v>
      </c>
      <c r="DP92" s="285">
        <v>0</v>
      </c>
      <c r="DQ92" s="285">
        <v>0</v>
      </c>
      <c r="DR92" s="285">
        <v>0</v>
      </c>
      <c r="DS92" s="285">
        <v>0</v>
      </c>
      <c r="DT92" s="285">
        <v>0</v>
      </c>
      <c r="DU92" s="285">
        <v>0</v>
      </c>
      <c r="DV92" s="285">
        <v>0</v>
      </c>
      <c r="DW92" s="285">
        <v>0</v>
      </c>
      <c r="DX92" s="76">
        <v>1</v>
      </c>
      <c r="DY92" s="78">
        <v>55.644819484354876</v>
      </c>
      <c r="DZ92" s="78">
        <v>23.959019060986801</v>
      </c>
      <c r="EA92" s="78">
        <v>8.3751513919773757</v>
      </c>
      <c r="EB92" s="78">
        <v>0.83633730841660325</v>
      </c>
      <c r="EC92" s="78">
        <v>0</v>
      </c>
      <c r="ED92" s="78">
        <v>0.33039313518293861</v>
      </c>
      <c r="EE92" s="78">
        <v>5.9511583897668393E-3</v>
      </c>
      <c r="EF92" s="78">
        <v>0</v>
      </c>
      <c r="EG92" s="78">
        <v>0.65971277187772326</v>
      </c>
      <c r="EH92" s="78">
        <v>9.3271391789401817E-2</v>
      </c>
      <c r="EI92" s="78">
        <v>0</v>
      </c>
      <c r="EJ92" s="78">
        <v>10.095344297024527</v>
      </c>
      <c r="EK92" s="78">
        <v>0</v>
      </c>
      <c r="EL92" s="78">
        <v>100.00000000000003</v>
      </c>
      <c r="EM92" s="76">
        <v>97.296761422252999</v>
      </c>
      <c r="EN92" s="76" t="s">
        <v>121</v>
      </c>
      <c r="EO92" s="289">
        <v>9.2867590581514725E-2</v>
      </c>
      <c r="EP92" s="257">
        <f t="shared" si="34"/>
        <v>9.286759058151473</v>
      </c>
      <c r="EQ92" s="257">
        <f t="shared" si="35"/>
        <v>87.901832008295884</v>
      </c>
      <c r="ER92" s="324">
        <f t="shared" si="36"/>
        <v>5.0104384133611686E-2</v>
      </c>
      <c r="ES92" s="257">
        <f t="shared" si="31"/>
        <v>0.77011494252873569</v>
      </c>
      <c r="ET92">
        <f t="shared" si="32"/>
        <v>188</v>
      </c>
      <c r="EU92" s="324">
        <f t="shared" si="37"/>
        <v>6.50609167108092E-2</v>
      </c>
      <c r="EV92" s="39">
        <f t="shared" si="38"/>
        <v>160.82</v>
      </c>
      <c r="EW92"/>
      <c r="EX92">
        <f t="shared" si="39"/>
        <v>16.666666666666668</v>
      </c>
      <c r="EY92"/>
      <c r="EZ92"/>
      <c r="FA92"/>
      <c r="FB92"/>
      <c r="FC92"/>
      <c r="FD92"/>
    </row>
    <row r="93" spans="1:160" s="77" customFormat="1" ht="13" customHeight="1" x14ac:dyDescent="0.2">
      <c r="A93" s="72" t="s">
        <v>122</v>
      </c>
      <c r="B93" s="73" t="s">
        <v>462</v>
      </c>
      <c r="C93" s="276">
        <f t="shared" si="41"/>
        <v>159.94999999999999</v>
      </c>
      <c r="D93" s="74">
        <v>250</v>
      </c>
      <c r="E93" s="74">
        <v>300</v>
      </c>
      <c r="F93" s="75">
        <f t="shared" si="26"/>
        <v>275</v>
      </c>
      <c r="G93" s="73" t="s">
        <v>518</v>
      </c>
      <c r="H93" s="84">
        <v>2.5</v>
      </c>
      <c r="I93" s="85">
        <v>4</v>
      </c>
      <c r="J93" s="85">
        <v>8</v>
      </c>
      <c r="K93" s="89">
        <f t="shared" si="42"/>
        <v>1.25</v>
      </c>
      <c r="L93" s="75">
        <v>150</v>
      </c>
      <c r="M93" s="75">
        <v>75</v>
      </c>
      <c r="N93" s="75">
        <v>38</v>
      </c>
      <c r="O93" s="75">
        <v>55.96</v>
      </c>
      <c r="P93" s="75">
        <v>21.53</v>
      </c>
      <c r="Q93" s="75">
        <v>9.7799999999999994</v>
      </c>
      <c r="R93" s="75">
        <v>4.2000000000000003E-2</v>
      </c>
      <c r="S93" s="75">
        <v>0.34</v>
      </c>
      <c r="T93" s="75">
        <v>0.05</v>
      </c>
      <c r="U93" s="75">
        <v>0.09</v>
      </c>
      <c r="V93" s="75">
        <v>0.64</v>
      </c>
      <c r="W93" s="75">
        <v>0.73699999999999999</v>
      </c>
      <c r="X93" s="75">
        <v>0.12</v>
      </c>
      <c r="Y93" s="75">
        <v>10.41</v>
      </c>
      <c r="Z93" s="75">
        <v>99.69</v>
      </c>
      <c r="AA93" s="75">
        <v>31</v>
      </c>
      <c r="AB93" s="75">
        <v>2</v>
      </c>
      <c r="AC93" s="75">
        <v>168</v>
      </c>
      <c r="AD93" s="75">
        <v>20</v>
      </c>
      <c r="AE93" s="75">
        <v>7</v>
      </c>
      <c r="AF93" s="75">
        <v>0</v>
      </c>
      <c r="AG93" s="75">
        <v>50</v>
      </c>
      <c r="AH93" s="75">
        <v>50</v>
      </c>
      <c r="AI93" s="75">
        <v>22</v>
      </c>
      <c r="AJ93" s="75">
        <v>1</v>
      </c>
      <c r="AK93" s="75">
        <v>0</v>
      </c>
      <c r="AL93" s="75">
        <v>33</v>
      </c>
      <c r="AM93" s="75">
        <v>3</v>
      </c>
      <c r="AN93" s="75">
        <v>9</v>
      </c>
      <c r="AO93" s="75">
        <v>132</v>
      </c>
      <c r="AP93" s="75">
        <v>4</v>
      </c>
      <c r="AQ93" s="75" t="s">
        <v>72</v>
      </c>
      <c r="AR93" s="75">
        <v>1.4</v>
      </c>
      <c r="AS93" s="75" t="s">
        <v>73</v>
      </c>
      <c r="AT93" s="75">
        <v>1</v>
      </c>
      <c r="AU93" s="75" t="s">
        <v>74</v>
      </c>
      <c r="AV93" s="75">
        <v>1.5</v>
      </c>
      <c r="AW93" s="75">
        <v>68</v>
      </c>
      <c r="AX93" s="75" t="s">
        <v>75</v>
      </c>
      <c r="AY93" s="75">
        <v>9.6999999999999993</v>
      </c>
      <c r="AZ93" s="75">
        <v>24.8</v>
      </c>
      <c r="BA93" s="75">
        <v>2.83</v>
      </c>
      <c r="BB93" s="75">
        <v>11.2</v>
      </c>
      <c r="BC93" s="75">
        <v>2.4</v>
      </c>
      <c r="BD93" s="75">
        <v>0.66</v>
      </c>
      <c r="BE93" s="75">
        <v>1.9</v>
      </c>
      <c r="BF93" s="75">
        <v>0.3</v>
      </c>
      <c r="BG93" s="75">
        <v>1.9</v>
      </c>
      <c r="BH93" s="75">
        <v>0.4</v>
      </c>
      <c r="BI93" s="75">
        <v>1.2</v>
      </c>
      <c r="BJ93" s="75">
        <v>0.18</v>
      </c>
      <c r="BK93" s="75">
        <v>1.3</v>
      </c>
      <c r="BL93" s="75">
        <v>0.22</v>
      </c>
      <c r="BM93" s="75">
        <v>3.1</v>
      </c>
      <c r="BN93" s="75">
        <v>0.3</v>
      </c>
      <c r="BO93" s="75">
        <v>0</v>
      </c>
      <c r="BP93" s="75">
        <v>0.2</v>
      </c>
      <c r="BQ93" s="75">
        <v>10</v>
      </c>
      <c r="BR93" s="75">
        <v>3.8</v>
      </c>
      <c r="BS93" s="75">
        <v>1.8</v>
      </c>
      <c r="BT93" s="76">
        <f t="shared" si="27"/>
        <v>0.71884057971014492</v>
      </c>
      <c r="BU93" s="281">
        <f t="shared" si="28"/>
        <v>58.989999999999988</v>
      </c>
      <c r="BV93" s="77">
        <f t="shared" si="29"/>
        <v>275</v>
      </c>
      <c r="BW93" s="78">
        <f t="shared" si="30"/>
        <v>96.503809950694745</v>
      </c>
      <c r="BX93" s="69">
        <f t="shared" si="33"/>
        <v>0.71884057971014492</v>
      </c>
      <c r="BY93" s="76">
        <v>12.48</v>
      </c>
      <c r="BZ93" s="76">
        <v>0.28999999999999998</v>
      </c>
      <c r="CA93" s="76">
        <v>30.63</v>
      </c>
      <c r="CB93" s="76">
        <v>0</v>
      </c>
      <c r="CC93" s="76">
        <v>0</v>
      </c>
      <c r="CD93" s="76">
        <v>0</v>
      </c>
      <c r="CE93" s="76">
        <v>0</v>
      </c>
      <c r="CF93" s="76">
        <v>0</v>
      </c>
      <c r="CG93" s="76">
        <v>0</v>
      </c>
      <c r="CH93" s="76">
        <v>6.97</v>
      </c>
      <c r="CI93" s="76">
        <v>6.8</v>
      </c>
      <c r="CJ93" s="76">
        <v>0</v>
      </c>
      <c r="CK93" s="76">
        <v>17.78</v>
      </c>
      <c r="CL93" s="76">
        <v>18.18</v>
      </c>
      <c r="CM93" s="76">
        <v>0</v>
      </c>
      <c r="CN93" s="76">
        <v>0</v>
      </c>
      <c r="CO93" s="76">
        <v>2.94</v>
      </c>
      <c r="CP93" s="76">
        <v>3.94</v>
      </c>
      <c r="CQ93" s="76">
        <v>0</v>
      </c>
      <c r="CR93" s="76">
        <v>0</v>
      </c>
      <c r="CS93" s="76">
        <v>0</v>
      </c>
      <c r="CT93" s="76">
        <v>0</v>
      </c>
      <c r="CU93" s="76">
        <v>0</v>
      </c>
      <c r="CV93" s="76">
        <v>0</v>
      </c>
      <c r="CW93" s="76">
        <v>0</v>
      </c>
      <c r="CX93" s="76">
        <v>0</v>
      </c>
      <c r="CY93" s="281">
        <v>100.00999999999999</v>
      </c>
      <c r="CZ93" s="285">
        <v>0.35110041265474556</v>
      </c>
      <c r="DA93" s="285">
        <v>0</v>
      </c>
      <c r="DB93" s="285">
        <v>0</v>
      </c>
      <c r="DC93" s="285">
        <v>0</v>
      </c>
      <c r="DD93" s="285">
        <v>0</v>
      </c>
      <c r="DE93" s="285">
        <v>0</v>
      </c>
      <c r="DF93" s="285">
        <v>0</v>
      </c>
      <c r="DG93" s="285">
        <v>7.9894543787253552E-2</v>
      </c>
      <c r="DH93" s="285">
        <v>7.7945896377808341E-2</v>
      </c>
      <c r="DI93" s="285">
        <v>0</v>
      </c>
      <c r="DJ93" s="285">
        <v>0.2038055937643283</v>
      </c>
      <c r="DK93" s="285">
        <v>0.20839064649243466</v>
      </c>
      <c r="DL93" s="285">
        <v>0</v>
      </c>
      <c r="DM93" s="285">
        <v>0</v>
      </c>
      <c r="DN93" s="285">
        <v>3.3700137551581848E-2</v>
      </c>
      <c r="DO93" s="285">
        <v>4.516276937184778E-2</v>
      </c>
      <c r="DP93" s="285">
        <v>0</v>
      </c>
      <c r="DQ93" s="285">
        <v>0</v>
      </c>
      <c r="DR93" s="285">
        <v>0</v>
      </c>
      <c r="DS93" s="285">
        <v>0</v>
      </c>
      <c r="DT93" s="285">
        <v>0</v>
      </c>
      <c r="DU93" s="285">
        <v>0</v>
      </c>
      <c r="DV93" s="285">
        <v>0</v>
      </c>
      <c r="DW93" s="285">
        <v>0</v>
      </c>
      <c r="DX93" s="76">
        <v>1</v>
      </c>
      <c r="DY93" s="78">
        <v>57.972077389412235</v>
      </c>
      <c r="DZ93" s="78">
        <v>23.60567663974291</v>
      </c>
      <c r="EA93" s="78">
        <v>6.9925814688775105</v>
      </c>
      <c r="EB93" s="78">
        <v>0.72707777705130183</v>
      </c>
      <c r="EC93" s="78">
        <v>0</v>
      </c>
      <c r="ED93" s="78">
        <v>0.29905488678794123</v>
      </c>
      <c r="EE93" s="78">
        <v>4.642924299228946E-3</v>
      </c>
      <c r="EF93" s="78">
        <v>0</v>
      </c>
      <c r="EG93" s="78">
        <v>0.70768366900625279</v>
      </c>
      <c r="EH93" s="78">
        <v>7.2767683701136274E-2</v>
      </c>
      <c r="EI93" s="78">
        <v>0</v>
      </c>
      <c r="EJ93" s="78">
        <v>9.618437561121473</v>
      </c>
      <c r="EK93" s="78">
        <v>0</v>
      </c>
      <c r="EL93" s="78">
        <v>99.999999999999986</v>
      </c>
      <c r="EM93" s="76">
        <v>97.070785020961651</v>
      </c>
      <c r="EN93" s="76" t="s">
        <v>122</v>
      </c>
      <c r="EO93" s="289">
        <v>7.7850962458634293E-2</v>
      </c>
      <c r="EP93" s="257">
        <f t="shared" si="34"/>
        <v>7.7850962458634294</v>
      </c>
      <c r="EQ93" s="257">
        <f t="shared" si="35"/>
        <v>87.846670199611367</v>
      </c>
      <c r="ER93" s="324">
        <f t="shared" si="36"/>
        <v>5.5649241146711638E-2</v>
      </c>
      <c r="ES93" s="257">
        <f t="shared" si="31"/>
        <v>0.71884057971014492</v>
      </c>
      <c r="ET93">
        <f t="shared" si="32"/>
        <v>275</v>
      </c>
      <c r="EU93" s="324">
        <f t="shared" si="37"/>
        <v>7.741527498232062E-2</v>
      </c>
      <c r="EV93" s="39">
        <f t="shared" si="38"/>
        <v>159.94999999999999</v>
      </c>
      <c r="EW93"/>
      <c r="EX93">
        <f t="shared" si="39"/>
        <v>22.5</v>
      </c>
      <c r="EY93"/>
      <c r="EZ93"/>
      <c r="FA93"/>
      <c r="FB93"/>
      <c r="FC93"/>
      <c r="FD93"/>
    </row>
    <row r="94" spans="1:160" s="77" customFormat="1" ht="13" customHeight="1" x14ac:dyDescent="0.2">
      <c r="A94" s="72" t="s">
        <v>123</v>
      </c>
      <c r="B94" s="73" t="s">
        <v>462</v>
      </c>
      <c r="C94" s="276">
        <f t="shared" si="41"/>
        <v>159.19999999999999</v>
      </c>
      <c r="D94" s="74">
        <v>300</v>
      </c>
      <c r="E94" s="74">
        <v>400</v>
      </c>
      <c r="F94" s="75">
        <f t="shared" si="26"/>
        <v>350</v>
      </c>
      <c r="G94" s="73" t="s">
        <v>507</v>
      </c>
      <c r="H94" s="84">
        <v>2.5</v>
      </c>
      <c r="I94" s="85">
        <v>4</v>
      </c>
      <c r="J94" s="85">
        <v>6</v>
      </c>
      <c r="K94" s="89">
        <f t="shared" si="42"/>
        <v>1.6666666666666667</v>
      </c>
      <c r="L94" s="75">
        <v>140</v>
      </c>
      <c r="M94" s="75">
        <v>81</v>
      </c>
      <c r="N94" s="75">
        <v>54</v>
      </c>
      <c r="O94" s="75">
        <v>54.92</v>
      </c>
      <c r="P94" s="75">
        <v>22.65</v>
      </c>
      <c r="Q94" s="75">
        <v>10.01</v>
      </c>
      <c r="R94" s="75">
        <v>0.107</v>
      </c>
      <c r="S94" s="75">
        <v>0.46</v>
      </c>
      <c r="T94" s="75">
        <v>0.01</v>
      </c>
      <c r="U94" s="75">
        <v>0.05</v>
      </c>
      <c r="V94" s="75">
        <v>0.67</v>
      </c>
      <c r="W94" s="75">
        <v>0.71</v>
      </c>
      <c r="X94" s="75">
        <v>0.08</v>
      </c>
      <c r="Y94" s="75">
        <v>10.72</v>
      </c>
      <c r="Z94" s="75">
        <v>100.4</v>
      </c>
      <c r="AA94" s="75">
        <v>31</v>
      </c>
      <c r="AB94" s="75">
        <v>2</v>
      </c>
      <c r="AC94" s="75">
        <v>153</v>
      </c>
      <c r="AD94" s="75">
        <v>50</v>
      </c>
      <c r="AE94" s="75">
        <v>21</v>
      </c>
      <c r="AF94" s="75">
        <v>0</v>
      </c>
      <c r="AG94" s="75">
        <v>60</v>
      </c>
      <c r="AH94" s="75">
        <v>50</v>
      </c>
      <c r="AI94" s="75">
        <v>20</v>
      </c>
      <c r="AJ94" s="75">
        <v>1</v>
      </c>
      <c r="AK94" s="75">
        <v>0</v>
      </c>
      <c r="AL94" s="75">
        <v>31</v>
      </c>
      <c r="AM94" s="75">
        <v>5</v>
      </c>
      <c r="AN94" s="75">
        <v>9</v>
      </c>
      <c r="AO94" s="75">
        <v>141</v>
      </c>
      <c r="AP94" s="75">
        <v>4</v>
      </c>
      <c r="AQ94" s="75" t="s">
        <v>72</v>
      </c>
      <c r="AR94" s="75">
        <v>1.2</v>
      </c>
      <c r="AS94" s="75" t="s">
        <v>73</v>
      </c>
      <c r="AT94" s="75">
        <v>1</v>
      </c>
      <c r="AU94" s="75" t="s">
        <v>74</v>
      </c>
      <c r="AV94" s="75">
        <v>1.4</v>
      </c>
      <c r="AW94" s="75">
        <v>108</v>
      </c>
      <c r="AX94" s="75" t="s">
        <v>75</v>
      </c>
      <c r="AY94" s="75">
        <v>10.8</v>
      </c>
      <c r="AZ94" s="75">
        <v>39.1</v>
      </c>
      <c r="BA94" s="75">
        <v>3.04</v>
      </c>
      <c r="BB94" s="75">
        <v>12.6</v>
      </c>
      <c r="BC94" s="75">
        <v>2.7</v>
      </c>
      <c r="BD94" s="75">
        <v>0.76</v>
      </c>
      <c r="BE94" s="75">
        <v>2.2999999999999998</v>
      </c>
      <c r="BF94" s="75">
        <v>0.4</v>
      </c>
      <c r="BG94" s="75">
        <v>2.2999999999999998</v>
      </c>
      <c r="BH94" s="75">
        <v>0.5</v>
      </c>
      <c r="BI94" s="75">
        <v>1.5</v>
      </c>
      <c r="BJ94" s="75">
        <v>0.24</v>
      </c>
      <c r="BK94" s="75">
        <v>1.8</v>
      </c>
      <c r="BL94" s="75">
        <v>0.3</v>
      </c>
      <c r="BM94" s="75">
        <v>3.4</v>
      </c>
      <c r="BN94" s="75">
        <v>0.2</v>
      </c>
      <c r="BO94" s="75">
        <v>0</v>
      </c>
      <c r="BP94" s="75">
        <v>0</v>
      </c>
      <c r="BQ94" s="75">
        <v>10</v>
      </c>
      <c r="BR94" s="75">
        <v>3.1</v>
      </c>
      <c r="BS94" s="75">
        <v>1.9</v>
      </c>
      <c r="BT94" s="76">
        <f t="shared" si="27"/>
        <v>0.78356713426853697</v>
      </c>
      <c r="BU94" s="281">
        <f t="shared" si="28"/>
        <v>78.34</v>
      </c>
      <c r="BV94" s="77">
        <f t="shared" si="29"/>
        <v>350</v>
      </c>
      <c r="BW94" s="78">
        <f t="shared" si="30"/>
        <v>96.877673224978608</v>
      </c>
      <c r="BX94" s="69">
        <f t="shared" si="33"/>
        <v>0.78356713426853697</v>
      </c>
      <c r="BY94" s="76">
        <v>11.49</v>
      </c>
      <c r="BZ94" s="76">
        <v>1.44</v>
      </c>
      <c r="CA94" s="76">
        <v>31.15</v>
      </c>
      <c r="CB94" s="76">
        <v>0</v>
      </c>
      <c r="CC94" s="76">
        <v>0</v>
      </c>
      <c r="CD94" s="76">
        <v>0</v>
      </c>
      <c r="CE94" s="76">
        <v>0</v>
      </c>
      <c r="CF94" s="76">
        <v>0</v>
      </c>
      <c r="CG94" s="76">
        <v>0</v>
      </c>
      <c r="CH94" s="76">
        <v>6.24</v>
      </c>
      <c r="CI94" s="76">
        <v>6.75</v>
      </c>
      <c r="CJ94" s="76">
        <v>0</v>
      </c>
      <c r="CK94" s="76">
        <v>17.93</v>
      </c>
      <c r="CL94" s="76">
        <v>18.39</v>
      </c>
      <c r="CM94" s="76">
        <v>0</v>
      </c>
      <c r="CN94" s="76">
        <v>0</v>
      </c>
      <c r="CO94" s="76">
        <v>2.39</v>
      </c>
      <c r="CP94" s="76">
        <v>4.22</v>
      </c>
      <c r="CQ94" s="76">
        <v>0</v>
      </c>
      <c r="CR94" s="76">
        <v>0</v>
      </c>
      <c r="CS94" s="76">
        <v>0</v>
      </c>
      <c r="CT94" s="76">
        <v>0</v>
      </c>
      <c r="CU94" s="76">
        <v>0</v>
      </c>
      <c r="CV94" s="76">
        <v>0</v>
      </c>
      <c r="CW94" s="76">
        <v>0</v>
      </c>
      <c r="CX94" s="76">
        <v>0</v>
      </c>
      <c r="CY94" s="281">
        <v>100</v>
      </c>
      <c r="CZ94" s="285">
        <v>0.35775812564603188</v>
      </c>
      <c r="DA94" s="285">
        <v>0</v>
      </c>
      <c r="DB94" s="285">
        <v>0</v>
      </c>
      <c r="DC94" s="285">
        <v>0</v>
      </c>
      <c r="DD94" s="285">
        <v>0</v>
      </c>
      <c r="DE94" s="285">
        <v>0</v>
      </c>
      <c r="DF94" s="285">
        <v>0</v>
      </c>
      <c r="DG94" s="285">
        <v>7.1666475249799008E-2</v>
      </c>
      <c r="DH94" s="285">
        <v>7.7523831400022961E-2</v>
      </c>
      <c r="DI94" s="285">
        <v>0</v>
      </c>
      <c r="DJ94" s="285">
        <v>0.20592626622257951</v>
      </c>
      <c r="DK94" s="285">
        <v>0.21120937176984034</v>
      </c>
      <c r="DL94" s="285">
        <v>0</v>
      </c>
      <c r="DM94" s="285">
        <v>0</v>
      </c>
      <c r="DN94" s="285">
        <v>2.7449178821637762E-2</v>
      </c>
      <c r="DO94" s="285">
        <v>4.8466750890088429E-2</v>
      </c>
      <c r="DP94" s="285">
        <v>0</v>
      </c>
      <c r="DQ94" s="285">
        <v>0</v>
      </c>
      <c r="DR94" s="285">
        <v>0</v>
      </c>
      <c r="DS94" s="285">
        <v>0</v>
      </c>
      <c r="DT94" s="285">
        <v>0</v>
      </c>
      <c r="DU94" s="285">
        <v>0</v>
      </c>
      <c r="DV94" s="285">
        <v>0</v>
      </c>
      <c r="DW94" s="285">
        <v>0</v>
      </c>
      <c r="DX94" s="76">
        <v>0.99999999999999989</v>
      </c>
      <c r="DY94" s="78">
        <v>58.780182935627778</v>
      </c>
      <c r="DZ94" s="78">
        <v>23.646031452733759</v>
      </c>
      <c r="EA94" s="78">
        <v>6.3079901508124205</v>
      </c>
      <c r="EB94" s="78">
        <v>0.64463944907175774</v>
      </c>
      <c r="EC94" s="78">
        <v>0</v>
      </c>
      <c r="ED94" s="78">
        <v>0.27260522230545042</v>
      </c>
      <c r="EE94" s="78">
        <v>3.7817192630087764E-3</v>
      </c>
      <c r="EF94" s="78">
        <v>0</v>
      </c>
      <c r="EG94" s="78">
        <v>0.71206115886519561</v>
      </c>
      <c r="EH94" s="78">
        <v>5.9270178327658164E-2</v>
      </c>
      <c r="EI94" s="78">
        <v>0</v>
      </c>
      <c r="EJ94" s="78">
        <v>9.5734377329929501</v>
      </c>
      <c r="EK94" s="78">
        <v>0</v>
      </c>
      <c r="EL94" s="78">
        <v>99.999999999999972</v>
      </c>
      <c r="EM94" s="76">
        <v>97.061626423294683</v>
      </c>
      <c r="EN94" s="76" t="s">
        <v>123</v>
      </c>
      <c r="EO94" s="289">
        <v>7.0106471503006362E-2</v>
      </c>
      <c r="EP94" s="257">
        <f t="shared" si="34"/>
        <v>7.0106471503006365</v>
      </c>
      <c r="EQ94" s="257">
        <f t="shared" si="35"/>
        <v>88.179542203147349</v>
      </c>
      <c r="ER94" s="324">
        <f t="shared" si="36"/>
        <v>5.6886227544910184E-2</v>
      </c>
      <c r="ES94" s="257">
        <f t="shared" si="31"/>
        <v>0.78356713426853697</v>
      </c>
      <c r="ET94">
        <f t="shared" si="32"/>
        <v>350</v>
      </c>
      <c r="EU94" s="324">
        <f t="shared" si="37"/>
        <v>7.2599047429437819E-2</v>
      </c>
      <c r="EV94" s="39">
        <f t="shared" si="38"/>
        <v>159.19999999999999</v>
      </c>
      <c r="EW94"/>
      <c r="EX94">
        <f t="shared" si="39"/>
        <v>18</v>
      </c>
      <c r="EY94"/>
      <c r="EZ94"/>
      <c r="FA94"/>
      <c r="FB94"/>
      <c r="FC94"/>
      <c r="FD94"/>
    </row>
    <row r="95" spans="1:160" s="77" customFormat="1" ht="13" customHeight="1" x14ac:dyDescent="0.2">
      <c r="A95" s="72" t="s">
        <v>124</v>
      </c>
      <c r="B95" s="73" t="s">
        <v>462</v>
      </c>
      <c r="C95" s="276">
        <f t="shared" si="41"/>
        <v>158.19999999999999</v>
      </c>
      <c r="D95" s="74">
        <v>400</v>
      </c>
      <c r="E95" s="74">
        <v>500</v>
      </c>
      <c r="F95" s="75">
        <f t="shared" si="26"/>
        <v>450</v>
      </c>
      <c r="G95" s="73" t="s">
        <v>517</v>
      </c>
      <c r="H95" s="84">
        <v>5</v>
      </c>
      <c r="I95" s="85">
        <v>5</v>
      </c>
      <c r="J95" s="85">
        <v>6</v>
      </c>
      <c r="K95" s="89">
        <f t="shared" si="42"/>
        <v>4.166666666666667</v>
      </c>
      <c r="L95" s="75">
        <v>164</v>
      </c>
      <c r="M95" s="75">
        <v>109</v>
      </c>
      <c r="N95" s="75">
        <v>70</v>
      </c>
      <c r="O95" s="75">
        <v>57.19</v>
      </c>
      <c r="P95" s="75">
        <v>20.93</v>
      </c>
      <c r="Q95" s="75">
        <v>8.94</v>
      </c>
      <c r="R95" s="75">
        <v>0.16800000000000001</v>
      </c>
      <c r="S95" s="75">
        <v>0.62</v>
      </c>
      <c r="T95" s="75">
        <v>0</v>
      </c>
      <c r="U95" s="75">
        <v>0.06</v>
      </c>
      <c r="V95" s="75">
        <v>0.76</v>
      </c>
      <c r="W95" s="75">
        <v>0.67900000000000005</v>
      </c>
      <c r="X95" s="75">
        <v>0.06</v>
      </c>
      <c r="Y95" s="75">
        <v>9.8699999999999992</v>
      </c>
      <c r="Z95" s="75">
        <v>99.3</v>
      </c>
      <c r="AA95" s="75">
        <v>29</v>
      </c>
      <c r="AB95" s="75">
        <v>2</v>
      </c>
      <c r="AC95" s="75">
        <v>118</v>
      </c>
      <c r="AD95" s="75">
        <v>0</v>
      </c>
      <c r="AE95" s="75">
        <v>35</v>
      </c>
      <c r="AF95" s="75">
        <v>0</v>
      </c>
      <c r="AG95" s="75">
        <v>50</v>
      </c>
      <c r="AH95" s="75">
        <v>60</v>
      </c>
      <c r="AI95" s="75">
        <v>20</v>
      </c>
      <c r="AJ95" s="75">
        <v>1</v>
      </c>
      <c r="AK95" s="75">
        <v>0</v>
      </c>
      <c r="AL95" s="75">
        <v>35</v>
      </c>
      <c r="AM95" s="75">
        <v>4</v>
      </c>
      <c r="AN95" s="75">
        <v>11</v>
      </c>
      <c r="AO95" s="75">
        <v>128</v>
      </c>
      <c r="AP95" s="75">
        <v>3</v>
      </c>
      <c r="AQ95" s="75" t="s">
        <v>72</v>
      </c>
      <c r="AR95" s="75">
        <v>0.9</v>
      </c>
      <c r="AS95" s="75" t="s">
        <v>73</v>
      </c>
      <c r="AT95" s="75">
        <v>0</v>
      </c>
      <c r="AU95" s="75" t="s">
        <v>74</v>
      </c>
      <c r="AV95" s="75">
        <v>2.2999999999999998</v>
      </c>
      <c r="AW95" s="75">
        <v>161</v>
      </c>
      <c r="AX95" s="75" t="s">
        <v>75</v>
      </c>
      <c r="AY95" s="75">
        <v>10.4</v>
      </c>
      <c r="AZ95" s="75">
        <v>31.4</v>
      </c>
      <c r="BA95" s="75">
        <v>2.99</v>
      </c>
      <c r="BB95" s="75">
        <v>12.2</v>
      </c>
      <c r="BC95" s="75">
        <v>2.7</v>
      </c>
      <c r="BD95" s="75">
        <v>0.8</v>
      </c>
      <c r="BE95" s="75">
        <v>2.6</v>
      </c>
      <c r="BF95" s="75">
        <v>0.4</v>
      </c>
      <c r="BG95" s="75">
        <v>2.6</v>
      </c>
      <c r="BH95" s="75">
        <v>0.6</v>
      </c>
      <c r="BI95" s="75">
        <v>1.7</v>
      </c>
      <c r="BJ95" s="75">
        <v>0.26</v>
      </c>
      <c r="BK95" s="75">
        <v>1.8</v>
      </c>
      <c r="BL95" s="75">
        <v>0.28999999999999998</v>
      </c>
      <c r="BM95" s="75">
        <v>3</v>
      </c>
      <c r="BN95" s="75">
        <v>0.2</v>
      </c>
      <c r="BO95" s="75">
        <v>2</v>
      </c>
      <c r="BP95" s="75">
        <v>0</v>
      </c>
      <c r="BQ95" s="75">
        <v>9</v>
      </c>
      <c r="BR95" s="75">
        <v>2.6</v>
      </c>
      <c r="BS95" s="75">
        <v>1.2</v>
      </c>
      <c r="BT95" s="76">
        <f t="shared" si="27"/>
        <v>0.75119617224880386</v>
      </c>
      <c r="BU95" s="281">
        <f t="shared" si="28"/>
        <v>70.739999999999995</v>
      </c>
      <c r="BV95" s="77">
        <f t="shared" si="29"/>
        <v>450</v>
      </c>
      <c r="BW95" s="78">
        <f t="shared" si="30"/>
        <v>96.229885057471265</v>
      </c>
      <c r="BX95" s="69">
        <f t="shared" si="33"/>
        <v>0.75119617224880386</v>
      </c>
      <c r="BY95" s="76">
        <v>13.41</v>
      </c>
      <c r="BZ95" s="76">
        <v>0</v>
      </c>
      <c r="CA95" s="76">
        <v>30.72</v>
      </c>
      <c r="CB95" s="76">
        <v>0</v>
      </c>
      <c r="CC95" s="76">
        <v>0</v>
      </c>
      <c r="CD95" s="76">
        <v>0</v>
      </c>
      <c r="CE95" s="76">
        <v>0</v>
      </c>
      <c r="CF95" s="76">
        <v>0</v>
      </c>
      <c r="CG95" s="76">
        <v>0</v>
      </c>
      <c r="CH95" s="76">
        <v>5.48</v>
      </c>
      <c r="CI95" s="76">
        <v>5.97</v>
      </c>
      <c r="CJ95" s="76">
        <v>0</v>
      </c>
      <c r="CK95" s="76">
        <v>17.46</v>
      </c>
      <c r="CL95" s="76">
        <v>17.809999999999999</v>
      </c>
      <c r="CM95" s="76">
        <v>0</v>
      </c>
      <c r="CN95" s="76">
        <v>0</v>
      </c>
      <c r="CO95" s="76">
        <v>7.86</v>
      </c>
      <c r="CP95" s="76">
        <v>1.27</v>
      </c>
      <c r="CQ95" s="76">
        <v>0</v>
      </c>
      <c r="CR95" s="76">
        <v>0</v>
      </c>
      <c r="CS95" s="76">
        <v>0</v>
      </c>
      <c r="CT95" s="76">
        <v>0</v>
      </c>
      <c r="CU95" s="76">
        <v>0</v>
      </c>
      <c r="CV95" s="76">
        <v>0</v>
      </c>
      <c r="CW95" s="76">
        <v>0</v>
      </c>
      <c r="CX95" s="76">
        <v>0</v>
      </c>
      <c r="CY95" s="281">
        <v>99.97999999999999</v>
      </c>
      <c r="CZ95" s="285">
        <v>0.35485734088021254</v>
      </c>
      <c r="DA95" s="285">
        <v>0</v>
      </c>
      <c r="DB95" s="285">
        <v>0</v>
      </c>
      <c r="DC95" s="285">
        <v>0</v>
      </c>
      <c r="DD95" s="285">
        <v>0</v>
      </c>
      <c r="DE95" s="285">
        <v>0</v>
      </c>
      <c r="DF95" s="285">
        <v>0</v>
      </c>
      <c r="DG95" s="285">
        <v>6.3301374610142097E-2</v>
      </c>
      <c r="DH95" s="285">
        <v>6.8961534018713189E-2</v>
      </c>
      <c r="DI95" s="285">
        <v>0</v>
      </c>
      <c r="DJ95" s="285">
        <v>0.20168649647683959</v>
      </c>
      <c r="DK95" s="285">
        <v>0.20572946748296175</v>
      </c>
      <c r="DL95" s="285">
        <v>0</v>
      </c>
      <c r="DM95" s="285">
        <v>0</v>
      </c>
      <c r="DN95" s="285">
        <v>9.0793577451773147E-2</v>
      </c>
      <c r="DO95" s="285">
        <v>1.4670209079357746E-2</v>
      </c>
      <c r="DP95" s="285">
        <v>0</v>
      </c>
      <c r="DQ95" s="285">
        <v>0</v>
      </c>
      <c r="DR95" s="285">
        <v>0</v>
      </c>
      <c r="DS95" s="285">
        <v>0</v>
      </c>
      <c r="DT95" s="285">
        <v>0</v>
      </c>
      <c r="DU95" s="285">
        <v>0</v>
      </c>
      <c r="DV95" s="285">
        <v>0</v>
      </c>
      <c r="DW95" s="285">
        <v>0</v>
      </c>
      <c r="DX95" s="76">
        <v>1</v>
      </c>
      <c r="DY95" s="78">
        <v>58.903918670097532</v>
      </c>
      <c r="DZ95" s="78">
        <v>23.418573922988514</v>
      </c>
      <c r="EA95" s="78">
        <v>5.6021586258694898</v>
      </c>
      <c r="EB95" s="78">
        <v>1.4786164079063957</v>
      </c>
      <c r="EC95" s="78">
        <v>0</v>
      </c>
      <c r="ED95" s="78">
        <v>0.5398503979233501</v>
      </c>
      <c r="EE95" s="78">
        <v>1.2508782978097247E-2</v>
      </c>
      <c r="EF95" s="78">
        <v>0</v>
      </c>
      <c r="EG95" s="78">
        <v>0.66403819190158153</v>
      </c>
      <c r="EH95" s="78">
        <v>0.19604781481953118</v>
      </c>
      <c r="EI95" s="78">
        <v>0</v>
      </c>
      <c r="EJ95" s="78">
        <v>9.1842871855155099</v>
      </c>
      <c r="EK95" s="78">
        <v>0</v>
      </c>
      <c r="EL95" s="78">
        <v>100</v>
      </c>
      <c r="EM95" s="76">
        <v>97.19218269230791</v>
      </c>
      <c r="EN95" s="76" t="s">
        <v>124</v>
      </c>
      <c r="EO95" s="289">
        <v>7.2138505104874615E-2</v>
      </c>
      <c r="EP95" s="257">
        <f t="shared" si="34"/>
        <v>7.2138505104874611</v>
      </c>
      <c r="EQ95" s="257">
        <f t="shared" si="35"/>
        <v>83.652641002685769</v>
      </c>
      <c r="ER95" s="324">
        <f t="shared" si="36"/>
        <v>6.1538461538461542E-2</v>
      </c>
      <c r="ES95" s="257">
        <f t="shared" si="31"/>
        <v>0.75119617224880386</v>
      </c>
      <c r="ET95">
        <f t="shared" si="32"/>
        <v>450</v>
      </c>
      <c r="EU95" s="324">
        <f t="shared" si="37"/>
        <v>8.1920627143557079E-2</v>
      </c>
      <c r="EV95" s="39">
        <f t="shared" si="38"/>
        <v>158.19999999999999</v>
      </c>
      <c r="EW95"/>
      <c r="EX95">
        <f t="shared" si="39"/>
        <v>18.333333333333336</v>
      </c>
      <c r="EY95"/>
      <c r="EZ95"/>
      <c r="FA95"/>
      <c r="FB95"/>
      <c r="FC95"/>
      <c r="FD95"/>
    </row>
    <row r="96" spans="1:160" s="77" customFormat="1" ht="13" customHeight="1" x14ac:dyDescent="0.2">
      <c r="A96" s="72" t="s">
        <v>125</v>
      </c>
      <c r="B96" s="73" t="s">
        <v>462</v>
      </c>
      <c r="C96" s="276">
        <f t="shared" si="41"/>
        <v>157.19999999999999</v>
      </c>
      <c r="D96" s="74">
        <v>500</v>
      </c>
      <c r="E96" s="74">
        <v>600</v>
      </c>
      <c r="F96" s="75">
        <f t="shared" si="26"/>
        <v>550</v>
      </c>
      <c r="G96" s="73" t="s">
        <v>524</v>
      </c>
      <c r="H96" s="84">
        <v>7.5</v>
      </c>
      <c r="I96" s="85">
        <v>5</v>
      </c>
      <c r="J96" s="85">
        <v>4</v>
      </c>
      <c r="K96" s="89">
        <f t="shared" si="42"/>
        <v>9.375</v>
      </c>
      <c r="L96" s="75">
        <v>150</v>
      </c>
      <c r="M96" s="75">
        <v>115</v>
      </c>
      <c r="N96" s="75">
        <v>84</v>
      </c>
      <c r="O96" s="75">
        <v>57.81</v>
      </c>
      <c r="P96" s="75">
        <v>20.46</v>
      </c>
      <c r="Q96" s="75">
        <v>9.19</v>
      </c>
      <c r="R96" s="75">
        <v>0.17100000000000001</v>
      </c>
      <c r="S96" s="75">
        <v>1.1299999999999999</v>
      </c>
      <c r="T96" s="75">
        <v>0.02</v>
      </c>
      <c r="U96" s="75">
        <v>0.08</v>
      </c>
      <c r="V96" s="75">
        <v>0.97</v>
      </c>
      <c r="W96" s="75">
        <v>0.70699999999999996</v>
      </c>
      <c r="X96" s="75">
        <v>0.05</v>
      </c>
      <c r="Y96" s="75">
        <v>9.5500000000000007</v>
      </c>
      <c r="Z96" s="75">
        <v>100.1</v>
      </c>
      <c r="AA96" s="75">
        <v>28</v>
      </c>
      <c r="AB96" s="75">
        <v>2</v>
      </c>
      <c r="AC96" s="75">
        <v>118</v>
      </c>
      <c r="AD96" s="75">
        <v>0</v>
      </c>
      <c r="AE96" s="75">
        <v>39</v>
      </c>
      <c r="AF96" s="75">
        <v>0</v>
      </c>
      <c r="AG96" s="75">
        <v>60</v>
      </c>
      <c r="AH96" s="75">
        <v>80</v>
      </c>
      <c r="AI96" s="75">
        <v>20</v>
      </c>
      <c r="AJ96" s="75">
        <v>1</v>
      </c>
      <c r="AK96" s="75">
        <v>0</v>
      </c>
      <c r="AL96" s="75">
        <v>58</v>
      </c>
      <c r="AM96" s="75">
        <v>3</v>
      </c>
      <c r="AN96" s="75">
        <v>11</v>
      </c>
      <c r="AO96" s="75">
        <v>145</v>
      </c>
      <c r="AP96" s="75">
        <v>4</v>
      </c>
      <c r="AQ96" s="75" t="s">
        <v>72</v>
      </c>
      <c r="AR96" s="75">
        <v>1</v>
      </c>
      <c r="AS96" s="75" t="s">
        <v>73</v>
      </c>
      <c r="AT96" s="75">
        <v>0</v>
      </c>
      <c r="AU96" s="75" t="s">
        <v>74</v>
      </c>
      <c r="AV96" s="75">
        <v>3.9</v>
      </c>
      <c r="AW96" s="75">
        <v>262</v>
      </c>
      <c r="AX96" s="75" t="s">
        <v>75</v>
      </c>
      <c r="AY96" s="75">
        <v>9</v>
      </c>
      <c r="AZ96" s="75">
        <v>26.1</v>
      </c>
      <c r="BA96" s="75">
        <v>2.65</v>
      </c>
      <c r="BB96" s="75">
        <v>11.1</v>
      </c>
      <c r="BC96" s="75">
        <v>2.5</v>
      </c>
      <c r="BD96" s="75">
        <v>0.74</v>
      </c>
      <c r="BE96" s="75">
        <v>2.4</v>
      </c>
      <c r="BF96" s="75">
        <v>0.4</v>
      </c>
      <c r="BG96" s="75">
        <v>2.2999999999999998</v>
      </c>
      <c r="BH96" s="75">
        <v>0.5</v>
      </c>
      <c r="BI96" s="75">
        <v>1.5</v>
      </c>
      <c r="BJ96" s="75">
        <v>0.23</v>
      </c>
      <c r="BK96" s="75">
        <v>1.6</v>
      </c>
      <c r="BL96" s="75">
        <v>0.28000000000000003</v>
      </c>
      <c r="BM96" s="75">
        <v>3.4</v>
      </c>
      <c r="BN96" s="75">
        <v>0.2</v>
      </c>
      <c r="BO96" s="75">
        <v>0</v>
      </c>
      <c r="BP96" s="75">
        <v>0</v>
      </c>
      <c r="BQ96" s="75">
        <v>9</v>
      </c>
      <c r="BR96" s="75">
        <v>2.8</v>
      </c>
      <c r="BS96" s="75">
        <v>1</v>
      </c>
      <c r="BT96" s="76">
        <f t="shared" si="27"/>
        <v>0.74358974358974361</v>
      </c>
      <c r="BU96" s="281">
        <f t="shared" si="28"/>
        <v>61.3</v>
      </c>
      <c r="BV96" s="77">
        <f t="shared" si="29"/>
        <v>550</v>
      </c>
      <c r="BW96" s="78">
        <f t="shared" si="30"/>
        <v>95.030190431955418</v>
      </c>
      <c r="BX96" s="69">
        <f t="shared" si="33"/>
        <v>0.74358974358974361</v>
      </c>
      <c r="BY96" s="76">
        <v>10.52</v>
      </c>
      <c r="BZ96" s="76">
        <v>0</v>
      </c>
      <c r="CA96" s="76">
        <v>31.06</v>
      </c>
      <c r="CB96" s="76">
        <v>0</v>
      </c>
      <c r="CC96" s="76">
        <v>0</v>
      </c>
      <c r="CD96" s="76">
        <v>0</v>
      </c>
      <c r="CE96" s="76">
        <v>0</v>
      </c>
      <c r="CF96" s="76">
        <v>0</v>
      </c>
      <c r="CG96" s="76">
        <v>0</v>
      </c>
      <c r="CH96" s="76">
        <v>5.96</v>
      </c>
      <c r="CI96" s="76">
        <v>6.69</v>
      </c>
      <c r="CJ96" s="76">
        <v>0</v>
      </c>
      <c r="CK96" s="76">
        <v>16.68</v>
      </c>
      <c r="CL96" s="76">
        <v>16.809999999999999</v>
      </c>
      <c r="CM96" s="76">
        <v>0</v>
      </c>
      <c r="CN96" s="76">
        <v>0</v>
      </c>
      <c r="CO96" s="76">
        <v>12.03</v>
      </c>
      <c r="CP96" s="76">
        <v>0.36</v>
      </c>
      <c r="CQ96" s="76">
        <v>0</v>
      </c>
      <c r="CR96" s="76">
        <v>0</v>
      </c>
      <c r="CS96" s="76">
        <v>0</v>
      </c>
      <c r="CT96" s="76">
        <v>0</v>
      </c>
      <c r="CU96" s="76">
        <v>0</v>
      </c>
      <c r="CV96" s="76">
        <v>0</v>
      </c>
      <c r="CW96" s="76">
        <v>0</v>
      </c>
      <c r="CX96" s="76">
        <v>0</v>
      </c>
      <c r="CY96" s="281">
        <v>100.11</v>
      </c>
      <c r="CZ96" s="285">
        <v>0.34669047884808574</v>
      </c>
      <c r="DA96" s="285">
        <v>0</v>
      </c>
      <c r="DB96" s="285">
        <v>0</v>
      </c>
      <c r="DC96" s="285">
        <v>0</v>
      </c>
      <c r="DD96" s="285">
        <v>0</v>
      </c>
      <c r="DE96" s="285">
        <v>0</v>
      </c>
      <c r="DF96" s="285">
        <v>0</v>
      </c>
      <c r="DG96" s="285">
        <v>6.6525281839491024E-2</v>
      </c>
      <c r="DH96" s="285">
        <v>7.467351266882466E-2</v>
      </c>
      <c r="DI96" s="285">
        <v>0</v>
      </c>
      <c r="DJ96" s="285">
        <v>0.1861814934702534</v>
      </c>
      <c r="DK96" s="285">
        <v>0.18763254827547718</v>
      </c>
      <c r="DL96" s="285">
        <v>0</v>
      </c>
      <c r="DM96" s="285">
        <v>0</v>
      </c>
      <c r="DN96" s="285">
        <v>0.13427837928340217</v>
      </c>
      <c r="DO96" s="285">
        <v>4.0183056144659007E-3</v>
      </c>
      <c r="DP96" s="285">
        <v>0</v>
      </c>
      <c r="DQ96" s="285">
        <v>0</v>
      </c>
      <c r="DR96" s="285">
        <v>0</v>
      </c>
      <c r="DS96" s="285">
        <v>0</v>
      </c>
      <c r="DT96" s="285">
        <v>0</v>
      </c>
      <c r="DU96" s="285">
        <v>0</v>
      </c>
      <c r="DV96" s="285">
        <v>0</v>
      </c>
      <c r="DW96" s="285">
        <v>0</v>
      </c>
      <c r="DX96" s="76">
        <v>1</v>
      </c>
      <c r="DY96" s="78">
        <v>57.771761898911244</v>
      </c>
      <c r="DZ96" s="78">
        <v>23.339959885587628</v>
      </c>
      <c r="EA96" s="78">
        <v>5.8478202158786798</v>
      </c>
      <c r="EB96" s="78">
        <v>2.1074466609647384</v>
      </c>
      <c r="EC96" s="78">
        <v>0</v>
      </c>
      <c r="ED96" s="78">
        <v>0.75448655107479023</v>
      </c>
      <c r="EE96" s="78">
        <v>1.8499756835761782E-2</v>
      </c>
      <c r="EF96" s="78">
        <v>0</v>
      </c>
      <c r="EG96" s="78">
        <v>0.77679133563947089</v>
      </c>
      <c r="EH96" s="78">
        <v>0.28994322698653713</v>
      </c>
      <c r="EI96" s="78">
        <v>0</v>
      </c>
      <c r="EJ96" s="78">
        <v>9.0932904681211593</v>
      </c>
      <c r="EK96" s="78">
        <v>0</v>
      </c>
      <c r="EL96" s="78">
        <v>100.00000000000003</v>
      </c>
      <c r="EM96" s="76">
        <v>96.704856754139016</v>
      </c>
      <c r="EN96" s="76" t="s">
        <v>125</v>
      </c>
      <c r="EO96" s="289">
        <v>8.1449370763302442E-2</v>
      </c>
      <c r="EP96" s="257">
        <f t="shared" si="34"/>
        <v>8.144937076330244</v>
      </c>
      <c r="EQ96" s="257">
        <f t="shared" si="35"/>
        <v>78.831368528959516</v>
      </c>
      <c r="ER96" s="324">
        <f t="shared" si="36"/>
        <v>6.25E-2</v>
      </c>
      <c r="ES96" s="257">
        <f t="shared" si="31"/>
        <v>0.74358974358974361</v>
      </c>
      <c r="ET96">
        <f t="shared" si="32"/>
        <v>550</v>
      </c>
      <c r="EU96" s="324">
        <f t="shared" si="37"/>
        <v>8.4051724137931036E-2</v>
      </c>
      <c r="EV96" s="39">
        <f t="shared" si="38"/>
        <v>157.19999999999999</v>
      </c>
      <c r="EW96"/>
      <c r="EX96">
        <f t="shared" si="39"/>
        <v>22</v>
      </c>
      <c r="EY96"/>
      <c r="EZ96"/>
      <c r="FA96"/>
      <c r="FB96"/>
      <c r="FC96"/>
      <c r="FD96"/>
    </row>
    <row r="97" spans="1:160" s="77" customFormat="1" ht="13" customHeight="1" x14ac:dyDescent="0.2">
      <c r="A97" s="72" t="s">
        <v>126</v>
      </c>
      <c r="B97" s="73" t="s">
        <v>462</v>
      </c>
      <c r="C97" s="276">
        <f t="shared" si="41"/>
        <v>156.19999999999999</v>
      </c>
      <c r="D97" s="74">
        <v>600</v>
      </c>
      <c r="E97" s="74">
        <v>700</v>
      </c>
      <c r="F97" s="75">
        <f t="shared" si="26"/>
        <v>650</v>
      </c>
      <c r="G97" s="73" t="s">
        <v>508</v>
      </c>
      <c r="H97" s="84">
        <v>7.5</v>
      </c>
      <c r="I97" s="85">
        <v>5</v>
      </c>
      <c r="J97" s="85">
        <v>6</v>
      </c>
      <c r="K97" s="89">
        <f t="shared" si="42"/>
        <v>6.25</v>
      </c>
      <c r="L97" s="75">
        <v>161</v>
      </c>
      <c r="M97" s="75">
        <v>111</v>
      </c>
      <c r="N97" s="75">
        <v>63</v>
      </c>
      <c r="O97" s="75">
        <v>56.82</v>
      </c>
      <c r="P97" s="75">
        <v>20.99</v>
      </c>
      <c r="Q97" s="75">
        <v>9.94</v>
      </c>
      <c r="R97" s="75">
        <v>0.18</v>
      </c>
      <c r="S97" s="75">
        <v>0.99</v>
      </c>
      <c r="T97" s="75">
        <v>0.01</v>
      </c>
      <c r="U97" s="75">
        <v>0.05</v>
      </c>
      <c r="V97" s="75">
        <v>0.84</v>
      </c>
      <c r="W97" s="75">
        <v>0.749</v>
      </c>
      <c r="X97" s="75">
        <v>0.06</v>
      </c>
      <c r="Y97" s="75">
        <v>10.119999999999999</v>
      </c>
      <c r="Z97" s="75">
        <v>100.8</v>
      </c>
      <c r="AA97" s="75">
        <v>32</v>
      </c>
      <c r="AB97" s="75">
        <v>3</v>
      </c>
      <c r="AC97" s="75">
        <v>139</v>
      </c>
      <c r="AD97" s="75">
        <v>30</v>
      </c>
      <c r="AE97" s="75">
        <v>31</v>
      </c>
      <c r="AF97" s="75">
        <v>0</v>
      </c>
      <c r="AG97" s="75">
        <v>70</v>
      </c>
      <c r="AH97" s="75">
        <v>80</v>
      </c>
      <c r="AI97" s="75">
        <v>20</v>
      </c>
      <c r="AJ97" s="75">
        <v>1</v>
      </c>
      <c r="AK97" s="75">
        <v>0</v>
      </c>
      <c r="AL97" s="75">
        <v>48</v>
      </c>
      <c r="AM97" s="75">
        <v>4</v>
      </c>
      <c r="AN97" s="75">
        <v>12</v>
      </c>
      <c r="AO97" s="75">
        <v>119</v>
      </c>
      <c r="AP97" s="75">
        <v>3</v>
      </c>
      <c r="AQ97" s="75" t="s">
        <v>72</v>
      </c>
      <c r="AR97" s="75">
        <v>0.8</v>
      </c>
      <c r="AS97" s="75" t="s">
        <v>73</v>
      </c>
      <c r="AT97" s="75">
        <v>1</v>
      </c>
      <c r="AU97" s="75" t="s">
        <v>74</v>
      </c>
      <c r="AV97" s="75">
        <v>2.4</v>
      </c>
      <c r="AW97" s="75">
        <v>244</v>
      </c>
      <c r="AX97" s="75" t="s">
        <v>75</v>
      </c>
      <c r="AY97" s="75">
        <v>9.5</v>
      </c>
      <c r="AZ97" s="75">
        <v>27.8</v>
      </c>
      <c r="BA97" s="75">
        <v>2.81</v>
      </c>
      <c r="BB97" s="75">
        <v>11.7</v>
      </c>
      <c r="BC97" s="75">
        <v>2.7</v>
      </c>
      <c r="BD97" s="75">
        <v>0.88</v>
      </c>
      <c r="BE97" s="75">
        <v>2.7</v>
      </c>
      <c r="BF97" s="75">
        <v>0.4</v>
      </c>
      <c r="BG97" s="75">
        <v>2.8</v>
      </c>
      <c r="BH97" s="75">
        <v>0.6</v>
      </c>
      <c r="BI97" s="75">
        <v>1.7</v>
      </c>
      <c r="BJ97" s="75">
        <v>0.25</v>
      </c>
      <c r="BK97" s="75">
        <v>1.8</v>
      </c>
      <c r="BL97" s="75">
        <v>0.28999999999999998</v>
      </c>
      <c r="BM97" s="75">
        <v>3</v>
      </c>
      <c r="BN97" s="75">
        <v>0.2</v>
      </c>
      <c r="BO97" s="75">
        <v>0</v>
      </c>
      <c r="BP97" s="75">
        <v>0</v>
      </c>
      <c r="BQ97" s="75">
        <v>10</v>
      </c>
      <c r="BR97" s="75">
        <v>3.1</v>
      </c>
      <c r="BS97" s="75">
        <v>1</v>
      </c>
      <c r="BT97" s="76">
        <f t="shared" si="27"/>
        <v>0.74530831099195716</v>
      </c>
      <c r="BU97" s="281">
        <f t="shared" si="28"/>
        <v>65.930000000000021</v>
      </c>
      <c r="BV97" s="77">
        <f t="shared" si="29"/>
        <v>650</v>
      </c>
      <c r="BW97" s="78">
        <f t="shared" si="30"/>
        <v>95.888533576975789</v>
      </c>
      <c r="BX97" s="69">
        <f t="shared" si="33"/>
        <v>0.74530831099195716</v>
      </c>
      <c r="BY97" s="76">
        <v>9.7799999999999994</v>
      </c>
      <c r="BZ97" s="76">
        <v>0</v>
      </c>
      <c r="CA97" s="76">
        <v>32.630000000000003</v>
      </c>
      <c r="CB97" s="76">
        <v>0</v>
      </c>
      <c r="CC97" s="76">
        <v>0</v>
      </c>
      <c r="CD97" s="76">
        <v>0</v>
      </c>
      <c r="CE97" s="76">
        <v>0</v>
      </c>
      <c r="CF97" s="76">
        <v>0</v>
      </c>
      <c r="CG97" s="76">
        <v>0</v>
      </c>
      <c r="CH97" s="76">
        <v>0</v>
      </c>
      <c r="CI97" s="76">
        <v>5.16</v>
      </c>
      <c r="CJ97" s="76">
        <v>0</v>
      </c>
      <c r="CK97" s="76">
        <v>16.63</v>
      </c>
      <c r="CL97" s="76">
        <v>16.84</v>
      </c>
      <c r="CM97" s="76">
        <v>0</v>
      </c>
      <c r="CN97" s="76">
        <v>0</v>
      </c>
      <c r="CO97" s="76">
        <v>17.39</v>
      </c>
      <c r="CP97" s="76">
        <v>1.53</v>
      </c>
      <c r="CQ97" s="76">
        <v>0</v>
      </c>
      <c r="CR97" s="76">
        <v>0</v>
      </c>
      <c r="CS97" s="76">
        <v>0</v>
      </c>
      <c r="CT97" s="76">
        <v>0</v>
      </c>
      <c r="CU97" s="76">
        <v>0</v>
      </c>
      <c r="CV97" s="76">
        <v>0</v>
      </c>
      <c r="CW97" s="76">
        <v>0</v>
      </c>
      <c r="CX97" s="76">
        <v>0</v>
      </c>
      <c r="CY97" s="281">
        <v>99.960000000000008</v>
      </c>
      <c r="CZ97" s="285">
        <v>0.36183189177201153</v>
      </c>
      <c r="DA97" s="285">
        <v>0</v>
      </c>
      <c r="DB97" s="285">
        <v>0</v>
      </c>
      <c r="DC97" s="285">
        <v>0</v>
      </c>
      <c r="DD97" s="285">
        <v>0</v>
      </c>
      <c r="DE97" s="285">
        <v>0</v>
      </c>
      <c r="DF97" s="285">
        <v>0</v>
      </c>
      <c r="DG97" s="285">
        <v>0</v>
      </c>
      <c r="DH97" s="285">
        <v>5.7218895542248835E-2</v>
      </c>
      <c r="DI97" s="285">
        <v>0</v>
      </c>
      <c r="DJ97" s="285">
        <v>0.18440895985806163</v>
      </c>
      <c r="DK97" s="285">
        <v>0.18673763583943223</v>
      </c>
      <c r="DL97" s="285">
        <v>0</v>
      </c>
      <c r="DM97" s="285">
        <v>0</v>
      </c>
      <c r="DN97" s="285">
        <v>0.19283654912397427</v>
      </c>
      <c r="DO97" s="285">
        <v>1.6966067864271458E-2</v>
      </c>
      <c r="DP97" s="285">
        <v>0</v>
      </c>
      <c r="DQ97" s="285">
        <v>0</v>
      </c>
      <c r="DR97" s="285">
        <v>0</v>
      </c>
      <c r="DS97" s="285">
        <v>0</v>
      </c>
      <c r="DT97" s="285">
        <v>0</v>
      </c>
      <c r="DU97" s="285">
        <v>0</v>
      </c>
      <c r="DV97" s="285">
        <v>0</v>
      </c>
      <c r="DW97" s="285">
        <v>0</v>
      </c>
      <c r="DX97" s="76">
        <v>1</v>
      </c>
      <c r="DY97" s="78">
        <v>62.252237699190637</v>
      </c>
      <c r="DZ97" s="78">
        <v>23.515641466890866</v>
      </c>
      <c r="EA97" s="78">
        <v>0.28368411910139424</v>
      </c>
      <c r="EB97" s="78">
        <v>3.0767399117229548</v>
      </c>
      <c r="EC97" s="78">
        <v>0</v>
      </c>
      <c r="ED97" s="78">
        <v>1.1113291563104315</v>
      </c>
      <c r="EE97" s="78">
        <v>2.6567413807636841E-2</v>
      </c>
      <c r="EF97" s="78">
        <v>0</v>
      </c>
      <c r="EG97" s="78">
        <v>1.245550156380252</v>
      </c>
      <c r="EH97" s="78">
        <v>0.41638610498826673</v>
      </c>
      <c r="EI97" s="78">
        <v>0</v>
      </c>
      <c r="EJ97" s="78">
        <v>8.0718639716075575</v>
      </c>
      <c r="EK97" s="78">
        <v>0</v>
      </c>
      <c r="EL97" s="78">
        <v>100</v>
      </c>
      <c r="EM97" s="76">
        <v>94.86796055954477</v>
      </c>
      <c r="EN97" s="76" t="s">
        <v>126</v>
      </c>
      <c r="EO97" s="289">
        <v>3.6373306228794151E-2</v>
      </c>
      <c r="EP97" s="257">
        <f t="shared" si="34"/>
        <v>3.6373306228794151</v>
      </c>
      <c r="EQ97" s="257">
        <f t="shared" si="35"/>
        <v>67.12423979148565</v>
      </c>
      <c r="ER97" s="324">
        <f t="shared" si="36"/>
        <v>6.9952305246422888E-2</v>
      </c>
      <c r="ES97" s="257">
        <f t="shared" si="31"/>
        <v>0.74530831099195716</v>
      </c>
      <c r="ET97">
        <f t="shared" si="32"/>
        <v>650</v>
      </c>
      <c r="EU97" s="324">
        <f t="shared" si="37"/>
        <v>9.3856869988905522E-2</v>
      </c>
      <c r="EV97" s="39">
        <f t="shared" si="38"/>
        <v>156.19999999999999</v>
      </c>
      <c r="EW97"/>
      <c r="EX97">
        <f t="shared" si="39"/>
        <v>20</v>
      </c>
      <c r="EY97"/>
      <c r="EZ97"/>
      <c r="FA97"/>
      <c r="FB97"/>
      <c r="FC97"/>
      <c r="FD97"/>
    </row>
    <row r="98" spans="1:160" s="77" customFormat="1" ht="13" customHeight="1" x14ac:dyDescent="0.2">
      <c r="A98" s="72" t="s">
        <v>127</v>
      </c>
      <c r="B98" s="73" t="s">
        <v>462</v>
      </c>
      <c r="C98" s="276">
        <f t="shared" si="41"/>
        <v>155.19999999999999</v>
      </c>
      <c r="D98" s="74">
        <v>700</v>
      </c>
      <c r="E98" s="74">
        <v>800</v>
      </c>
      <c r="F98" s="75">
        <f t="shared" si="26"/>
        <v>750</v>
      </c>
      <c r="G98" s="73" t="s">
        <v>508</v>
      </c>
      <c r="H98" s="84">
        <v>7.5</v>
      </c>
      <c r="I98" s="85">
        <v>5</v>
      </c>
      <c r="J98" s="85">
        <v>6</v>
      </c>
      <c r="K98" s="89">
        <f t="shared" si="42"/>
        <v>6.25</v>
      </c>
      <c r="L98" s="75">
        <v>161</v>
      </c>
      <c r="M98" s="75">
        <v>111</v>
      </c>
      <c r="N98" s="75">
        <v>63</v>
      </c>
      <c r="O98" s="75">
        <v>57.67</v>
      </c>
      <c r="P98" s="75">
        <v>19.829999999999998</v>
      </c>
      <c r="Q98" s="75">
        <v>8.9600000000000009</v>
      </c>
      <c r="R98" s="75">
        <v>0.16800000000000001</v>
      </c>
      <c r="S98" s="75">
        <v>1.25</v>
      </c>
      <c r="T98" s="75">
        <v>0.03</v>
      </c>
      <c r="U98" s="75">
        <v>0.06</v>
      </c>
      <c r="V98" s="75">
        <v>1.01</v>
      </c>
      <c r="W98" s="75">
        <v>0.74</v>
      </c>
      <c r="X98" s="75">
        <v>0.05</v>
      </c>
      <c r="Y98" s="75">
        <v>9.59</v>
      </c>
      <c r="Z98" s="75">
        <v>99.36</v>
      </c>
      <c r="AA98" s="75">
        <v>26</v>
      </c>
      <c r="AB98" s="75">
        <v>3</v>
      </c>
      <c r="AC98" s="75">
        <v>120</v>
      </c>
      <c r="AD98" s="75">
        <v>20</v>
      </c>
      <c r="AE98" s="75">
        <v>27</v>
      </c>
      <c r="AF98" s="75">
        <v>0</v>
      </c>
      <c r="AG98" s="75">
        <v>50</v>
      </c>
      <c r="AH98" s="75">
        <v>90</v>
      </c>
      <c r="AI98" s="75">
        <v>20</v>
      </c>
      <c r="AJ98" s="75">
        <v>1</v>
      </c>
      <c r="AK98" s="75">
        <v>0</v>
      </c>
      <c r="AL98" s="75">
        <v>61</v>
      </c>
      <c r="AM98" s="75">
        <v>8</v>
      </c>
      <c r="AN98" s="75">
        <v>14</v>
      </c>
      <c r="AO98" s="75">
        <v>148</v>
      </c>
      <c r="AP98" s="75">
        <v>4</v>
      </c>
      <c r="AQ98" s="75" t="s">
        <v>72</v>
      </c>
      <c r="AR98" s="75">
        <v>0.7</v>
      </c>
      <c r="AS98" s="75" t="s">
        <v>73</v>
      </c>
      <c r="AT98" s="75">
        <v>1</v>
      </c>
      <c r="AU98" s="75" t="s">
        <v>74</v>
      </c>
      <c r="AV98" s="75">
        <v>2</v>
      </c>
      <c r="AW98" s="75">
        <v>285</v>
      </c>
      <c r="AX98" s="75" t="s">
        <v>75</v>
      </c>
      <c r="AY98" s="75">
        <v>10.4</v>
      </c>
      <c r="AZ98" s="75">
        <v>24.5</v>
      </c>
      <c r="BA98" s="75">
        <v>2.8</v>
      </c>
      <c r="BB98" s="75">
        <v>11.7</v>
      </c>
      <c r="BC98" s="75">
        <v>2.8</v>
      </c>
      <c r="BD98" s="75">
        <v>0.9</v>
      </c>
      <c r="BE98" s="75">
        <v>2.8</v>
      </c>
      <c r="BF98" s="75">
        <v>0.5</v>
      </c>
      <c r="BG98" s="75">
        <v>3</v>
      </c>
      <c r="BH98" s="75">
        <v>0.6</v>
      </c>
      <c r="BI98" s="75">
        <v>1.7</v>
      </c>
      <c r="BJ98" s="75">
        <v>0.26</v>
      </c>
      <c r="BK98" s="75">
        <v>1.8</v>
      </c>
      <c r="BL98" s="75">
        <v>0.3</v>
      </c>
      <c r="BM98" s="75">
        <v>3.6</v>
      </c>
      <c r="BN98" s="75">
        <v>0.3</v>
      </c>
      <c r="BO98" s="75">
        <v>0</v>
      </c>
      <c r="BP98" s="75">
        <v>0.1</v>
      </c>
      <c r="BQ98" s="75">
        <v>9</v>
      </c>
      <c r="BR98" s="75">
        <v>2.9</v>
      </c>
      <c r="BS98" s="75">
        <v>0.9</v>
      </c>
      <c r="BT98" s="76">
        <f t="shared" si="27"/>
        <v>0.70200573065902583</v>
      </c>
      <c r="BU98" s="281">
        <f t="shared" si="28"/>
        <v>64.059999999999988</v>
      </c>
      <c r="BV98" s="77">
        <f t="shared" si="29"/>
        <v>750</v>
      </c>
      <c r="BW98" s="78">
        <f t="shared" si="30"/>
        <v>94.744386048733858</v>
      </c>
      <c r="BX98" s="69">
        <f t="shared" si="33"/>
        <v>0.70200573065902583</v>
      </c>
      <c r="BY98" s="76">
        <v>9.8699999999999992</v>
      </c>
      <c r="BZ98" s="76">
        <v>0</v>
      </c>
      <c r="CA98" s="76">
        <v>32.58</v>
      </c>
      <c r="CB98" s="76">
        <v>0</v>
      </c>
      <c r="CC98" s="76">
        <v>0</v>
      </c>
      <c r="CD98" s="76">
        <v>0</v>
      </c>
      <c r="CE98" s="76">
        <v>0</v>
      </c>
      <c r="CF98" s="76">
        <v>0</v>
      </c>
      <c r="CG98" s="76">
        <v>0</v>
      </c>
      <c r="CH98" s="76">
        <v>0</v>
      </c>
      <c r="CI98" s="76">
        <v>4.6100000000000003</v>
      </c>
      <c r="CJ98" s="76">
        <v>0</v>
      </c>
      <c r="CK98" s="76">
        <v>17.010000000000002</v>
      </c>
      <c r="CL98" s="76">
        <v>17.37</v>
      </c>
      <c r="CM98" s="76">
        <v>0</v>
      </c>
      <c r="CN98" s="76">
        <v>0</v>
      </c>
      <c r="CO98" s="76">
        <v>16.87</v>
      </c>
      <c r="CP98" s="76">
        <v>1.69</v>
      </c>
      <c r="CQ98" s="76">
        <v>0</v>
      </c>
      <c r="CR98" s="76">
        <v>0</v>
      </c>
      <c r="CS98" s="76">
        <v>0</v>
      </c>
      <c r="CT98" s="76">
        <v>0</v>
      </c>
      <c r="CU98" s="76">
        <v>0</v>
      </c>
      <c r="CV98" s="76">
        <v>0</v>
      </c>
      <c r="CW98" s="76">
        <v>0</v>
      </c>
      <c r="CX98" s="76">
        <v>0</v>
      </c>
      <c r="CY98" s="281">
        <v>100</v>
      </c>
      <c r="CZ98" s="285">
        <v>0.36147786530566955</v>
      </c>
      <c r="DA98" s="285">
        <v>0</v>
      </c>
      <c r="DB98" s="285">
        <v>0</v>
      </c>
      <c r="DC98" s="285">
        <v>0</v>
      </c>
      <c r="DD98" s="285">
        <v>0</v>
      </c>
      <c r="DE98" s="285">
        <v>0</v>
      </c>
      <c r="DF98" s="285">
        <v>0</v>
      </c>
      <c r="DG98" s="285">
        <v>0</v>
      </c>
      <c r="DH98" s="285">
        <v>5.1148341284810828E-2</v>
      </c>
      <c r="DI98" s="285">
        <v>0</v>
      </c>
      <c r="DJ98" s="285">
        <v>0.1887273937645623</v>
      </c>
      <c r="DK98" s="285">
        <v>0.19272162432042605</v>
      </c>
      <c r="DL98" s="285">
        <v>0</v>
      </c>
      <c r="DM98" s="285">
        <v>0</v>
      </c>
      <c r="DN98" s="285">
        <v>0.18717408188172638</v>
      </c>
      <c r="DO98" s="285">
        <v>1.8750693442804833E-2</v>
      </c>
      <c r="DP98" s="285">
        <v>0</v>
      </c>
      <c r="DQ98" s="285">
        <v>0</v>
      </c>
      <c r="DR98" s="285">
        <v>0</v>
      </c>
      <c r="DS98" s="285">
        <v>0</v>
      </c>
      <c r="DT98" s="285">
        <v>0</v>
      </c>
      <c r="DU98" s="285">
        <v>0</v>
      </c>
      <c r="DV98" s="285">
        <v>0</v>
      </c>
      <c r="DW98" s="285">
        <v>0</v>
      </c>
      <c r="DX98" s="76">
        <v>1</v>
      </c>
      <c r="DY98" s="78">
        <v>62.553737860387685</v>
      </c>
      <c r="DZ98" s="78">
        <v>23.421537930761573</v>
      </c>
      <c r="EA98" s="78">
        <v>0.29032734901606949</v>
      </c>
      <c r="EB98" s="78">
        <v>2.9966397217352072</v>
      </c>
      <c r="EC98" s="78">
        <v>0</v>
      </c>
      <c r="ED98" s="78">
        <v>1.0843675828637305</v>
      </c>
      <c r="EE98" s="78">
        <v>2.5787286227671322E-2</v>
      </c>
      <c r="EF98" s="78">
        <v>0</v>
      </c>
      <c r="EG98" s="78">
        <v>1.235484387154681</v>
      </c>
      <c r="EH98" s="78">
        <v>0.40415931141446421</v>
      </c>
      <c r="EI98" s="78">
        <v>0</v>
      </c>
      <c r="EJ98" s="78">
        <v>7.9879585704389271</v>
      </c>
      <c r="EK98" s="78">
        <v>0</v>
      </c>
      <c r="EL98" s="78">
        <v>100.00000000000003</v>
      </c>
      <c r="EM98" s="76">
        <v>94.89008061233595</v>
      </c>
      <c r="EN98" s="76" t="s">
        <v>127</v>
      </c>
      <c r="EO98" s="289">
        <v>3.5566646457074455E-2</v>
      </c>
      <c r="EP98" s="257">
        <f t="shared" si="34"/>
        <v>3.5566646457074453</v>
      </c>
      <c r="EQ98" s="257">
        <f t="shared" si="35"/>
        <v>67.749782797567335</v>
      </c>
      <c r="ER98" s="324">
        <f t="shared" si="36"/>
        <v>7.1428571428571438E-2</v>
      </c>
      <c r="ES98" s="257">
        <f t="shared" si="31"/>
        <v>0.70200573065902583</v>
      </c>
      <c r="ET98">
        <f t="shared" si="32"/>
        <v>750</v>
      </c>
      <c r="EU98" s="324">
        <f t="shared" si="37"/>
        <v>0.10174927113702625</v>
      </c>
      <c r="EV98" s="39">
        <f t="shared" si="38"/>
        <v>155.19999999999999</v>
      </c>
      <c r="EW98"/>
      <c r="EX98">
        <f t="shared" si="39"/>
        <v>23.333333333333336</v>
      </c>
      <c r="EY98"/>
      <c r="EZ98"/>
      <c r="FA98"/>
      <c r="FB98"/>
      <c r="FC98"/>
      <c r="FD98"/>
    </row>
    <row r="99" spans="1:160" ht="13" customHeight="1" x14ac:dyDescent="0.2">
      <c r="A99" s="30" t="s">
        <v>482</v>
      </c>
      <c r="B99" s="31" t="s">
        <v>461</v>
      </c>
      <c r="C99" s="86">
        <f>166.4-F99/100</f>
        <v>166.32500000000002</v>
      </c>
      <c r="D99" s="32">
        <v>0</v>
      </c>
      <c r="E99" s="32">
        <v>15</v>
      </c>
      <c r="F99" s="33">
        <f t="shared" si="26"/>
        <v>7.5</v>
      </c>
      <c r="G99" s="31" t="s">
        <v>506</v>
      </c>
      <c r="H99" s="84">
        <v>5</v>
      </c>
      <c r="I99" s="85">
        <v>4</v>
      </c>
      <c r="J99" s="85">
        <v>6</v>
      </c>
      <c r="K99" s="89">
        <f t="shared" si="42"/>
        <v>3.3333333333333335</v>
      </c>
      <c r="L99" s="33">
        <v>136</v>
      </c>
      <c r="M99" s="33">
        <v>83</v>
      </c>
      <c r="N99" s="33">
        <v>47</v>
      </c>
      <c r="O99" s="33">
        <v>67.97</v>
      </c>
      <c r="P99" s="33">
        <v>13.64</v>
      </c>
      <c r="Q99" s="33">
        <v>4.79</v>
      </c>
      <c r="R99" s="33">
        <v>7.8E-2</v>
      </c>
      <c r="S99" s="33">
        <v>0.9</v>
      </c>
      <c r="T99" s="33">
        <v>0.34</v>
      </c>
      <c r="U99" s="33">
        <v>0.81</v>
      </c>
      <c r="V99" s="33">
        <v>2.0299999999999998</v>
      </c>
      <c r="W99" s="33">
        <v>0.92800000000000005</v>
      </c>
      <c r="X99" s="33">
        <v>0.05</v>
      </c>
      <c r="Y99" s="33">
        <v>7.47</v>
      </c>
      <c r="Z99" s="33">
        <v>99.01</v>
      </c>
      <c r="AA99" s="33">
        <v>8</v>
      </c>
      <c r="AB99" s="33">
        <v>1</v>
      </c>
      <c r="AC99" s="33">
        <v>86</v>
      </c>
      <c r="AD99" s="33">
        <v>0</v>
      </c>
      <c r="AE99" s="33">
        <v>15</v>
      </c>
      <c r="AF99" s="33">
        <v>0</v>
      </c>
      <c r="AG99" s="33">
        <v>40</v>
      </c>
      <c r="AH99" s="33">
        <v>60</v>
      </c>
      <c r="AI99" s="33">
        <v>17</v>
      </c>
      <c r="AJ99" s="33">
        <v>1</v>
      </c>
      <c r="AK99" s="33">
        <v>0</v>
      </c>
      <c r="AL99" s="33">
        <v>92</v>
      </c>
      <c r="AM99" s="33">
        <v>154</v>
      </c>
      <c r="AN99" s="33">
        <v>11</v>
      </c>
      <c r="AO99" s="33">
        <v>680</v>
      </c>
      <c r="AP99" s="33">
        <v>11</v>
      </c>
      <c r="AQ99" s="33" t="s">
        <v>72</v>
      </c>
      <c r="AR99" s="33">
        <v>1.7</v>
      </c>
      <c r="AS99" s="33" t="s">
        <v>73</v>
      </c>
      <c r="AT99" s="33">
        <v>1</v>
      </c>
      <c r="AU99" s="33" t="s">
        <v>74</v>
      </c>
      <c r="AV99" s="33">
        <v>3.1</v>
      </c>
      <c r="AW99" s="33">
        <v>796</v>
      </c>
      <c r="AX99" s="33" t="s">
        <v>75</v>
      </c>
      <c r="AY99" s="33">
        <v>27.5</v>
      </c>
      <c r="AZ99" s="33">
        <v>54.8</v>
      </c>
      <c r="BA99" s="33">
        <v>5.55</v>
      </c>
      <c r="BB99" s="33">
        <v>18.399999999999999</v>
      </c>
      <c r="BC99" s="33">
        <v>3.2</v>
      </c>
      <c r="BD99" s="33">
        <v>0.78</v>
      </c>
      <c r="BE99" s="33">
        <v>2.6</v>
      </c>
      <c r="BF99" s="33">
        <v>0.4</v>
      </c>
      <c r="BG99" s="33">
        <v>2.2000000000000002</v>
      </c>
      <c r="BH99" s="33">
        <v>0.4</v>
      </c>
      <c r="BI99" s="33">
        <v>1.4</v>
      </c>
      <c r="BJ99" s="33">
        <v>0.22</v>
      </c>
      <c r="BK99" s="33">
        <v>1.6</v>
      </c>
      <c r="BL99" s="33">
        <v>0.3</v>
      </c>
      <c r="BM99" s="33">
        <v>15.6</v>
      </c>
      <c r="BN99" s="33">
        <v>0.8</v>
      </c>
      <c r="BO99" s="33">
        <v>13</v>
      </c>
      <c r="BP99" s="33">
        <v>0.5</v>
      </c>
      <c r="BQ99" s="33">
        <v>20</v>
      </c>
      <c r="BR99" s="33">
        <v>9.6</v>
      </c>
      <c r="BS99" s="33">
        <v>2.6</v>
      </c>
      <c r="BT99" s="34">
        <f t="shared" si="27"/>
        <v>0.66585662211421626</v>
      </c>
      <c r="BU99" s="282">
        <f t="shared" si="28"/>
        <v>119.35000000000001</v>
      </c>
      <c r="BV99" s="35">
        <f t="shared" si="29"/>
        <v>7.5</v>
      </c>
      <c r="BW99" s="79">
        <f t="shared" si="30"/>
        <v>81.093935790725325</v>
      </c>
      <c r="BX99" s="69">
        <f t="shared" si="33"/>
        <v>0.66585662211421626</v>
      </c>
      <c r="BY99" s="34">
        <v>8.4600000000000009</v>
      </c>
      <c r="BZ99" s="34">
        <v>1.68</v>
      </c>
      <c r="CA99" s="34">
        <v>44.12</v>
      </c>
      <c r="CB99" s="34">
        <v>0</v>
      </c>
      <c r="CC99" s="34">
        <v>2.46</v>
      </c>
      <c r="CD99" s="34">
        <v>0</v>
      </c>
      <c r="CE99" s="34">
        <v>0</v>
      </c>
      <c r="CF99" s="34">
        <v>0</v>
      </c>
      <c r="CG99" s="34">
        <v>0</v>
      </c>
      <c r="CH99" s="34">
        <v>0.56999999999999995</v>
      </c>
      <c r="CI99" s="34">
        <v>0.16</v>
      </c>
      <c r="CJ99" s="34">
        <v>0</v>
      </c>
      <c r="CK99" s="34">
        <v>15.72</v>
      </c>
      <c r="CL99" s="34">
        <v>15.57</v>
      </c>
      <c r="CM99" s="34">
        <v>0</v>
      </c>
      <c r="CN99" s="34">
        <v>7.13</v>
      </c>
      <c r="CO99" s="34">
        <v>0</v>
      </c>
      <c r="CP99" s="34">
        <v>3.52</v>
      </c>
      <c r="CQ99" s="34">
        <v>0</v>
      </c>
      <c r="CR99" s="34">
        <v>0</v>
      </c>
      <c r="CS99" s="34">
        <v>0.3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282">
        <v>99.69</v>
      </c>
      <c r="CZ99" s="286">
        <v>0.36147786530566955</v>
      </c>
      <c r="DA99" s="286">
        <v>0</v>
      </c>
      <c r="DB99" s="286">
        <v>0</v>
      </c>
      <c r="DC99" s="286">
        <v>0</v>
      </c>
      <c r="DD99" s="286">
        <v>0</v>
      </c>
      <c r="DE99" s="286">
        <v>0</v>
      </c>
      <c r="DF99" s="286">
        <v>0</v>
      </c>
      <c r="DG99" s="286">
        <v>0</v>
      </c>
      <c r="DH99" s="286">
        <v>5.1148341284810828E-2</v>
      </c>
      <c r="DI99" s="286">
        <v>0</v>
      </c>
      <c r="DJ99" s="286">
        <v>0.1887273937645623</v>
      </c>
      <c r="DK99" s="286">
        <v>0.19272162432042605</v>
      </c>
      <c r="DL99" s="286">
        <v>0</v>
      </c>
      <c r="DM99" s="286">
        <v>0</v>
      </c>
      <c r="DN99" s="286">
        <v>0.18717408188172638</v>
      </c>
      <c r="DO99" s="286">
        <v>1.8750693442804833E-2</v>
      </c>
      <c r="DP99" s="286">
        <v>0</v>
      </c>
      <c r="DQ99" s="286">
        <v>0</v>
      </c>
      <c r="DR99" s="286">
        <v>0</v>
      </c>
      <c r="DS99" s="286">
        <v>0</v>
      </c>
      <c r="DT99" s="286">
        <v>0</v>
      </c>
      <c r="DU99" s="286">
        <v>0</v>
      </c>
      <c r="DV99" s="286">
        <v>0</v>
      </c>
      <c r="DW99" s="286">
        <v>0</v>
      </c>
      <c r="DX99" s="34">
        <v>1</v>
      </c>
      <c r="DY99" s="79">
        <v>62.553737860387685</v>
      </c>
      <c r="DZ99" s="79">
        <v>23.421537930761573</v>
      </c>
      <c r="EA99" s="79">
        <v>0.29032734901606949</v>
      </c>
      <c r="EB99" s="79">
        <v>2.9966397217352072</v>
      </c>
      <c r="EC99" s="79">
        <v>0</v>
      </c>
      <c r="ED99" s="79">
        <v>1.0843675828637305</v>
      </c>
      <c r="EE99" s="79">
        <v>2.5787286227671322E-2</v>
      </c>
      <c r="EF99" s="79">
        <v>0</v>
      </c>
      <c r="EG99" s="79">
        <v>1.235484387154681</v>
      </c>
      <c r="EH99" s="79">
        <v>0.40415931141446421</v>
      </c>
      <c r="EI99" s="79">
        <v>0</v>
      </c>
      <c r="EJ99" s="79">
        <v>7.9879585704389271</v>
      </c>
      <c r="EK99" s="79">
        <v>0</v>
      </c>
      <c r="EL99" s="79">
        <v>100.00000000000003</v>
      </c>
      <c r="EM99" s="34">
        <v>94.89008061233595</v>
      </c>
      <c r="EN99" s="34" t="s">
        <v>482</v>
      </c>
      <c r="EO99" s="290">
        <v>3.5566646457074455E-2</v>
      </c>
      <c r="EP99" s="257">
        <f t="shared" si="34"/>
        <v>3.5566646457074453</v>
      </c>
      <c r="EQ99" s="257">
        <f t="shared" si="35"/>
        <v>67.749782797567335</v>
      </c>
      <c r="ER99" s="324">
        <f t="shared" si="36"/>
        <v>4.0667361835245046E-2</v>
      </c>
      <c r="ES99" s="257">
        <f t="shared" si="31"/>
        <v>0.66585662211421626</v>
      </c>
      <c r="ET99">
        <f t="shared" si="32"/>
        <v>7.5</v>
      </c>
      <c r="EU99" s="324">
        <f t="shared" si="37"/>
        <v>6.1075253267165466E-2</v>
      </c>
      <c r="EV99" s="39">
        <f t="shared" si="38"/>
        <v>166.32500000000002</v>
      </c>
      <c r="EX99">
        <f t="shared" si="39"/>
        <v>27.5</v>
      </c>
    </row>
    <row r="100" spans="1:160" ht="13" customHeight="1" x14ac:dyDescent="0.2">
      <c r="A100" s="30" t="s">
        <v>483</v>
      </c>
      <c r="B100" s="31" t="s">
        <v>461</v>
      </c>
      <c r="C100" s="86">
        <f t="shared" ref="C100:C111" si="43">166.4-F100/100</f>
        <v>166.19499999999999</v>
      </c>
      <c r="D100" s="32">
        <v>15</v>
      </c>
      <c r="E100" s="32">
        <v>26</v>
      </c>
      <c r="F100" s="33">
        <f t="shared" si="26"/>
        <v>20.5</v>
      </c>
      <c r="G100" s="31" t="s">
        <v>518</v>
      </c>
      <c r="H100" s="84">
        <v>2.5</v>
      </c>
      <c r="I100" s="85">
        <v>4</v>
      </c>
      <c r="J100" s="85">
        <v>8</v>
      </c>
      <c r="K100" s="89">
        <f t="shared" si="42"/>
        <v>1.25</v>
      </c>
      <c r="L100" s="33">
        <v>150</v>
      </c>
      <c r="M100" s="33">
        <v>75</v>
      </c>
      <c r="N100" s="33">
        <v>38</v>
      </c>
      <c r="O100" s="33">
        <v>52.27</v>
      </c>
      <c r="P100" s="33">
        <v>23.56</v>
      </c>
      <c r="Q100" s="33">
        <v>8.35</v>
      </c>
      <c r="R100" s="33">
        <v>5.1999999999999998E-2</v>
      </c>
      <c r="S100" s="33">
        <v>1.26</v>
      </c>
      <c r="T100" s="33">
        <v>0.16</v>
      </c>
      <c r="U100" s="33">
        <v>0.34</v>
      </c>
      <c r="V100" s="33">
        <v>1.42</v>
      </c>
      <c r="W100" s="33">
        <v>1.1599999999999999</v>
      </c>
      <c r="X100" s="33">
        <v>0.05</v>
      </c>
      <c r="Y100" s="33">
        <v>11.89</v>
      </c>
      <c r="Z100" s="33">
        <v>100.5</v>
      </c>
      <c r="AA100" s="33">
        <v>14</v>
      </c>
      <c r="AB100" s="33">
        <v>1</v>
      </c>
      <c r="AC100" s="33">
        <v>145</v>
      </c>
      <c r="AD100" s="33">
        <v>20</v>
      </c>
      <c r="AE100" s="33">
        <v>11</v>
      </c>
      <c r="AF100" s="33">
        <v>0</v>
      </c>
      <c r="AG100" s="33">
        <v>50</v>
      </c>
      <c r="AH100" s="33">
        <v>80</v>
      </c>
      <c r="AI100" s="33">
        <v>29</v>
      </c>
      <c r="AJ100" s="33">
        <v>2</v>
      </c>
      <c r="AK100" s="33">
        <v>0</v>
      </c>
      <c r="AL100" s="33">
        <v>95</v>
      </c>
      <c r="AM100" s="33">
        <v>79</v>
      </c>
      <c r="AN100" s="33">
        <v>5</v>
      </c>
      <c r="AO100" s="33">
        <v>313</v>
      </c>
      <c r="AP100" s="33">
        <v>17</v>
      </c>
      <c r="AQ100" s="33" t="s">
        <v>72</v>
      </c>
      <c r="AR100" s="33">
        <v>0.7</v>
      </c>
      <c r="AS100" s="33" t="s">
        <v>73</v>
      </c>
      <c r="AT100" s="33">
        <v>2</v>
      </c>
      <c r="AU100" s="33" t="s">
        <v>74</v>
      </c>
      <c r="AV100" s="33">
        <v>4.2</v>
      </c>
      <c r="AW100" s="33">
        <v>380</v>
      </c>
      <c r="AX100" s="33" t="s">
        <v>75</v>
      </c>
      <c r="AY100" s="33">
        <v>19.8</v>
      </c>
      <c r="AZ100" s="33">
        <v>33.4</v>
      </c>
      <c r="BA100" s="33">
        <v>3.65</v>
      </c>
      <c r="BB100" s="33">
        <v>13</v>
      </c>
      <c r="BC100" s="33">
        <v>2.1</v>
      </c>
      <c r="BD100" s="33">
        <v>0.55000000000000004</v>
      </c>
      <c r="BE100" s="33">
        <v>1.5</v>
      </c>
      <c r="BF100" s="33">
        <v>0.2</v>
      </c>
      <c r="BG100" s="33">
        <v>1.3</v>
      </c>
      <c r="BH100" s="33">
        <v>0.3</v>
      </c>
      <c r="BI100" s="33">
        <v>0.7</v>
      </c>
      <c r="BJ100" s="33">
        <v>0.12</v>
      </c>
      <c r="BK100" s="33">
        <v>0.8</v>
      </c>
      <c r="BL100" s="33">
        <v>0.13</v>
      </c>
      <c r="BM100" s="33">
        <v>7.9</v>
      </c>
      <c r="BN100" s="33">
        <v>0.8</v>
      </c>
      <c r="BO100" s="33">
        <v>0</v>
      </c>
      <c r="BP100" s="33">
        <v>0.6</v>
      </c>
      <c r="BQ100" s="33">
        <v>21</v>
      </c>
      <c r="BR100" s="33">
        <v>19.7</v>
      </c>
      <c r="BS100" s="33">
        <v>2.2999999999999998</v>
      </c>
      <c r="BT100" s="34">
        <f t="shared" si="27"/>
        <v>0.62781954887218039</v>
      </c>
      <c r="BU100" s="282">
        <f t="shared" si="28"/>
        <v>77.549999999999983</v>
      </c>
      <c r="BV100" s="35">
        <f t="shared" si="29"/>
        <v>20.5</v>
      </c>
      <c r="BW100" s="79">
        <f t="shared" si="30"/>
        <v>92.464678178963908</v>
      </c>
      <c r="BX100" s="69">
        <f t="shared" si="33"/>
        <v>0.62781954887218039</v>
      </c>
      <c r="BY100" s="34">
        <v>9.9499999999999993</v>
      </c>
      <c r="BZ100" s="34">
        <v>1.1299999999999999</v>
      </c>
      <c r="CA100" s="34">
        <v>22.52</v>
      </c>
      <c r="CB100" s="34">
        <v>0</v>
      </c>
      <c r="CC100" s="34">
        <v>1.42</v>
      </c>
      <c r="CD100" s="34">
        <v>0</v>
      </c>
      <c r="CE100" s="34">
        <v>0</v>
      </c>
      <c r="CF100" s="34">
        <v>0</v>
      </c>
      <c r="CG100" s="34">
        <v>0</v>
      </c>
      <c r="CH100" s="34">
        <v>4.57</v>
      </c>
      <c r="CI100" s="34">
        <v>3.92</v>
      </c>
      <c r="CJ100" s="34">
        <v>0</v>
      </c>
      <c r="CK100" s="34">
        <v>15.97</v>
      </c>
      <c r="CL100" s="34">
        <v>15.82</v>
      </c>
      <c r="CM100" s="34">
        <v>0.09</v>
      </c>
      <c r="CN100" s="34">
        <v>15.21</v>
      </c>
      <c r="CO100" s="34">
        <v>0</v>
      </c>
      <c r="CP100" s="34">
        <v>9.16</v>
      </c>
      <c r="CQ100" s="34">
        <v>0</v>
      </c>
      <c r="CR100" s="34">
        <v>0</v>
      </c>
      <c r="CS100" s="34">
        <v>0.25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282">
        <v>99.69</v>
      </c>
      <c r="CZ100" s="286">
        <v>0.49268565047459528</v>
      </c>
      <c r="DA100" s="286">
        <v>0</v>
      </c>
      <c r="DB100" s="286">
        <v>2.7470686767169183E-2</v>
      </c>
      <c r="DC100" s="286">
        <v>0</v>
      </c>
      <c r="DD100" s="286">
        <v>0</v>
      </c>
      <c r="DE100" s="286">
        <v>0</v>
      </c>
      <c r="DF100" s="286">
        <v>0</v>
      </c>
      <c r="DG100" s="286">
        <v>6.3651591289782252E-3</v>
      </c>
      <c r="DH100" s="286">
        <v>1.7867113344500283E-3</v>
      </c>
      <c r="DI100" s="286">
        <v>0</v>
      </c>
      <c r="DJ100" s="286">
        <v>0.17554438860971527</v>
      </c>
      <c r="DK100" s="286">
        <v>0.17386934673366838</v>
      </c>
      <c r="DL100" s="286">
        <v>0</v>
      </c>
      <c r="DM100" s="286">
        <v>7.9620323841429377E-2</v>
      </c>
      <c r="DN100" s="286">
        <v>0</v>
      </c>
      <c r="DO100" s="286">
        <v>3.9307649357900619E-2</v>
      </c>
      <c r="DP100" s="286">
        <v>0</v>
      </c>
      <c r="DQ100" s="286">
        <v>0</v>
      </c>
      <c r="DR100" s="286">
        <v>3.3500837520938028E-3</v>
      </c>
      <c r="DS100" s="286">
        <v>0</v>
      </c>
      <c r="DT100" s="286">
        <v>0</v>
      </c>
      <c r="DU100" s="286">
        <v>0</v>
      </c>
      <c r="DV100" s="286">
        <v>0</v>
      </c>
      <c r="DW100" s="286">
        <v>0</v>
      </c>
      <c r="DX100" s="34">
        <v>1.0000000000000002</v>
      </c>
      <c r="DY100" s="79">
        <v>73.336179580280415</v>
      </c>
      <c r="DZ100" s="79">
        <v>17.713844194112088</v>
      </c>
      <c r="EA100" s="79">
        <v>0.80216470398591888</v>
      </c>
      <c r="EB100" s="79">
        <v>0.68200750795210729</v>
      </c>
      <c r="EC100" s="79">
        <v>0</v>
      </c>
      <c r="ED100" s="79">
        <v>0.26271672572099647</v>
      </c>
      <c r="EE100" s="79">
        <v>0</v>
      </c>
      <c r="EF100" s="79">
        <v>0.32476884863028765</v>
      </c>
      <c r="EG100" s="79">
        <v>1.3517079257172553</v>
      </c>
      <c r="EH100" s="79">
        <v>4.2684720529113228E-2</v>
      </c>
      <c r="EI100" s="79">
        <v>0</v>
      </c>
      <c r="EJ100" s="79">
        <v>5.4839257930718404</v>
      </c>
      <c r="EK100" s="79">
        <v>0</v>
      </c>
      <c r="EL100" s="79">
        <v>100.00000000000004</v>
      </c>
      <c r="EM100" s="34">
        <v>91.35405351425328</v>
      </c>
      <c r="EN100" s="34" t="s">
        <v>483</v>
      </c>
      <c r="EO100" s="290">
        <v>1.5455528876537158E-2</v>
      </c>
      <c r="EP100" s="257">
        <f t="shared" si="34"/>
        <v>1.5455528876537159</v>
      </c>
      <c r="EQ100" s="257">
        <f t="shared" si="35"/>
        <v>70.482060312568791</v>
      </c>
      <c r="ER100" s="324">
        <f t="shared" si="36"/>
        <v>4.0590405904059039E-2</v>
      </c>
      <c r="ES100" s="257">
        <f t="shared" si="31"/>
        <v>0.62781954887218039</v>
      </c>
      <c r="ET100">
        <f t="shared" si="32"/>
        <v>20.5</v>
      </c>
      <c r="EU100" s="324">
        <f t="shared" si="37"/>
        <v>6.4652981859159908E-2</v>
      </c>
      <c r="EV100" s="39">
        <f t="shared" si="38"/>
        <v>166.19499999999999</v>
      </c>
      <c r="EX100">
        <f t="shared" si="39"/>
        <v>16.666666666666668</v>
      </c>
    </row>
    <row r="101" spans="1:160" ht="13" customHeight="1" x14ac:dyDescent="0.2">
      <c r="A101" s="30" t="s">
        <v>484</v>
      </c>
      <c r="B101" s="31" t="s">
        <v>461</v>
      </c>
      <c r="C101" s="86">
        <f t="shared" si="43"/>
        <v>165.88500000000002</v>
      </c>
      <c r="D101" s="32">
        <v>26</v>
      </c>
      <c r="E101" s="32">
        <v>77</v>
      </c>
      <c r="F101" s="33">
        <f t="shared" si="26"/>
        <v>51.5</v>
      </c>
      <c r="G101" s="31" t="s">
        <v>528</v>
      </c>
      <c r="H101" s="84">
        <v>2.5</v>
      </c>
      <c r="I101" s="85">
        <v>3</v>
      </c>
      <c r="J101" s="85">
        <v>6</v>
      </c>
      <c r="K101" s="89">
        <f t="shared" si="42"/>
        <v>1.25</v>
      </c>
      <c r="L101" s="33">
        <v>113</v>
      </c>
      <c r="M101" s="33">
        <v>56</v>
      </c>
      <c r="N101" s="33">
        <v>32</v>
      </c>
      <c r="O101" s="33">
        <v>51.37</v>
      </c>
      <c r="P101" s="33">
        <v>24.75</v>
      </c>
      <c r="Q101" s="33">
        <v>8.1199999999999992</v>
      </c>
      <c r="R101" s="33">
        <v>5.3999999999999999E-2</v>
      </c>
      <c r="S101" s="33">
        <v>1.45</v>
      </c>
      <c r="T101" s="33">
        <v>0.19</v>
      </c>
      <c r="U101" s="33">
        <v>0.45</v>
      </c>
      <c r="V101" s="33">
        <v>1.4</v>
      </c>
      <c r="W101" s="33">
        <v>1.1240000000000001</v>
      </c>
      <c r="X101" s="33">
        <v>0.04</v>
      </c>
      <c r="Y101" s="33">
        <v>11.26</v>
      </c>
      <c r="Z101" s="33">
        <v>100.2</v>
      </c>
      <c r="AA101" s="33">
        <v>17</v>
      </c>
      <c r="AB101" s="33">
        <v>1</v>
      </c>
      <c r="AC101" s="33">
        <v>144</v>
      </c>
      <c r="AD101" s="33">
        <v>0</v>
      </c>
      <c r="AE101" s="33">
        <v>11</v>
      </c>
      <c r="AF101" s="33">
        <v>0</v>
      </c>
      <c r="AG101" s="33">
        <v>40</v>
      </c>
      <c r="AH101" s="33">
        <v>80</v>
      </c>
      <c r="AI101" s="33">
        <v>30</v>
      </c>
      <c r="AJ101" s="33">
        <v>2</v>
      </c>
      <c r="AK101" s="33">
        <v>0</v>
      </c>
      <c r="AL101" s="33">
        <v>84</v>
      </c>
      <c r="AM101" s="33">
        <v>69</v>
      </c>
      <c r="AN101" s="33">
        <v>6</v>
      </c>
      <c r="AO101" s="33">
        <v>262</v>
      </c>
      <c r="AP101" s="33">
        <v>15</v>
      </c>
      <c r="AQ101" s="33" t="s">
        <v>72</v>
      </c>
      <c r="AR101" s="33">
        <v>0.9</v>
      </c>
      <c r="AS101" s="33" t="s">
        <v>73</v>
      </c>
      <c r="AT101" s="33">
        <v>2</v>
      </c>
      <c r="AU101" s="33" t="s">
        <v>74</v>
      </c>
      <c r="AV101" s="33">
        <v>3.6</v>
      </c>
      <c r="AW101" s="33">
        <v>288</v>
      </c>
      <c r="AX101" s="33" t="s">
        <v>75</v>
      </c>
      <c r="AY101" s="33">
        <v>18.7</v>
      </c>
      <c r="AZ101" s="33">
        <v>40.700000000000003</v>
      </c>
      <c r="BA101" s="33">
        <v>4</v>
      </c>
      <c r="BB101" s="33">
        <v>14.8</v>
      </c>
      <c r="BC101" s="33">
        <v>2.2999999999999998</v>
      </c>
      <c r="BD101" s="33">
        <v>0.59</v>
      </c>
      <c r="BE101" s="33">
        <v>1.3</v>
      </c>
      <c r="BF101" s="33">
        <v>0.2</v>
      </c>
      <c r="BG101" s="33">
        <v>1.2</v>
      </c>
      <c r="BH101" s="33">
        <v>0.2</v>
      </c>
      <c r="BI101" s="33">
        <v>0.6</v>
      </c>
      <c r="BJ101" s="33">
        <v>0.11</v>
      </c>
      <c r="BK101" s="33">
        <v>0.8</v>
      </c>
      <c r="BL101" s="33">
        <v>0.14000000000000001</v>
      </c>
      <c r="BM101" s="33">
        <v>6.6</v>
      </c>
      <c r="BN101" s="33">
        <v>0.7</v>
      </c>
      <c r="BO101" s="33">
        <v>0</v>
      </c>
      <c r="BP101" s="33">
        <v>0.6</v>
      </c>
      <c r="BQ101" s="33">
        <v>27</v>
      </c>
      <c r="BR101" s="33">
        <v>16.5</v>
      </c>
      <c r="BS101" s="33">
        <v>2</v>
      </c>
      <c r="BT101" s="34">
        <f t="shared" si="27"/>
        <v>0.68518518518518512</v>
      </c>
      <c r="BU101" s="282">
        <f t="shared" si="28"/>
        <v>85.64</v>
      </c>
      <c r="BV101" s="35">
        <f t="shared" si="29"/>
        <v>51.5</v>
      </c>
      <c r="BW101" s="79">
        <f t="shared" si="30"/>
        <v>92.38521836506159</v>
      </c>
      <c r="BX101" s="69">
        <f t="shared" si="33"/>
        <v>0.68518518518518512</v>
      </c>
      <c r="BY101" s="34">
        <v>10.6</v>
      </c>
      <c r="BZ101" s="34">
        <v>1.1499999999999999</v>
      </c>
      <c r="CA101" s="34">
        <v>21.27</v>
      </c>
      <c r="CB101" s="34">
        <v>0</v>
      </c>
      <c r="CC101" s="34">
        <v>1.64</v>
      </c>
      <c r="CD101" s="34">
        <v>0</v>
      </c>
      <c r="CE101" s="34">
        <v>0</v>
      </c>
      <c r="CF101" s="34">
        <v>0</v>
      </c>
      <c r="CG101" s="34">
        <v>0</v>
      </c>
      <c r="CH101" s="34">
        <v>4.13</v>
      </c>
      <c r="CI101" s="34">
        <v>5.4</v>
      </c>
      <c r="CJ101" s="34">
        <v>0</v>
      </c>
      <c r="CK101" s="34">
        <v>16.25</v>
      </c>
      <c r="CL101" s="34">
        <v>16.100000000000001</v>
      </c>
      <c r="CM101" s="34">
        <v>0.11</v>
      </c>
      <c r="CN101" s="34">
        <v>15.58</v>
      </c>
      <c r="CO101" s="34">
        <v>0</v>
      </c>
      <c r="CP101" s="34">
        <v>7.14</v>
      </c>
      <c r="CQ101" s="34">
        <v>0</v>
      </c>
      <c r="CR101" s="34">
        <v>0</v>
      </c>
      <c r="CS101" s="34">
        <v>0.22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282">
        <v>100.00999999999999</v>
      </c>
      <c r="CZ101" s="286">
        <v>0.25323287979309567</v>
      </c>
      <c r="DA101" s="286">
        <v>0</v>
      </c>
      <c r="DB101" s="286">
        <v>1.5967614978072638E-2</v>
      </c>
      <c r="DC101" s="286">
        <v>0</v>
      </c>
      <c r="DD101" s="286">
        <v>0</v>
      </c>
      <c r="DE101" s="286">
        <v>0</v>
      </c>
      <c r="DF101" s="286">
        <v>0</v>
      </c>
      <c r="DG101" s="286">
        <v>5.1388732711121106E-2</v>
      </c>
      <c r="DH101" s="286">
        <v>4.4079613178904756E-2</v>
      </c>
      <c r="DI101" s="286">
        <v>0</v>
      </c>
      <c r="DJ101" s="286">
        <v>0.17957944450691554</v>
      </c>
      <c r="DK101" s="286">
        <v>0.1778927246148656</v>
      </c>
      <c r="DL101" s="286">
        <v>1.012031935229956E-3</v>
      </c>
      <c r="DM101" s="286">
        <v>0.17103339705386258</v>
      </c>
      <c r="DN101" s="286">
        <v>0</v>
      </c>
      <c r="DO101" s="286">
        <v>0.10300236140784887</v>
      </c>
      <c r="DP101" s="286">
        <v>0</v>
      </c>
      <c r="DQ101" s="286">
        <v>0</v>
      </c>
      <c r="DR101" s="286">
        <v>2.8111998200832113E-3</v>
      </c>
      <c r="DS101" s="286">
        <v>0</v>
      </c>
      <c r="DT101" s="286">
        <v>0</v>
      </c>
      <c r="DU101" s="286">
        <v>0</v>
      </c>
      <c r="DV101" s="286">
        <v>0</v>
      </c>
      <c r="DW101" s="286">
        <v>0</v>
      </c>
      <c r="DX101" s="34">
        <v>0.99999999999999989</v>
      </c>
      <c r="DY101" s="79">
        <v>56.541025561562307</v>
      </c>
      <c r="DZ101" s="79">
        <v>25.198808788884758</v>
      </c>
      <c r="EA101" s="79">
        <v>4.5762307815374239</v>
      </c>
      <c r="EB101" s="79">
        <v>1.5483501604519092</v>
      </c>
      <c r="EC101" s="79">
        <v>0</v>
      </c>
      <c r="ED101" s="79">
        <v>0.61213435921553661</v>
      </c>
      <c r="EE101" s="79">
        <v>9.2672507280484862E-4</v>
      </c>
      <c r="EF101" s="79">
        <v>0.18877518337102622</v>
      </c>
      <c r="EG101" s="79">
        <v>3.0489733521721867</v>
      </c>
      <c r="EH101" s="79">
        <v>9.1691573233595128E-2</v>
      </c>
      <c r="EI101" s="79">
        <v>0</v>
      </c>
      <c r="EJ101" s="79">
        <v>8.1930835144984524</v>
      </c>
      <c r="EK101" s="79">
        <v>0</v>
      </c>
      <c r="EL101" s="79">
        <v>100</v>
      </c>
      <c r="EM101" s="34">
        <v>88.611245442886258</v>
      </c>
      <c r="EN101" s="34" t="s">
        <v>484</v>
      </c>
      <c r="EO101" s="290">
        <v>6.2639324564300047E-2</v>
      </c>
      <c r="EP101" s="257">
        <f t="shared" si="34"/>
        <v>6.2639324564300045</v>
      </c>
      <c r="EQ101" s="257">
        <f t="shared" si="35"/>
        <v>60.735826296743056</v>
      </c>
      <c r="ER101" s="324">
        <f t="shared" si="36"/>
        <v>3.8336582196231317E-2</v>
      </c>
      <c r="ES101" s="257">
        <f t="shared" si="31"/>
        <v>0.68518518518518512</v>
      </c>
      <c r="ET101">
        <f t="shared" si="32"/>
        <v>51.5</v>
      </c>
      <c r="EU101" s="324">
        <f t="shared" si="37"/>
        <v>5.5950687529634897E-2</v>
      </c>
      <c r="EV101" s="39">
        <f t="shared" si="38"/>
        <v>165.88500000000002</v>
      </c>
      <c r="EX101">
        <f t="shared" si="39"/>
        <v>30</v>
      </c>
    </row>
    <row r="102" spans="1:160" ht="13" customHeight="1" x14ac:dyDescent="0.2">
      <c r="A102" s="30" t="s">
        <v>485</v>
      </c>
      <c r="B102" s="31" t="s">
        <v>461</v>
      </c>
      <c r="C102" s="86">
        <f t="shared" si="43"/>
        <v>165.37</v>
      </c>
      <c r="D102" s="32">
        <v>77</v>
      </c>
      <c r="E102" s="32">
        <v>129</v>
      </c>
      <c r="F102" s="33">
        <f t="shared" si="26"/>
        <v>103</v>
      </c>
      <c r="G102" s="31" t="s">
        <v>507</v>
      </c>
      <c r="H102" s="84">
        <v>2.5</v>
      </c>
      <c r="I102" s="85">
        <v>4</v>
      </c>
      <c r="J102" s="85">
        <v>6</v>
      </c>
      <c r="K102" s="89">
        <f t="shared" si="42"/>
        <v>1.6666666666666667</v>
      </c>
      <c r="L102" s="33">
        <v>140</v>
      </c>
      <c r="M102" s="33">
        <v>81</v>
      </c>
      <c r="N102" s="33">
        <v>54</v>
      </c>
      <c r="O102" s="33">
        <v>51.5</v>
      </c>
      <c r="P102" s="33">
        <v>23.33</v>
      </c>
      <c r="Q102" s="33">
        <v>7.93</v>
      </c>
      <c r="R102" s="33">
        <v>6.5000000000000002E-2</v>
      </c>
      <c r="S102" s="33">
        <v>1.76</v>
      </c>
      <c r="T102" s="33">
        <v>0.21</v>
      </c>
      <c r="U102" s="33">
        <v>0.42</v>
      </c>
      <c r="V102" s="33">
        <v>1.61</v>
      </c>
      <c r="W102" s="33">
        <v>1.099</v>
      </c>
      <c r="X102" s="33">
        <v>0.03</v>
      </c>
      <c r="Y102" s="33">
        <v>10.73</v>
      </c>
      <c r="Z102" s="33">
        <v>98.68</v>
      </c>
      <c r="AA102" s="33">
        <v>19</v>
      </c>
      <c r="AB102" s="33">
        <v>1</v>
      </c>
      <c r="AC102" s="33">
        <v>141</v>
      </c>
      <c r="AD102" s="33">
        <v>0</v>
      </c>
      <c r="AE102" s="33">
        <v>13</v>
      </c>
      <c r="AF102" s="33">
        <v>0</v>
      </c>
      <c r="AG102" s="33">
        <v>40</v>
      </c>
      <c r="AH102" s="33">
        <v>100</v>
      </c>
      <c r="AI102" s="33">
        <v>30</v>
      </c>
      <c r="AJ102" s="33">
        <v>2</v>
      </c>
      <c r="AK102" s="33">
        <v>0</v>
      </c>
      <c r="AL102" s="33">
        <v>102</v>
      </c>
      <c r="AM102" s="33">
        <v>77</v>
      </c>
      <c r="AN102" s="33">
        <v>7</v>
      </c>
      <c r="AO102" s="33">
        <v>226</v>
      </c>
      <c r="AP102" s="33">
        <v>17</v>
      </c>
      <c r="AQ102" s="33" t="s">
        <v>72</v>
      </c>
      <c r="AR102" s="33" t="s">
        <v>74</v>
      </c>
      <c r="AS102" s="33" t="s">
        <v>73</v>
      </c>
      <c r="AT102" s="33">
        <v>2</v>
      </c>
      <c r="AU102" s="33" t="s">
        <v>74</v>
      </c>
      <c r="AV102" s="33">
        <v>4</v>
      </c>
      <c r="AW102" s="33">
        <v>336</v>
      </c>
      <c r="AX102" s="33" t="s">
        <v>75</v>
      </c>
      <c r="AY102" s="33">
        <v>32.200000000000003</v>
      </c>
      <c r="AZ102" s="33">
        <v>73.900000000000006</v>
      </c>
      <c r="BA102" s="33">
        <v>7.91</v>
      </c>
      <c r="BB102" s="33">
        <v>29.9</v>
      </c>
      <c r="BC102" s="33">
        <v>4.5</v>
      </c>
      <c r="BD102" s="33">
        <v>1</v>
      </c>
      <c r="BE102" s="33">
        <v>2.8</v>
      </c>
      <c r="BF102" s="33">
        <v>0.3</v>
      </c>
      <c r="BG102" s="33">
        <v>1.8</v>
      </c>
      <c r="BH102" s="33">
        <v>0.3</v>
      </c>
      <c r="BI102" s="33">
        <v>1</v>
      </c>
      <c r="BJ102" s="33">
        <v>0.15</v>
      </c>
      <c r="BK102" s="33">
        <v>1.1000000000000001</v>
      </c>
      <c r="BL102" s="33">
        <v>0.18</v>
      </c>
      <c r="BM102" s="33">
        <v>5.7</v>
      </c>
      <c r="BN102" s="33">
        <v>0.8</v>
      </c>
      <c r="BO102" s="33">
        <v>0</v>
      </c>
      <c r="BP102" s="33">
        <v>0.7</v>
      </c>
      <c r="BQ102" s="33">
        <v>28</v>
      </c>
      <c r="BR102" s="33">
        <v>15.4</v>
      </c>
      <c r="BS102" s="33">
        <v>2</v>
      </c>
      <c r="BT102" s="34">
        <f t="shared" si="27"/>
        <v>0.69651272384542884</v>
      </c>
      <c r="BU102" s="282">
        <f t="shared" si="28"/>
        <v>157.04000000000005</v>
      </c>
      <c r="BV102" s="35">
        <f t="shared" si="29"/>
        <v>103</v>
      </c>
      <c r="BW102" s="79">
        <f t="shared" si="30"/>
        <v>91.239734063355499</v>
      </c>
      <c r="BX102" s="69">
        <f t="shared" si="33"/>
        <v>0.69651272384542884</v>
      </c>
      <c r="BY102" s="34">
        <v>9.2100000000000009</v>
      </c>
      <c r="BZ102" s="34">
        <v>0</v>
      </c>
      <c r="CA102" s="34">
        <v>16.149999999999999</v>
      </c>
      <c r="CB102" s="34">
        <v>0</v>
      </c>
      <c r="CC102" s="34">
        <v>2.34</v>
      </c>
      <c r="CD102" s="34">
        <v>0</v>
      </c>
      <c r="CE102" s="34">
        <v>0</v>
      </c>
      <c r="CF102" s="34">
        <v>0</v>
      </c>
      <c r="CG102" s="34">
        <v>0</v>
      </c>
      <c r="CH102" s="34">
        <v>2.5099999999999998</v>
      </c>
      <c r="CI102" s="34">
        <v>7.49</v>
      </c>
      <c r="CJ102" s="34">
        <v>0</v>
      </c>
      <c r="CK102" s="34">
        <v>15.21</v>
      </c>
      <c r="CL102" s="34">
        <v>15.35</v>
      </c>
      <c r="CM102" s="34">
        <v>0.2</v>
      </c>
      <c r="CN102" s="34">
        <v>26.06</v>
      </c>
      <c r="CO102" s="34">
        <v>0</v>
      </c>
      <c r="CP102" s="34">
        <v>5</v>
      </c>
      <c r="CQ102" s="34">
        <v>0</v>
      </c>
      <c r="CR102" s="34">
        <v>0</v>
      </c>
      <c r="CS102" s="34">
        <v>0.26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282">
        <v>99.780000000000015</v>
      </c>
      <c r="CZ102" s="286">
        <v>0.17831511538036873</v>
      </c>
      <c r="DA102" s="286">
        <v>0</v>
      </c>
      <c r="DB102" s="286">
        <v>2.5836369658827421E-2</v>
      </c>
      <c r="DC102" s="286">
        <v>0</v>
      </c>
      <c r="DD102" s="286">
        <v>0</v>
      </c>
      <c r="DE102" s="286">
        <v>0</v>
      </c>
      <c r="DF102" s="286">
        <v>0</v>
      </c>
      <c r="DG102" s="286">
        <v>2.771337087335762E-2</v>
      </c>
      <c r="DH102" s="286">
        <v>8.2698465275477528E-2</v>
      </c>
      <c r="DI102" s="286">
        <v>0</v>
      </c>
      <c r="DJ102" s="286">
        <v>0.16793640278237826</v>
      </c>
      <c r="DK102" s="286">
        <v>0.16948216848846195</v>
      </c>
      <c r="DL102" s="286">
        <v>2.208236722976703E-3</v>
      </c>
      <c r="DM102" s="286">
        <v>0.28773324500386438</v>
      </c>
      <c r="DN102" s="286">
        <v>0</v>
      </c>
      <c r="DO102" s="286">
        <v>5.5205918074417576E-2</v>
      </c>
      <c r="DP102" s="286">
        <v>0</v>
      </c>
      <c r="DQ102" s="286">
        <v>0</v>
      </c>
      <c r="DR102" s="286">
        <v>2.8707077398697138E-3</v>
      </c>
      <c r="DS102" s="286">
        <v>0</v>
      </c>
      <c r="DT102" s="286">
        <v>0</v>
      </c>
      <c r="DU102" s="286">
        <v>0</v>
      </c>
      <c r="DV102" s="286">
        <v>0</v>
      </c>
      <c r="DW102" s="286">
        <v>0</v>
      </c>
      <c r="DX102" s="34">
        <v>0.99999999999999978</v>
      </c>
      <c r="DY102" s="79">
        <v>51.81009843544139</v>
      </c>
      <c r="DZ102" s="79">
        <v>29.329753234427475</v>
      </c>
      <c r="EA102" s="79">
        <v>2.5837756033418655</v>
      </c>
      <c r="EB102" s="79">
        <v>2.0748853221424182</v>
      </c>
      <c r="EC102" s="79">
        <v>0</v>
      </c>
      <c r="ED102" s="79">
        <v>0.73728036151322784</v>
      </c>
      <c r="EE102" s="79">
        <v>2.0220985787429047E-3</v>
      </c>
      <c r="EF102" s="79">
        <v>0.30544733366156557</v>
      </c>
      <c r="EG102" s="79">
        <v>3.7287482618303462</v>
      </c>
      <c r="EH102" s="79">
        <v>0.15425475001062655</v>
      </c>
      <c r="EI102" s="79">
        <v>0</v>
      </c>
      <c r="EJ102" s="79">
        <v>9.2737345990523323</v>
      </c>
      <c r="EK102" s="79">
        <v>0</v>
      </c>
      <c r="EL102" s="79">
        <v>99.999999999999986</v>
      </c>
      <c r="EM102" s="34">
        <v>87.903191240200684</v>
      </c>
      <c r="EN102" s="34" t="s">
        <v>485</v>
      </c>
      <c r="EO102" s="290">
        <v>4.8454006044771014E-2</v>
      </c>
      <c r="EP102" s="257">
        <f t="shared" si="34"/>
        <v>4.845400604477101</v>
      </c>
      <c r="EQ102" s="257">
        <f t="shared" si="35"/>
        <v>54.648342764753437</v>
      </c>
      <c r="ER102" s="324">
        <f t="shared" si="36"/>
        <v>3.236245954692557E-2</v>
      </c>
      <c r="ES102" s="257">
        <f t="shared" si="31"/>
        <v>0.69651272384542884</v>
      </c>
      <c r="ET102">
        <f t="shared" si="32"/>
        <v>103</v>
      </c>
      <c r="EU102" s="324">
        <f t="shared" si="37"/>
        <v>4.6463558294029809E-2</v>
      </c>
      <c r="EV102" s="39">
        <f t="shared" si="38"/>
        <v>165.37</v>
      </c>
      <c r="EX102">
        <f t="shared" si="39"/>
        <v>23.333333333333336</v>
      </c>
    </row>
    <row r="103" spans="1:160" ht="13" customHeight="1" x14ac:dyDescent="0.2">
      <c r="A103" s="30" t="s">
        <v>486</v>
      </c>
      <c r="B103" s="31" t="s">
        <v>461</v>
      </c>
      <c r="C103" s="86">
        <f t="shared" si="43"/>
        <v>164.82500000000002</v>
      </c>
      <c r="D103" s="32">
        <v>129</v>
      </c>
      <c r="E103" s="32">
        <v>186</v>
      </c>
      <c r="F103" s="33">
        <f t="shared" si="26"/>
        <v>157.5</v>
      </c>
      <c r="G103" s="31" t="s">
        <v>507</v>
      </c>
      <c r="H103" s="84">
        <v>2.5</v>
      </c>
      <c r="I103" s="85">
        <v>4</v>
      </c>
      <c r="J103" s="85">
        <v>6</v>
      </c>
      <c r="K103" s="89">
        <f t="shared" si="42"/>
        <v>1.6666666666666667</v>
      </c>
      <c r="L103" s="33">
        <v>140</v>
      </c>
      <c r="M103" s="33">
        <v>81</v>
      </c>
      <c r="N103" s="33">
        <v>54</v>
      </c>
      <c r="O103" s="33">
        <v>58.2</v>
      </c>
      <c r="P103" s="33">
        <v>22.46</v>
      </c>
      <c r="Q103" s="33">
        <v>5.09</v>
      </c>
      <c r="R103" s="33">
        <v>6.5000000000000002E-2</v>
      </c>
      <c r="S103" s="33">
        <v>1.69</v>
      </c>
      <c r="T103" s="33">
        <v>0.52</v>
      </c>
      <c r="U103" s="33">
        <v>1.1200000000000001</v>
      </c>
      <c r="V103" s="33">
        <v>1.83</v>
      </c>
      <c r="W103" s="33">
        <v>0.70199999999999996</v>
      </c>
      <c r="X103" s="33">
        <v>0.03</v>
      </c>
      <c r="Y103" s="33">
        <v>8.77</v>
      </c>
      <c r="Z103" s="33">
        <v>100.5</v>
      </c>
      <c r="AA103" s="33">
        <v>14</v>
      </c>
      <c r="AB103" s="33">
        <v>2</v>
      </c>
      <c r="AC103" s="33">
        <v>92</v>
      </c>
      <c r="AD103" s="33">
        <v>0</v>
      </c>
      <c r="AE103" s="33">
        <v>10</v>
      </c>
      <c r="AF103" s="33">
        <v>0</v>
      </c>
      <c r="AG103" s="33">
        <v>20</v>
      </c>
      <c r="AH103" s="33">
        <v>60</v>
      </c>
      <c r="AI103" s="33">
        <v>27</v>
      </c>
      <c r="AJ103" s="33">
        <v>2</v>
      </c>
      <c r="AK103" s="33">
        <v>0</v>
      </c>
      <c r="AL103" s="33">
        <v>87</v>
      </c>
      <c r="AM103" s="33">
        <v>169</v>
      </c>
      <c r="AN103" s="33">
        <v>8</v>
      </c>
      <c r="AO103" s="33">
        <v>194</v>
      </c>
      <c r="AP103" s="33">
        <v>12</v>
      </c>
      <c r="AQ103" s="33" t="s">
        <v>72</v>
      </c>
      <c r="AR103" s="33" t="s">
        <v>74</v>
      </c>
      <c r="AS103" s="33" t="s">
        <v>73</v>
      </c>
      <c r="AT103" s="33">
        <v>1</v>
      </c>
      <c r="AU103" s="33" t="s">
        <v>74</v>
      </c>
      <c r="AV103" s="33">
        <v>2.6</v>
      </c>
      <c r="AW103" s="33">
        <v>395</v>
      </c>
      <c r="AX103" s="33" t="s">
        <v>75</v>
      </c>
      <c r="AY103" s="33">
        <v>34.799999999999997</v>
      </c>
      <c r="AZ103" s="33">
        <v>114</v>
      </c>
      <c r="BA103" s="33">
        <v>8.49</v>
      </c>
      <c r="BB103" s="33">
        <v>31.6</v>
      </c>
      <c r="BC103" s="33">
        <v>5.2</v>
      </c>
      <c r="BD103" s="33">
        <v>1.37</v>
      </c>
      <c r="BE103" s="33">
        <v>3.2</v>
      </c>
      <c r="BF103" s="33">
        <v>0.4</v>
      </c>
      <c r="BG103" s="33">
        <v>2.1</v>
      </c>
      <c r="BH103" s="33">
        <v>0.4</v>
      </c>
      <c r="BI103" s="33">
        <v>1.1000000000000001</v>
      </c>
      <c r="BJ103" s="33">
        <v>0.16</v>
      </c>
      <c r="BK103" s="33">
        <v>1</v>
      </c>
      <c r="BL103" s="33">
        <v>0.16</v>
      </c>
      <c r="BM103" s="33">
        <v>5.0999999999999996</v>
      </c>
      <c r="BN103" s="33">
        <v>0.6</v>
      </c>
      <c r="BO103" s="33">
        <v>0</v>
      </c>
      <c r="BP103" s="33">
        <v>0.6</v>
      </c>
      <c r="BQ103" s="33">
        <v>29</v>
      </c>
      <c r="BR103" s="33">
        <v>13.5</v>
      </c>
      <c r="BS103" s="33">
        <v>1.6</v>
      </c>
      <c r="BT103" s="34">
        <f t="shared" si="27"/>
        <v>0.7661290322580645</v>
      </c>
      <c r="BU103" s="282">
        <f t="shared" si="28"/>
        <v>203.98</v>
      </c>
      <c r="BV103" s="35">
        <f t="shared" si="29"/>
        <v>157.5</v>
      </c>
      <c r="BW103" s="79">
        <f t="shared" si="30"/>
        <v>86.617817200154263</v>
      </c>
      <c r="BX103" s="69">
        <f t="shared" si="33"/>
        <v>0.7661290322580645</v>
      </c>
      <c r="BY103" s="34">
        <v>9.01</v>
      </c>
      <c r="BZ103" s="34">
        <v>0</v>
      </c>
      <c r="CA103" s="34">
        <v>18.739999999999998</v>
      </c>
      <c r="CB103" s="34">
        <v>0</v>
      </c>
      <c r="CC103" s="34">
        <v>5.92</v>
      </c>
      <c r="CD103" s="34">
        <v>0</v>
      </c>
      <c r="CE103" s="34">
        <v>0</v>
      </c>
      <c r="CF103" s="34">
        <v>0</v>
      </c>
      <c r="CG103" s="34">
        <v>0</v>
      </c>
      <c r="CH103" s="34">
        <v>1.05</v>
      </c>
      <c r="CI103" s="34">
        <v>5.59</v>
      </c>
      <c r="CJ103" s="34">
        <v>0</v>
      </c>
      <c r="CK103" s="34">
        <v>15.5</v>
      </c>
      <c r="CL103" s="34">
        <v>15.35</v>
      </c>
      <c r="CM103" s="34">
        <v>0.2</v>
      </c>
      <c r="CN103" s="34">
        <v>21.91</v>
      </c>
      <c r="CO103" s="34">
        <v>0</v>
      </c>
      <c r="CP103" s="34">
        <v>6.36</v>
      </c>
      <c r="CQ103" s="34">
        <v>0</v>
      </c>
      <c r="CR103" s="34">
        <v>0</v>
      </c>
      <c r="CS103" s="34">
        <v>0.37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282">
        <v>100</v>
      </c>
      <c r="CZ103" s="286">
        <v>0.13839121079416494</v>
      </c>
      <c r="DA103" s="286">
        <v>0</v>
      </c>
      <c r="DB103" s="286">
        <v>4.8638771443152824E-2</v>
      </c>
      <c r="DC103" s="286">
        <v>1.8800308744073219E-3</v>
      </c>
      <c r="DD103" s="286">
        <v>0</v>
      </c>
      <c r="DE103" s="286">
        <v>0</v>
      </c>
      <c r="DF103" s="286">
        <v>0</v>
      </c>
      <c r="DG103" s="286">
        <v>1.4628545619719938E-2</v>
      </c>
      <c r="DH103" s="286">
        <v>9.1630410275846591E-2</v>
      </c>
      <c r="DI103" s="286">
        <v>0</v>
      </c>
      <c r="DJ103" s="286">
        <v>0.16716370254897939</v>
      </c>
      <c r="DK103" s="286">
        <v>0.16716472521898013</v>
      </c>
      <c r="DL103" s="286">
        <v>1.269516972140022E-3</v>
      </c>
      <c r="DM103" s="286">
        <v>0.32519863264638033</v>
      </c>
      <c r="DN103" s="286">
        <v>0</v>
      </c>
      <c r="DO103" s="286">
        <v>3.9842456225432407E-2</v>
      </c>
      <c r="DP103" s="286">
        <v>0</v>
      </c>
      <c r="DQ103" s="286">
        <v>0</v>
      </c>
      <c r="DR103" s="286">
        <v>4.1919973807960321E-3</v>
      </c>
      <c r="DS103" s="286">
        <v>0</v>
      </c>
      <c r="DT103" s="286">
        <v>0</v>
      </c>
      <c r="DU103" s="286">
        <v>0</v>
      </c>
      <c r="DV103" s="286">
        <v>0</v>
      </c>
      <c r="DW103" s="286">
        <v>0</v>
      </c>
      <c r="DX103" s="34">
        <v>0.99999999999999989</v>
      </c>
      <c r="DY103" s="79">
        <v>50.320426975248026</v>
      </c>
      <c r="DZ103" s="79">
        <v>30.947867290206354</v>
      </c>
      <c r="EA103" s="79">
        <v>1.4850442270358302</v>
      </c>
      <c r="EB103" s="79">
        <v>2.24383981806624</v>
      </c>
      <c r="EC103" s="79">
        <v>0</v>
      </c>
      <c r="ED103" s="79">
        <v>0.77523430052315512</v>
      </c>
      <c r="EE103" s="79">
        <v>3.9064838993019581E-2</v>
      </c>
      <c r="EF103" s="79">
        <v>0.57502595163594628</v>
      </c>
      <c r="EG103" s="79">
        <v>3.9635911108727857</v>
      </c>
      <c r="EH103" s="79">
        <v>0.17434006898296114</v>
      </c>
      <c r="EI103" s="79">
        <v>0</v>
      </c>
      <c r="EJ103" s="79">
        <v>9.4755654184356768</v>
      </c>
      <c r="EK103" s="79">
        <v>0</v>
      </c>
      <c r="EL103" s="79">
        <v>100</v>
      </c>
      <c r="EM103" s="34">
        <v>87.159597748981582</v>
      </c>
      <c r="EN103" s="34" t="s">
        <v>486</v>
      </c>
      <c r="EO103" s="290">
        <v>3.9308296287280317E-2</v>
      </c>
      <c r="EP103" s="257">
        <f t="shared" si="34"/>
        <v>3.9308296287280315</v>
      </c>
      <c r="EQ103" s="257">
        <f t="shared" si="35"/>
        <v>51.210888295222297</v>
      </c>
      <c r="ER103" s="324">
        <f t="shared" si="36"/>
        <v>4.1552926903245378E-2</v>
      </c>
      <c r="ES103" s="257">
        <f t="shared" si="31"/>
        <v>0.7661290322580645</v>
      </c>
      <c r="ET103">
        <f t="shared" si="32"/>
        <v>157.5</v>
      </c>
      <c r="EU103" s="324">
        <f t="shared" si="37"/>
        <v>5.4237504589499233E-2</v>
      </c>
      <c r="EV103" s="39">
        <f t="shared" si="38"/>
        <v>164.82500000000002</v>
      </c>
      <c r="EX103">
        <f t="shared" si="39"/>
        <v>20</v>
      </c>
    </row>
    <row r="104" spans="1:160" ht="13" customHeight="1" x14ac:dyDescent="0.2">
      <c r="A104" s="30" t="s">
        <v>487</v>
      </c>
      <c r="B104" s="31" t="s">
        <v>461</v>
      </c>
      <c r="C104" s="86">
        <f t="shared" si="43"/>
        <v>164.095</v>
      </c>
      <c r="D104" s="32">
        <v>186</v>
      </c>
      <c r="E104" s="32">
        <v>275</v>
      </c>
      <c r="F104" s="33">
        <f t="shared" si="26"/>
        <v>230.5</v>
      </c>
      <c r="G104" s="31" t="s">
        <v>506</v>
      </c>
      <c r="H104" s="84">
        <v>5</v>
      </c>
      <c r="I104" s="85">
        <v>4</v>
      </c>
      <c r="J104" s="85">
        <v>6</v>
      </c>
      <c r="K104" s="89">
        <f t="shared" si="42"/>
        <v>3.3333333333333335</v>
      </c>
      <c r="L104" s="33">
        <v>136</v>
      </c>
      <c r="M104" s="33">
        <v>83</v>
      </c>
      <c r="N104" s="33">
        <v>47</v>
      </c>
      <c r="O104" s="33">
        <v>52.51</v>
      </c>
      <c r="P104" s="33">
        <v>21.36</v>
      </c>
      <c r="Q104" s="33">
        <v>6.9</v>
      </c>
      <c r="R104" s="33">
        <v>0.123</v>
      </c>
      <c r="S104" s="33">
        <v>3.77</v>
      </c>
      <c r="T104" s="33">
        <v>0.75</v>
      </c>
      <c r="U104" s="33">
        <v>1.56</v>
      </c>
      <c r="V104" s="33">
        <v>2.94</v>
      </c>
      <c r="W104" s="33">
        <v>0.85299999999999998</v>
      </c>
      <c r="X104" s="33">
        <v>0.01</v>
      </c>
      <c r="Y104" s="33">
        <v>8.08</v>
      </c>
      <c r="Z104" s="33">
        <v>98.85</v>
      </c>
      <c r="AA104" s="33">
        <v>16</v>
      </c>
      <c r="AB104" s="33">
        <v>2</v>
      </c>
      <c r="AC104" s="33">
        <v>136</v>
      </c>
      <c r="AD104" s="33">
        <v>0</v>
      </c>
      <c r="AE104" s="33">
        <v>16</v>
      </c>
      <c r="AF104" s="33">
        <v>0</v>
      </c>
      <c r="AG104" s="33">
        <v>10</v>
      </c>
      <c r="AH104" s="33">
        <v>80</v>
      </c>
      <c r="AI104" s="33">
        <v>28</v>
      </c>
      <c r="AJ104" s="33">
        <v>2</v>
      </c>
      <c r="AK104" s="33">
        <v>0</v>
      </c>
      <c r="AL104" s="33">
        <v>162</v>
      </c>
      <c r="AM104" s="33">
        <v>183</v>
      </c>
      <c r="AN104" s="33">
        <v>18</v>
      </c>
      <c r="AO104" s="33">
        <v>258</v>
      </c>
      <c r="AP104" s="33">
        <v>15</v>
      </c>
      <c r="AQ104" s="33" t="s">
        <v>72</v>
      </c>
      <c r="AR104" s="33">
        <v>0.5</v>
      </c>
      <c r="AS104" s="33" t="s">
        <v>73</v>
      </c>
      <c r="AT104" s="33">
        <v>2</v>
      </c>
      <c r="AU104" s="33" t="s">
        <v>74</v>
      </c>
      <c r="AV104" s="33">
        <v>4.5</v>
      </c>
      <c r="AW104" s="33">
        <v>369</v>
      </c>
      <c r="AX104" s="33" t="s">
        <v>75</v>
      </c>
      <c r="AY104" s="33">
        <v>91.5</v>
      </c>
      <c r="AZ104" s="33">
        <v>168</v>
      </c>
      <c r="BA104" s="33">
        <v>21</v>
      </c>
      <c r="BB104" s="33">
        <v>75.599999999999994</v>
      </c>
      <c r="BC104" s="33">
        <v>11.8</v>
      </c>
      <c r="BD104" s="33">
        <v>2.78</v>
      </c>
      <c r="BE104" s="33">
        <v>7.2</v>
      </c>
      <c r="BF104" s="33">
        <v>0.9</v>
      </c>
      <c r="BG104" s="33">
        <v>4.4000000000000004</v>
      </c>
      <c r="BH104" s="33">
        <v>0.8</v>
      </c>
      <c r="BI104" s="33">
        <v>2.2999999999999998</v>
      </c>
      <c r="BJ104" s="33">
        <v>0.33</v>
      </c>
      <c r="BK104" s="33">
        <v>2.4</v>
      </c>
      <c r="BL104" s="33">
        <v>0.37</v>
      </c>
      <c r="BM104" s="33">
        <v>6.5</v>
      </c>
      <c r="BN104" s="33">
        <v>0.9</v>
      </c>
      <c r="BO104" s="33">
        <v>0</v>
      </c>
      <c r="BP104" s="33">
        <v>0.9</v>
      </c>
      <c r="BQ104" s="33">
        <v>24</v>
      </c>
      <c r="BR104" s="33">
        <v>11.2</v>
      </c>
      <c r="BS104" s="33">
        <v>1.4</v>
      </c>
      <c r="BT104" s="34">
        <f t="shared" si="27"/>
        <v>0.64739884393063585</v>
      </c>
      <c r="BU104" s="282">
        <f t="shared" si="28"/>
        <v>389.37999999999994</v>
      </c>
      <c r="BV104" s="35">
        <f t="shared" si="29"/>
        <v>230.5</v>
      </c>
      <c r="BW104" s="79">
        <f t="shared" si="30"/>
        <v>80.270574971815108</v>
      </c>
      <c r="BX104" s="69">
        <f t="shared" si="33"/>
        <v>0.64739884393063585</v>
      </c>
      <c r="BY104" s="34">
        <v>9.36</v>
      </c>
      <c r="BZ104" s="34">
        <v>0.11</v>
      </c>
      <c r="CA104" s="34">
        <v>8.93</v>
      </c>
      <c r="CB104" s="34">
        <v>0</v>
      </c>
      <c r="CC104" s="34">
        <v>6.4790000000000001</v>
      </c>
      <c r="CD104" s="34">
        <v>0.34100000000000003</v>
      </c>
      <c r="CE104" s="34">
        <v>0</v>
      </c>
      <c r="CF104" s="34">
        <v>0</v>
      </c>
      <c r="CG104" s="34">
        <v>0</v>
      </c>
      <c r="CH104" s="34">
        <v>0.14000000000000001</v>
      </c>
      <c r="CI104" s="34">
        <v>9.1199999999999992</v>
      </c>
      <c r="CJ104" s="34">
        <v>0</v>
      </c>
      <c r="CK104" s="34">
        <v>15.09</v>
      </c>
      <c r="CL104" s="34">
        <v>14.95</v>
      </c>
      <c r="CM104" s="34">
        <v>0.03</v>
      </c>
      <c r="CN104" s="34">
        <v>32.89</v>
      </c>
      <c r="CO104" s="34">
        <v>0</v>
      </c>
      <c r="CP104" s="34">
        <v>2.2200000000000002</v>
      </c>
      <c r="CQ104" s="34">
        <v>0</v>
      </c>
      <c r="CR104" s="34">
        <v>0</v>
      </c>
      <c r="CS104" s="34">
        <v>0.5</v>
      </c>
      <c r="CT104" s="34">
        <v>0</v>
      </c>
      <c r="CU104" s="34">
        <v>0</v>
      </c>
      <c r="CV104" s="34">
        <v>0</v>
      </c>
      <c r="CW104" s="34">
        <v>0</v>
      </c>
      <c r="CX104" s="34">
        <v>0</v>
      </c>
      <c r="CY104" s="282">
        <v>100.16</v>
      </c>
      <c r="CZ104" s="286">
        <v>9.846730620796118E-2</v>
      </c>
      <c r="DA104" s="286">
        <v>0</v>
      </c>
      <c r="DB104" s="286">
        <v>7.1441173227478227E-2</v>
      </c>
      <c r="DC104" s="286">
        <v>3.7600617488146438E-3</v>
      </c>
      <c r="DD104" s="286">
        <v>0</v>
      </c>
      <c r="DE104" s="286">
        <v>0</v>
      </c>
      <c r="DF104" s="286">
        <v>0</v>
      </c>
      <c r="DG104" s="286">
        <v>1.5437203660822584E-3</v>
      </c>
      <c r="DH104" s="286">
        <v>0.10056235527621567</v>
      </c>
      <c r="DI104" s="286">
        <v>0</v>
      </c>
      <c r="DJ104" s="286">
        <v>0.16639100231558054</v>
      </c>
      <c r="DK104" s="286">
        <v>0.1648472819494983</v>
      </c>
      <c r="DL104" s="286">
        <v>3.3079722130334107E-4</v>
      </c>
      <c r="DM104" s="286">
        <v>0.36266402028889627</v>
      </c>
      <c r="DN104" s="286">
        <v>0</v>
      </c>
      <c r="DO104" s="286">
        <v>2.4478994376447242E-2</v>
      </c>
      <c r="DP104" s="286">
        <v>0</v>
      </c>
      <c r="DQ104" s="286">
        <v>0</v>
      </c>
      <c r="DR104" s="286">
        <v>5.5132870217223509E-3</v>
      </c>
      <c r="DS104" s="286">
        <v>0</v>
      </c>
      <c r="DT104" s="286">
        <v>0</v>
      </c>
      <c r="DU104" s="286">
        <v>0</v>
      </c>
      <c r="DV104" s="286">
        <v>0</v>
      </c>
      <c r="DW104" s="286">
        <v>0</v>
      </c>
      <c r="DX104" s="34">
        <v>1</v>
      </c>
      <c r="DY104" s="79">
        <v>48.830755515054662</v>
      </c>
      <c r="DZ104" s="79">
        <v>32.565981345985229</v>
      </c>
      <c r="EA104" s="79">
        <v>0.3863128507297951</v>
      </c>
      <c r="EB104" s="79">
        <v>2.4127943139900618</v>
      </c>
      <c r="EC104" s="79">
        <v>0</v>
      </c>
      <c r="ED104" s="79">
        <v>0.8131882395330825</v>
      </c>
      <c r="EE104" s="79">
        <v>7.6107579407296261E-2</v>
      </c>
      <c r="EF104" s="79">
        <v>0.84460456961032693</v>
      </c>
      <c r="EG104" s="79">
        <v>4.1984339599152252</v>
      </c>
      <c r="EH104" s="79">
        <v>0.19442538795529571</v>
      </c>
      <c r="EI104" s="79">
        <v>0</v>
      </c>
      <c r="EJ104" s="79">
        <v>9.6773962378190213</v>
      </c>
      <c r="EK104" s="79">
        <v>0</v>
      </c>
      <c r="EL104" s="79">
        <v>100</v>
      </c>
      <c r="EM104" s="34">
        <v>86.416004257762495</v>
      </c>
      <c r="EN104" s="34" t="s">
        <v>487</v>
      </c>
      <c r="EO104" s="290">
        <v>3.0162586529789627E-2</v>
      </c>
      <c r="EP104" s="257">
        <f t="shared" si="34"/>
        <v>3.0162586529789626</v>
      </c>
      <c r="EQ104" s="257">
        <f t="shared" si="35"/>
        <v>48.085158448550104</v>
      </c>
      <c r="ER104" s="324">
        <f t="shared" si="36"/>
        <v>3.5468231691758098E-2</v>
      </c>
      <c r="ES104" s="257">
        <f t="shared" si="31"/>
        <v>0.64739884393063585</v>
      </c>
      <c r="ET104">
        <f t="shared" si="32"/>
        <v>230.5</v>
      </c>
      <c r="EU104" s="324">
        <f t="shared" si="37"/>
        <v>5.478575073816206E-2</v>
      </c>
      <c r="EV104" s="39">
        <f t="shared" si="38"/>
        <v>164.095</v>
      </c>
      <c r="EX104">
        <f t="shared" si="39"/>
        <v>22.5</v>
      </c>
    </row>
    <row r="105" spans="1:160" ht="13" customHeight="1" x14ac:dyDescent="0.2">
      <c r="A105" s="30" t="s">
        <v>170</v>
      </c>
      <c r="B105" s="31" t="s">
        <v>461</v>
      </c>
      <c r="C105" s="86">
        <f t="shared" si="43"/>
        <v>162.9</v>
      </c>
      <c r="D105" s="32">
        <v>300</v>
      </c>
      <c r="E105" s="32">
        <v>400</v>
      </c>
      <c r="F105" s="33">
        <f t="shared" si="26"/>
        <v>350</v>
      </c>
      <c r="G105" s="31" t="s">
        <v>515</v>
      </c>
      <c r="H105" s="84">
        <v>10</v>
      </c>
      <c r="I105" s="85">
        <v>4</v>
      </c>
      <c r="J105" s="85">
        <v>4</v>
      </c>
      <c r="K105" s="89">
        <f t="shared" si="42"/>
        <v>10</v>
      </c>
      <c r="L105" s="33">
        <v>120</v>
      </c>
      <c r="M105" s="33">
        <v>91</v>
      </c>
      <c r="N105" s="33">
        <v>54</v>
      </c>
      <c r="O105" s="33">
        <v>58.71</v>
      </c>
      <c r="P105" s="33">
        <v>18.420000000000002</v>
      </c>
      <c r="Q105" s="33">
        <v>6.11</v>
      </c>
      <c r="R105" s="33">
        <v>0.111</v>
      </c>
      <c r="S105" s="33">
        <v>3.18</v>
      </c>
      <c r="T105" s="33">
        <v>0.91</v>
      </c>
      <c r="U105" s="33">
        <v>2.0099999999999998</v>
      </c>
      <c r="V105" s="33">
        <v>3.98</v>
      </c>
      <c r="W105" s="33">
        <v>0.88700000000000001</v>
      </c>
      <c r="X105" s="33">
        <v>0.03</v>
      </c>
      <c r="Y105" s="33">
        <v>5.2</v>
      </c>
      <c r="Z105" s="33">
        <v>99.54</v>
      </c>
      <c r="AA105" s="33">
        <v>12</v>
      </c>
      <c r="AB105" s="33">
        <v>2</v>
      </c>
      <c r="AC105" s="33">
        <v>102</v>
      </c>
      <c r="AD105" s="33">
        <v>0</v>
      </c>
      <c r="AE105" s="33">
        <v>12</v>
      </c>
      <c r="AF105" s="33">
        <v>0</v>
      </c>
      <c r="AG105" s="33">
        <v>40</v>
      </c>
      <c r="AH105" s="33">
        <v>90</v>
      </c>
      <c r="AI105" s="33">
        <v>17</v>
      </c>
      <c r="AJ105" s="33">
        <v>1</v>
      </c>
      <c r="AK105" s="33">
        <v>0</v>
      </c>
      <c r="AL105" s="33">
        <v>146</v>
      </c>
      <c r="AM105" s="33">
        <v>330</v>
      </c>
      <c r="AN105" s="33">
        <v>20</v>
      </c>
      <c r="AO105" s="33">
        <v>409</v>
      </c>
      <c r="AP105" s="33">
        <v>10</v>
      </c>
      <c r="AQ105" s="33" t="s">
        <v>72</v>
      </c>
      <c r="AR105" s="33">
        <v>1.4</v>
      </c>
      <c r="AS105" s="33" t="s">
        <v>73</v>
      </c>
      <c r="AT105" s="33">
        <v>1</v>
      </c>
      <c r="AU105" s="33" t="s">
        <v>74</v>
      </c>
      <c r="AV105" s="33">
        <v>3</v>
      </c>
      <c r="AW105" s="33">
        <v>959</v>
      </c>
      <c r="AX105" s="33" t="s">
        <v>75</v>
      </c>
      <c r="AY105" s="33">
        <v>116</v>
      </c>
      <c r="AZ105" s="33">
        <v>189</v>
      </c>
      <c r="BA105" s="33">
        <v>23.5</v>
      </c>
      <c r="BB105" s="33">
        <v>78.099999999999994</v>
      </c>
      <c r="BC105" s="33">
        <v>11.1</v>
      </c>
      <c r="BD105" s="33">
        <v>2.36</v>
      </c>
      <c r="BE105" s="33">
        <v>6.6</v>
      </c>
      <c r="BF105" s="33">
        <v>0.8</v>
      </c>
      <c r="BG105" s="33">
        <v>4.3</v>
      </c>
      <c r="BH105" s="33">
        <v>0.8</v>
      </c>
      <c r="BI105" s="33">
        <v>2.2999999999999998</v>
      </c>
      <c r="BJ105" s="33">
        <v>0.32</v>
      </c>
      <c r="BK105" s="33">
        <v>2.1</v>
      </c>
      <c r="BL105" s="33">
        <v>0.34</v>
      </c>
      <c r="BM105" s="33">
        <v>8.8000000000000007</v>
      </c>
      <c r="BN105" s="33">
        <v>0.5</v>
      </c>
      <c r="BO105" s="33">
        <v>0</v>
      </c>
      <c r="BP105" s="33">
        <v>0.6</v>
      </c>
      <c r="BQ105" s="33">
        <v>25</v>
      </c>
      <c r="BR105" s="33">
        <v>18.100000000000001</v>
      </c>
      <c r="BS105" s="33">
        <v>2.4</v>
      </c>
      <c r="BT105" s="34">
        <f t="shared" si="27"/>
        <v>0.61967213114754094</v>
      </c>
      <c r="BU105" s="282">
        <f t="shared" si="28"/>
        <v>437.62000000000012</v>
      </c>
      <c r="BV105" s="35">
        <f t="shared" si="29"/>
        <v>350</v>
      </c>
      <c r="BW105" s="79">
        <f t="shared" si="30"/>
        <v>72.748815165876778</v>
      </c>
      <c r="BX105" s="69">
        <f t="shared" si="33"/>
        <v>0.61967213114754094</v>
      </c>
      <c r="BY105" s="34">
        <v>6.76</v>
      </c>
      <c r="BZ105" s="34">
        <v>0</v>
      </c>
      <c r="CA105" s="34">
        <v>14.61</v>
      </c>
      <c r="CB105" s="34">
        <v>0</v>
      </c>
      <c r="CC105" s="34">
        <v>10.754</v>
      </c>
      <c r="CD105" s="34">
        <v>0.56600000000000006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13.31</v>
      </c>
      <c r="CL105" s="34">
        <v>0</v>
      </c>
      <c r="CM105" s="34">
        <v>5.52</v>
      </c>
      <c r="CN105" s="34">
        <v>44.91</v>
      </c>
      <c r="CO105" s="34">
        <v>0</v>
      </c>
      <c r="CP105" s="34">
        <v>2.74</v>
      </c>
      <c r="CQ105" s="34">
        <v>0</v>
      </c>
      <c r="CR105" s="34">
        <v>0</v>
      </c>
      <c r="CS105" s="34">
        <v>0.82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282">
        <v>99.989999999999981</v>
      </c>
      <c r="CZ105" s="286">
        <v>0.15670921377239089</v>
      </c>
      <c r="DA105" s="286">
        <v>0</v>
      </c>
      <c r="DB105" s="286">
        <v>0.11534913654403092</v>
      </c>
      <c r="DC105" s="286">
        <v>6.0710071865279439E-3</v>
      </c>
      <c r="DD105" s="286">
        <v>0</v>
      </c>
      <c r="DE105" s="286">
        <v>0</v>
      </c>
      <c r="DF105" s="286">
        <v>0</v>
      </c>
      <c r="DG105" s="286">
        <v>0</v>
      </c>
      <c r="DH105" s="286">
        <v>0</v>
      </c>
      <c r="DI105" s="286">
        <v>0</v>
      </c>
      <c r="DJ105" s="286">
        <v>0.14276520433336912</v>
      </c>
      <c r="DK105" s="286">
        <v>0</v>
      </c>
      <c r="DL105" s="286">
        <v>5.9208409310307852E-2</v>
      </c>
      <c r="DM105" s="286">
        <v>0.48171189531266767</v>
      </c>
      <c r="DN105" s="286">
        <v>0</v>
      </c>
      <c r="DO105" s="286">
        <v>2.9389681433015135E-2</v>
      </c>
      <c r="DP105" s="286">
        <v>0</v>
      </c>
      <c r="DQ105" s="286">
        <v>0</v>
      </c>
      <c r="DR105" s="286">
        <v>8.795452107690659E-3</v>
      </c>
      <c r="DS105" s="286">
        <v>0</v>
      </c>
      <c r="DT105" s="286">
        <v>0</v>
      </c>
      <c r="DU105" s="286">
        <v>0</v>
      </c>
      <c r="DV105" s="286">
        <v>0</v>
      </c>
      <c r="DW105" s="286">
        <v>0</v>
      </c>
      <c r="DX105" s="34">
        <v>1</v>
      </c>
      <c r="DY105" s="79">
        <v>57.360994445943291</v>
      </c>
      <c r="DZ105" s="79">
        <v>25.552667632523995</v>
      </c>
      <c r="EA105" s="79">
        <v>0.45121583302342816</v>
      </c>
      <c r="EB105" s="79">
        <v>3.1907925530249273</v>
      </c>
      <c r="EC105" s="79">
        <v>0</v>
      </c>
      <c r="ED105" s="79">
        <v>1.1690462308760772</v>
      </c>
      <c r="EE105" s="79">
        <v>0.1766120203226503</v>
      </c>
      <c r="EF105" s="79">
        <v>1.3637011183380452</v>
      </c>
      <c r="EG105" s="79">
        <v>5.7968417135260975</v>
      </c>
      <c r="EH105" s="79">
        <v>0.2582473498590776</v>
      </c>
      <c r="EI105" s="79">
        <v>0</v>
      </c>
      <c r="EJ105" s="79">
        <v>4.6798811025624154</v>
      </c>
      <c r="EK105" s="79">
        <v>0</v>
      </c>
      <c r="EL105" s="79">
        <v>100.00000000000003</v>
      </c>
      <c r="EM105" s="34">
        <v>77.691716470657283</v>
      </c>
      <c r="EN105" s="34" t="s">
        <v>170</v>
      </c>
      <c r="EO105" s="290">
        <v>3.9291797158205986E-2</v>
      </c>
      <c r="EP105" s="257">
        <f t="shared" si="34"/>
        <v>3.9291797158205988</v>
      </c>
      <c r="EQ105" s="257">
        <f t="shared" si="35"/>
        <v>18.207934336525309</v>
      </c>
      <c r="ER105" s="324">
        <f t="shared" si="36"/>
        <v>2.9331344767586379E-2</v>
      </c>
      <c r="ES105" s="257">
        <f t="shared" si="31"/>
        <v>0.61967213114754094</v>
      </c>
      <c r="ET105">
        <f t="shared" si="32"/>
        <v>350</v>
      </c>
      <c r="EU105" s="324">
        <f t="shared" si="37"/>
        <v>4.7333651609067967E-2</v>
      </c>
      <c r="EV105" s="39">
        <f t="shared" si="38"/>
        <v>162.9</v>
      </c>
      <c r="EX105">
        <f t="shared" si="39"/>
        <v>25</v>
      </c>
    </row>
    <row r="106" spans="1:160" ht="13" customHeight="1" x14ac:dyDescent="0.2">
      <c r="A106" s="30" t="s">
        <v>171</v>
      </c>
      <c r="B106" s="31" t="s">
        <v>461</v>
      </c>
      <c r="C106" s="86">
        <f t="shared" si="43"/>
        <v>161.9</v>
      </c>
      <c r="D106" s="32">
        <v>400</v>
      </c>
      <c r="E106" s="32">
        <v>500</v>
      </c>
      <c r="F106" s="33">
        <f t="shared" si="26"/>
        <v>450</v>
      </c>
      <c r="G106" s="31" t="s">
        <v>515</v>
      </c>
      <c r="H106" s="84">
        <v>10</v>
      </c>
      <c r="I106" s="85">
        <v>4</v>
      </c>
      <c r="J106" s="85">
        <v>4</v>
      </c>
      <c r="K106" s="89">
        <f t="shared" si="42"/>
        <v>10</v>
      </c>
      <c r="L106" s="33">
        <v>120</v>
      </c>
      <c r="M106" s="33">
        <v>91</v>
      </c>
      <c r="N106" s="33">
        <v>54</v>
      </c>
      <c r="O106" s="33">
        <v>60.68</v>
      </c>
      <c r="P106" s="33">
        <v>17.47</v>
      </c>
      <c r="Q106" s="33">
        <v>5.48</v>
      </c>
      <c r="R106" s="33">
        <v>0.108</v>
      </c>
      <c r="S106" s="33">
        <v>2.89</v>
      </c>
      <c r="T106" s="33">
        <v>1.1100000000000001</v>
      </c>
      <c r="U106" s="33">
        <v>2.46</v>
      </c>
      <c r="V106" s="33">
        <v>3.94</v>
      </c>
      <c r="W106" s="33">
        <v>0.76400000000000001</v>
      </c>
      <c r="X106" s="33">
        <v>0.03</v>
      </c>
      <c r="Y106" s="33">
        <v>4.2699999999999996</v>
      </c>
      <c r="Z106" s="33">
        <v>99.21</v>
      </c>
      <c r="AA106" s="33">
        <v>11</v>
      </c>
      <c r="AB106" s="33">
        <v>2</v>
      </c>
      <c r="AC106" s="33">
        <v>93</v>
      </c>
      <c r="AD106" s="33">
        <v>0</v>
      </c>
      <c r="AE106" s="33">
        <v>10</v>
      </c>
      <c r="AF106" s="33">
        <v>0</v>
      </c>
      <c r="AG106" s="33">
        <v>30</v>
      </c>
      <c r="AH106" s="33">
        <v>70</v>
      </c>
      <c r="AI106" s="33">
        <v>15</v>
      </c>
      <c r="AJ106" s="33">
        <v>1</v>
      </c>
      <c r="AK106" s="33">
        <v>0</v>
      </c>
      <c r="AL106" s="33">
        <v>139</v>
      </c>
      <c r="AM106" s="33">
        <v>372</v>
      </c>
      <c r="AN106" s="33">
        <v>21</v>
      </c>
      <c r="AO106" s="33">
        <v>337</v>
      </c>
      <c r="AP106" s="33">
        <v>9</v>
      </c>
      <c r="AQ106" s="33" t="s">
        <v>72</v>
      </c>
      <c r="AR106" s="33">
        <v>1.2</v>
      </c>
      <c r="AS106" s="33" t="s">
        <v>73</v>
      </c>
      <c r="AT106" s="33">
        <v>1</v>
      </c>
      <c r="AU106" s="33" t="s">
        <v>74</v>
      </c>
      <c r="AV106" s="33">
        <v>2.8</v>
      </c>
      <c r="AW106" s="33">
        <v>900</v>
      </c>
      <c r="AX106" s="33" t="s">
        <v>75</v>
      </c>
      <c r="AY106" s="33">
        <v>89.5</v>
      </c>
      <c r="AZ106" s="33">
        <v>154</v>
      </c>
      <c r="BA106" s="33">
        <v>17.7</v>
      </c>
      <c r="BB106" s="33">
        <v>60.5</v>
      </c>
      <c r="BC106" s="33">
        <v>8.8000000000000007</v>
      </c>
      <c r="BD106" s="33">
        <v>2.17</v>
      </c>
      <c r="BE106" s="33">
        <v>6</v>
      </c>
      <c r="BF106" s="33">
        <v>0.8</v>
      </c>
      <c r="BG106" s="33">
        <v>4.2</v>
      </c>
      <c r="BH106" s="33">
        <v>0.8</v>
      </c>
      <c r="BI106" s="33">
        <v>2.2999999999999998</v>
      </c>
      <c r="BJ106" s="33">
        <v>0.31</v>
      </c>
      <c r="BK106" s="33">
        <v>2</v>
      </c>
      <c r="BL106" s="33">
        <v>0.33</v>
      </c>
      <c r="BM106" s="33">
        <v>7.4</v>
      </c>
      <c r="BN106" s="33">
        <v>0.4</v>
      </c>
      <c r="BO106" s="33">
        <v>0</v>
      </c>
      <c r="BP106" s="33">
        <v>0.6</v>
      </c>
      <c r="BQ106" s="33">
        <v>28</v>
      </c>
      <c r="BR106" s="33">
        <v>13.1</v>
      </c>
      <c r="BS106" s="33">
        <v>1.5</v>
      </c>
      <c r="BT106" s="34">
        <f t="shared" si="27"/>
        <v>0.63244353182751545</v>
      </c>
      <c r="BU106" s="282">
        <f t="shared" si="28"/>
        <v>349.41</v>
      </c>
      <c r="BV106" s="35">
        <f t="shared" si="29"/>
        <v>450</v>
      </c>
      <c r="BW106" s="79">
        <f t="shared" si="30"/>
        <v>69.935948759007204</v>
      </c>
      <c r="BX106" s="69">
        <f t="shared" si="33"/>
        <v>0.63244353182751545</v>
      </c>
      <c r="BY106" s="34">
        <v>7.13</v>
      </c>
      <c r="BZ106" s="34">
        <v>0</v>
      </c>
      <c r="CA106" s="34">
        <v>19.010000000000002</v>
      </c>
      <c r="CB106" s="34">
        <v>0</v>
      </c>
      <c r="CC106" s="34">
        <v>15.323499999999997</v>
      </c>
      <c r="CD106" s="34">
        <v>0.80649999999999999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14.11</v>
      </c>
      <c r="CL106" s="34">
        <v>0</v>
      </c>
      <c r="CM106" s="34">
        <v>5.72</v>
      </c>
      <c r="CN106" s="34">
        <v>34.130000000000003</v>
      </c>
      <c r="CO106" s="34">
        <v>0</v>
      </c>
      <c r="CP106" s="34">
        <v>2.91</v>
      </c>
      <c r="CQ106" s="34">
        <v>0</v>
      </c>
      <c r="CR106" s="34">
        <v>0</v>
      </c>
      <c r="CS106" s="34">
        <v>0.85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282">
        <v>99.989999999999981</v>
      </c>
      <c r="CZ106" s="286">
        <v>0.20471677794529405</v>
      </c>
      <c r="DA106" s="286">
        <v>0</v>
      </c>
      <c r="DB106" s="286">
        <v>0.16501723023906956</v>
      </c>
      <c r="DC106" s="286">
        <v>8.6851173810036635E-3</v>
      </c>
      <c r="DD106" s="286">
        <v>0</v>
      </c>
      <c r="DE106" s="286">
        <v>0</v>
      </c>
      <c r="DF106" s="286">
        <v>0</v>
      </c>
      <c r="DG106" s="286">
        <v>0</v>
      </c>
      <c r="DH106" s="286">
        <v>0</v>
      </c>
      <c r="DI106" s="286">
        <v>0</v>
      </c>
      <c r="DJ106" s="286">
        <v>0.15194917079474479</v>
      </c>
      <c r="DK106" s="286">
        <v>0</v>
      </c>
      <c r="DL106" s="286">
        <v>6.1598104673702352E-2</v>
      </c>
      <c r="DM106" s="286">
        <v>0.36754253715270307</v>
      </c>
      <c r="DN106" s="286">
        <v>0</v>
      </c>
      <c r="DO106" s="286">
        <v>3.1337497307775151E-2</v>
      </c>
      <c r="DP106" s="286">
        <v>0</v>
      </c>
      <c r="DQ106" s="286">
        <v>0</v>
      </c>
      <c r="DR106" s="286">
        <v>9.1535645057075187E-3</v>
      </c>
      <c r="DS106" s="286">
        <v>0</v>
      </c>
      <c r="DT106" s="286">
        <v>0</v>
      </c>
      <c r="DU106" s="286">
        <v>0</v>
      </c>
      <c r="DV106" s="286">
        <v>0</v>
      </c>
      <c r="DW106" s="286">
        <v>0</v>
      </c>
      <c r="DX106" s="34">
        <v>1</v>
      </c>
      <c r="DY106" s="79">
        <v>61.011385985090037</v>
      </c>
      <c r="DZ106" s="79">
        <v>23.70456424474617</v>
      </c>
      <c r="EA106" s="79">
        <v>0.47469122644527401</v>
      </c>
      <c r="EB106" s="79">
        <v>2.4745544957329413</v>
      </c>
      <c r="EC106" s="79">
        <v>0</v>
      </c>
      <c r="ED106" s="79">
        <v>0.94113621562802052</v>
      </c>
      <c r="EE106" s="79">
        <v>0.23150200952071995</v>
      </c>
      <c r="EF106" s="79">
        <v>1.950896106935019</v>
      </c>
      <c r="EG106" s="79">
        <v>4.6325116027149393</v>
      </c>
      <c r="EH106" s="79">
        <v>0.19704077707808909</v>
      </c>
      <c r="EI106" s="79">
        <v>0</v>
      </c>
      <c r="EJ106" s="79">
        <v>4.381717336108804</v>
      </c>
      <c r="EK106" s="79">
        <v>0</v>
      </c>
      <c r="EL106" s="79">
        <v>100.00000000000004</v>
      </c>
      <c r="EM106" s="34">
        <v>77.670291017374865</v>
      </c>
      <c r="EN106" s="34" t="s">
        <v>171</v>
      </c>
      <c r="EO106" s="290">
        <v>3.1719556267941804E-2</v>
      </c>
      <c r="EP106" s="257">
        <f t="shared" si="34"/>
        <v>3.1719556267941802</v>
      </c>
      <c r="EQ106" s="257">
        <f t="shared" si="35"/>
        <v>20.71040657566417</v>
      </c>
      <c r="ER106" s="324">
        <f t="shared" si="36"/>
        <v>3.4625817775650228E-2</v>
      </c>
      <c r="ES106" s="257">
        <f t="shared" si="31"/>
        <v>0.63244353182751545</v>
      </c>
      <c r="ET106">
        <f t="shared" si="32"/>
        <v>450</v>
      </c>
      <c r="EU106" s="324">
        <f t="shared" si="37"/>
        <v>5.4749263820589804E-2</v>
      </c>
      <c r="EV106" s="39">
        <f t="shared" si="38"/>
        <v>161.9</v>
      </c>
      <c r="EX106">
        <f t="shared" si="39"/>
        <v>26.25</v>
      </c>
    </row>
    <row r="107" spans="1:160" ht="13" customHeight="1" x14ac:dyDescent="0.2">
      <c r="A107" s="30" t="s">
        <v>172</v>
      </c>
      <c r="B107" s="31" t="s">
        <v>461</v>
      </c>
      <c r="C107" s="86">
        <f t="shared" si="43"/>
        <v>160.9</v>
      </c>
      <c r="D107" s="32">
        <v>500</v>
      </c>
      <c r="E107" s="32">
        <v>600</v>
      </c>
      <c r="F107" s="33">
        <f t="shared" si="26"/>
        <v>550</v>
      </c>
      <c r="G107" s="31" t="s">
        <v>529</v>
      </c>
      <c r="H107" s="84" t="s">
        <v>530</v>
      </c>
      <c r="I107" s="85">
        <v>5</v>
      </c>
      <c r="J107" s="85">
        <v>4</v>
      </c>
      <c r="K107" s="89">
        <f t="shared" si="42"/>
        <v>3.125</v>
      </c>
      <c r="L107" s="33">
        <v>142</v>
      </c>
      <c r="M107" s="33">
        <v>119</v>
      </c>
      <c r="N107" s="33">
        <v>75</v>
      </c>
      <c r="O107" s="33">
        <v>62.34</v>
      </c>
      <c r="P107" s="33">
        <v>18.100000000000001</v>
      </c>
      <c r="Q107" s="33">
        <v>5.56</v>
      </c>
      <c r="R107" s="33">
        <v>9.2999999999999999E-2</v>
      </c>
      <c r="S107" s="33">
        <v>1.84</v>
      </c>
      <c r="T107" s="33">
        <v>1.28</v>
      </c>
      <c r="U107" s="33">
        <v>2.58</v>
      </c>
      <c r="V107" s="33">
        <v>3.07</v>
      </c>
      <c r="W107" s="33">
        <v>0.81299999999999994</v>
      </c>
      <c r="X107" s="33">
        <v>0.05</v>
      </c>
      <c r="Y107" s="33">
        <v>4.13</v>
      </c>
      <c r="Z107" s="33">
        <v>99.85</v>
      </c>
      <c r="AA107" s="33">
        <v>9</v>
      </c>
      <c r="AB107" s="33">
        <v>2</v>
      </c>
      <c r="AC107" s="33">
        <v>72</v>
      </c>
      <c r="AD107" s="33">
        <v>0</v>
      </c>
      <c r="AE107" s="33">
        <v>7</v>
      </c>
      <c r="AF107" s="33">
        <v>0</v>
      </c>
      <c r="AG107" s="33">
        <v>20</v>
      </c>
      <c r="AH107" s="33">
        <v>70</v>
      </c>
      <c r="AI107" s="33">
        <v>16</v>
      </c>
      <c r="AJ107" s="33">
        <v>1</v>
      </c>
      <c r="AK107" s="33">
        <v>0</v>
      </c>
      <c r="AL107" s="33">
        <v>106</v>
      </c>
      <c r="AM107" s="33">
        <v>449</v>
      </c>
      <c r="AN107" s="33">
        <v>19</v>
      </c>
      <c r="AO107" s="33">
        <v>410</v>
      </c>
      <c r="AP107" s="33">
        <v>9</v>
      </c>
      <c r="AQ107" s="33" t="s">
        <v>72</v>
      </c>
      <c r="AR107" s="33">
        <v>1.6</v>
      </c>
      <c r="AS107" s="33" t="s">
        <v>73</v>
      </c>
      <c r="AT107" s="33">
        <v>1</v>
      </c>
      <c r="AU107" s="33" t="s">
        <v>74</v>
      </c>
      <c r="AV107" s="33">
        <v>2.2000000000000002</v>
      </c>
      <c r="AW107" s="33">
        <v>1079</v>
      </c>
      <c r="AX107" s="33" t="s">
        <v>75</v>
      </c>
      <c r="AY107" s="33">
        <v>134</v>
      </c>
      <c r="AZ107" s="33">
        <v>239</v>
      </c>
      <c r="BA107" s="33">
        <v>26.3</v>
      </c>
      <c r="BB107" s="33">
        <v>88.9</v>
      </c>
      <c r="BC107" s="33">
        <v>12</v>
      </c>
      <c r="BD107" s="33">
        <v>2.4500000000000002</v>
      </c>
      <c r="BE107" s="33">
        <v>7</v>
      </c>
      <c r="BF107" s="33">
        <v>0.9</v>
      </c>
      <c r="BG107" s="33">
        <v>4.5</v>
      </c>
      <c r="BH107" s="33">
        <v>0.8</v>
      </c>
      <c r="BI107" s="33">
        <v>2.2999999999999998</v>
      </c>
      <c r="BJ107" s="33">
        <v>0.3</v>
      </c>
      <c r="BK107" s="33">
        <v>1.9</v>
      </c>
      <c r="BL107" s="33">
        <v>0.31</v>
      </c>
      <c r="BM107" s="33">
        <v>8.9</v>
      </c>
      <c r="BN107" s="33">
        <v>0.4</v>
      </c>
      <c r="BO107" s="33">
        <v>2</v>
      </c>
      <c r="BP107" s="33">
        <v>0.4</v>
      </c>
      <c r="BQ107" s="33">
        <v>24</v>
      </c>
      <c r="BR107" s="33">
        <v>28.3</v>
      </c>
      <c r="BS107" s="33">
        <v>2</v>
      </c>
      <c r="BT107" s="34">
        <f t="shared" si="27"/>
        <v>0.64075067024128685</v>
      </c>
      <c r="BU107" s="282">
        <f t="shared" si="28"/>
        <v>520.65999999999974</v>
      </c>
      <c r="BV107" s="35">
        <f t="shared" si="29"/>
        <v>550</v>
      </c>
      <c r="BW107" s="79">
        <f t="shared" si="30"/>
        <v>72.313224131042759</v>
      </c>
      <c r="BX107" s="69">
        <f t="shared" si="33"/>
        <v>0.64075067024128685</v>
      </c>
      <c r="BY107" s="34">
        <v>8.36</v>
      </c>
      <c r="BZ107" s="34">
        <v>0.4</v>
      </c>
      <c r="CA107" s="34">
        <v>22.85</v>
      </c>
      <c r="CB107" s="34">
        <v>0</v>
      </c>
      <c r="CC107" s="34">
        <v>15.855500000000001</v>
      </c>
      <c r="CD107" s="34">
        <v>0.83450000000000013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15.66</v>
      </c>
      <c r="CL107" s="34">
        <v>0</v>
      </c>
      <c r="CM107" s="34">
        <v>5.78</v>
      </c>
      <c r="CN107" s="34">
        <v>23.58</v>
      </c>
      <c r="CO107" s="34">
        <v>0</v>
      </c>
      <c r="CP107" s="34">
        <v>3.23</v>
      </c>
      <c r="CQ107" s="34">
        <v>0</v>
      </c>
      <c r="CR107" s="34">
        <v>0</v>
      </c>
      <c r="CS107" s="34">
        <v>3.43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282">
        <v>99.98</v>
      </c>
      <c r="CZ107" s="286">
        <v>0.25049331286998461</v>
      </c>
      <c r="DA107" s="286">
        <v>0</v>
      </c>
      <c r="DB107" s="286">
        <v>0.17381604911203682</v>
      </c>
      <c r="DC107" s="286">
        <v>9.1482131111598336E-3</v>
      </c>
      <c r="DD107" s="286">
        <v>0</v>
      </c>
      <c r="DE107" s="286">
        <v>0</v>
      </c>
      <c r="DF107" s="286">
        <v>0</v>
      </c>
      <c r="DG107" s="286">
        <v>0</v>
      </c>
      <c r="DH107" s="286">
        <v>0</v>
      </c>
      <c r="DI107" s="286">
        <v>0</v>
      </c>
      <c r="DJ107" s="286">
        <v>0.17167287875465903</v>
      </c>
      <c r="DK107" s="286">
        <v>0</v>
      </c>
      <c r="DL107" s="286">
        <v>6.3363297522473133E-2</v>
      </c>
      <c r="DM107" s="286">
        <v>0.25849594387195785</v>
      </c>
      <c r="DN107" s="286">
        <v>0</v>
      </c>
      <c r="DO107" s="286">
        <v>3.5408901556676163E-2</v>
      </c>
      <c r="DP107" s="286">
        <v>0</v>
      </c>
      <c r="DQ107" s="286">
        <v>0</v>
      </c>
      <c r="DR107" s="286">
        <v>3.7601403201052395E-2</v>
      </c>
      <c r="DS107" s="286">
        <v>0</v>
      </c>
      <c r="DT107" s="286">
        <v>0</v>
      </c>
      <c r="DU107" s="286">
        <v>0</v>
      </c>
      <c r="DV107" s="286">
        <v>0</v>
      </c>
      <c r="DW107" s="286">
        <v>0</v>
      </c>
      <c r="DX107" s="34">
        <v>0.99999999999999989</v>
      </c>
      <c r="DY107" s="79">
        <v>64.167564551655701</v>
      </c>
      <c r="DZ107" s="79">
        <v>22.083161225902408</v>
      </c>
      <c r="EA107" s="79">
        <v>0.51193760539774003</v>
      </c>
      <c r="EB107" s="79">
        <v>1.8003770019150143</v>
      </c>
      <c r="EC107" s="79">
        <v>0</v>
      </c>
      <c r="ED107" s="79">
        <v>0.7280946060571456</v>
      </c>
      <c r="EE107" s="79">
        <v>0.24245464378196097</v>
      </c>
      <c r="EF107" s="79">
        <v>2.0549190714462369</v>
      </c>
      <c r="EG107" s="79">
        <v>4.0197471313750857</v>
      </c>
      <c r="EH107" s="79">
        <v>0.1385805355936339</v>
      </c>
      <c r="EI107" s="79">
        <v>0</v>
      </c>
      <c r="EJ107" s="79">
        <v>4.2531636268750592</v>
      </c>
      <c r="EK107" s="79">
        <v>0</v>
      </c>
      <c r="EL107" s="79">
        <v>99.999999999999972</v>
      </c>
      <c r="EM107" s="34">
        <v>77.756837659303073</v>
      </c>
      <c r="EN107" s="34" t="s">
        <v>172</v>
      </c>
      <c r="EO107" s="290">
        <v>2.4743485374851056E-2</v>
      </c>
      <c r="EP107" s="257">
        <f t="shared" si="34"/>
        <v>2.4743485374851057</v>
      </c>
      <c r="EQ107" s="257">
        <f t="shared" si="35"/>
        <v>25.019971241412364</v>
      </c>
      <c r="ER107" s="324">
        <f t="shared" si="36"/>
        <v>2.681992337164751E-2</v>
      </c>
      <c r="ES107" s="257">
        <f t="shared" si="31"/>
        <v>0.64075067024128685</v>
      </c>
      <c r="ET107">
        <f t="shared" si="32"/>
        <v>550</v>
      </c>
      <c r="EU107" s="324">
        <f t="shared" si="37"/>
        <v>4.185703522018628E-2</v>
      </c>
      <c r="EV107" s="39">
        <f t="shared" si="38"/>
        <v>160.9</v>
      </c>
      <c r="EX107">
        <f t="shared" si="39"/>
        <v>23.75</v>
      </c>
    </row>
    <row r="108" spans="1:160" ht="13" customHeight="1" x14ac:dyDescent="0.2">
      <c r="A108" s="30" t="s">
        <v>173</v>
      </c>
      <c r="B108" s="31" t="s">
        <v>461</v>
      </c>
      <c r="C108" s="86">
        <f t="shared" si="43"/>
        <v>159.9</v>
      </c>
      <c r="D108" s="32">
        <v>600</v>
      </c>
      <c r="E108" s="32">
        <v>700</v>
      </c>
      <c r="F108" s="33">
        <f t="shared" si="26"/>
        <v>650</v>
      </c>
      <c r="G108" s="31" t="s">
        <v>529</v>
      </c>
      <c r="H108" s="84" t="s">
        <v>530</v>
      </c>
      <c r="I108" s="85">
        <v>5</v>
      </c>
      <c r="J108" s="85">
        <v>4</v>
      </c>
      <c r="K108" s="89">
        <f t="shared" si="42"/>
        <v>3.125</v>
      </c>
      <c r="L108" s="33">
        <v>142</v>
      </c>
      <c r="M108" s="33">
        <v>119</v>
      </c>
      <c r="N108" s="33">
        <v>75</v>
      </c>
      <c r="O108" s="33">
        <v>62.91</v>
      </c>
      <c r="P108" s="33">
        <v>18.22</v>
      </c>
      <c r="Q108" s="33">
        <v>5.81</v>
      </c>
      <c r="R108" s="33">
        <v>0.107</v>
      </c>
      <c r="S108" s="33">
        <v>1.52</v>
      </c>
      <c r="T108" s="33">
        <v>1.71</v>
      </c>
      <c r="U108" s="33">
        <v>2.89</v>
      </c>
      <c r="V108" s="33">
        <v>2.33</v>
      </c>
      <c r="W108" s="33">
        <v>0.85</v>
      </c>
      <c r="X108" s="33">
        <v>0.03</v>
      </c>
      <c r="Y108" s="33">
        <v>3.92</v>
      </c>
      <c r="Z108" s="33">
        <v>100.3</v>
      </c>
      <c r="AA108" s="33">
        <v>12</v>
      </c>
      <c r="AB108" s="33">
        <v>3</v>
      </c>
      <c r="AC108" s="33">
        <v>77</v>
      </c>
      <c r="AD108" s="33">
        <v>0</v>
      </c>
      <c r="AE108" s="33">
        <v>8</v>
      </c>
      <c r="AF108" s="33">
        <v>0</v>
      </c>
      <c r="AG108" s="33">
        <v>0</v>
      </c>
      <c r="AH108" s="33">
        <v>70</v>
      </c>
      <c r="AI108" s="33">
        <v>15</v>
      </c>
      <c r="AJ108" s="33">
        <v>0</v>
      </c>
      <c r="AK108" s="33">
        <v>0</v>
      </c>
      <c r="AL108" s="33">
        <v>79</v>
      </c>
      <c r="AM108" s="33">
        <v>407</v>
      </c>
      <c r="AN108" s="33">
        <v>16</v>
      </c>
      <c r="AO108" s="33">
        <v>220</v>
      </c>
      <c r="AP108" s="33">
        <v>7</v>
      </c>
      <c r="AQ108" s="33" t="s">
        <v>72</v>
      </c>
      <c r="AR108" s="33">
        <v>0.6</v>
      </c>
      <c r="AS108" s="33" t="s">
        <v>73</v>
      </c>
      <c r="AT108" s="33">
        <v>2</v>
      </c>
      <c r="AU108" s="33" t="s">
        <v>74</v>
      </c>
      <c r="AV108" s="33">
        <v>1.5</v>
      </c>
      <c r="AW108" s="33">
        <v>876</v>
      </c>
      <c r="AX108" s="33" t="s">
        <v>75</v>
      </c>
      <c r="AY108" s="33">
        <v>41.1</v>
      </c>
      <c r="AZ108" s="33">
        <v>81.599999999999994</v>
      </c>
      <c r="BA108" s="33">
        <v>9.31</v>
      </c>
      <c r="BB108" s="33">
        <v>34.4</v>
      </c>
      <c r="BC108" s="33">
        <v>6.2</v>
      </c>
      <c r="BD108" s="33">
        <v>1.55</v>
      </c>
      <c r="BE108" s="33">
        <v>4.5</v>
      </c>
      <c r="BF108" s="33">
        <v>0.6</v>
      </c>
      <c r="BG108" s="33">
        <v>3.2</v>
      </c>
      <c r="BH108" s="33">
        <v>0.6</v>
      </c>
      <c r="BI108" s="33">
        <v>1.9</v>
      </c>
      <c r="BJ108" s="33">
        <v>0.25</v>
      </c>
      <c r="BK108" s="33">
        <v>1.7</v>
      </c>
      <c r="BL108" s="33">
        <v>0.27</v>
      </c>
      <c r="BM108" s="33">
        <v>5.0999999999999996</v>
      </c>
      <c r="BN108" s="33">
        <v>0.3</v>
      </c>
      <c r="BO108" s="33">
        <v>0</v>
      </c>
      <c r="BP108" s="33">
        <v>0.3</v>
      </c>
      <c r="BQ108" s="33">
        <v>32</v>
      </c>
      <c r="BR108" s="33">
        <v>6.2</v>
      </c>
      <c r="BS108" s="33">
        <v>0.8</v>
      </c>
      <c r="BT108" s="34">
        <f t="shared" si="27"/>
        <v>0.66503667481662598</v>
      </c>
      <c r="BU108" s="282">
        <f t="shared" si="28"/>
        <v>187.17999999999998</v>
      </c>
      <c r="BV108" s="35">
        <f t="shared" si="29"/>
        <v>650</v>
      </c>
      <c r="BW108" s="79">
        <f t="shared" si="30"/>
        <v>72.445328031809154</v>
      </c>
      <c r="BX108" s="69">
        <f t="shared" si="33"/>
        <v>0.66503667481662598</v>
      </c>
      <c r="BY108" s="34">
        <v>6.65</v>
      </c>
      <c r="BZ108" s="34">
        <v>0.81</v>
      </c>
      <c r="CA108" s="34">
        <v>20.72</v>
      </c>
      <c r="CB108" s="34">
        <v>0</v>
      </c>
      <c r="CC108" s="34">
        <v>19.579499999999999</v>
      </c>
      <c r="CD108" s="34">
        <v>1.0305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14.81</v>
      </c>
      <c r="CL108" s="34">
        <v>0</v>
      </c>
      <c r="CM108" s="34">
        <v>3.79</v>
      </c>
      <c r="CN108" s="34">
        <v>26.71</v>
      </c>
      <c r="CO108" s="34">
        <v>0</v>
      </c>
      <c r="CP108" s="34">
        <v>3.05</v>
      </c>
      <c r="CQ108" s="34">
        <v>0</v>
      </c>
      <c r="CR108" s="34">
        <v>0</v>
      </c>
      <c r="CS108" s="34">
        <v>2.86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282">
        <v>100.01000000000002</v>
      </c>
      <c r="CZ108" s="286">
        <v>0.22387898433279307</v>
      </c>
      <c r="DA108" s="286">
        <v>0</v>
      </c>
      <c r="DB108" s="286">
        <v>0.21155591572123178</v>
      </c>
      <c r="DC108" s="286">
        <v>1.113452188006483E-2</v>
      </c>
      <c r="DD108" s="286">
        <v>0</v>
      </c>
      <c r="DE108" s="286">
        <v>0</v>
      </c>
      <c r="DF108" s="286">
        <v>0</v>
      </c>
      <c r="DG108" s="286">
        <v>0</v>
      </c>
      <c r="DH108" s="286">
        <v>0</v>
      </c>
      <c r="DI108" s="286">
        <v>0</v>
      </c>
      <c r="DJ108" s="286">
        <v>0.16002160994057268</v>
      </c>
      <c r="DK108" s="286">
        <v>0</v>
      </c>
      <c r="DL108" s="286">
        <v>4.095083738519719E-2</v>
      </c>
      <c r="DM108" s="286">
        <v>0.28860075634792004</v>
      </c>
      <c r="DN108" s="286">
        <v>0</v>
      </c>
      <c r="DO108" s="286">
        <v>3.295515937331172E-2</v>
      </c>
      <c r="DP108" s="286">
        <v>0</v>
      </c>
      <c r="DQ108" s="286">
        <v>0</v>
      </c>
      <c r="DR108" s="286">
        <v>3.0902215018908698E-2</v>
      </c>
      <c r="DS108" s="286">
        <v>0</v>
      </c>
      <c r="DT108" s="286">
        <v>0</v>
      </c>
      <c r="DU108" s="286">
        <v>0</v>
      </c>
      <c r="DV108" s="286">
        <v>0</v>
      </c>
      <c r="DW108" s="286">
        <v>0</v>
      </c>
      <c r="DX108" s="34">
        <v>1</v>
      </c>
      <c r="DY108" s="79">
        <v>63.598396906424917</v>
      </c>
      <c r="DZ108" s="79">
        <v>22.279330447292196</v>
      </c>
      <c r="EA108" s="79">
        <v>0.40634748493019934</v>
      </c>
      <c r="EB108" s="79">
        <v>1.9805312089694094</v>
      </c>
      <c r="EC108" s="79">
        <v>0</v>
      </c>
      <c r="ED108" s="79">
        <v>0.74753549033024169</v>
      </c>
      <c r="EE108" s="79">
        <v>0.2619763363039519</v>
      </c>
      <c r="EF108" s="79">
        <v>2.5010940480681239</v>
      </c>
      <c r="EG108" s="79">
        <v>4.1066100810260044</v>
      </c>
      <c r="EH108" s="79">
        <v>0.15471982572861281</v>
      </c>
      <c r="EI108" s="79">
        <v>0</v>
      </c>
      <c r="EJ108" s="79">
        <v>3.963458170926347</v>
      </c>
      <c r="EK108" s="79">
        <v>0</v>
      </c>
      <c r="EL108" s="79">
        <v>99.999999999999986</v>
      </c>
      <c r="EM108" s="34">
        <v>76.432543505593515</v>
      </c>
      <c r="EN108" s="34" t="s">
        <v>173</v>
      </c>
      <c r="EO108" s="290">
        <v>2.5651265027068559E-2</v>
      </c>
      <c r="EP108" s="257">
        <f t="shared" si="34"/>
        <v>2.5651265027068559</v>
      </c>
      <c r="EQ108" s="257">
        <f t="shared" si="35"/>
        <v>21.766607877718993</v>
      </c>
      <c r="ER108" s="324">
        <f t="shared" si="36"/>
        <v>4.3115438108484012E-2</v>
      </c>
      <c r="ES108" s="257">
        <f t="shared" si="31"/>
        <v>0.66503667481662598</v>
      </c>
      <c r="ET108">
        <f t="shared" si="32"/>
        <v>650</v>
      </c>
      <c r="EU108" s="324">
        <f t="shared" si="37"/>
        <v>6.4831669802830727E-2</v>
      </c>
      <c r="EV108" s="39">
        <f t="shared" si="38"/>
        <v>159.9</v>
      </c>
      <c r="EX108">
        <f t="shared" si="39"/>
        <v>26.666666666666668</v>
      </c>
    </row>
    <row r="109" spans="1:160" ht="13" customHeight="1" x14ac:dyDescent="0.2">
      <c r="A109" s="30" t="s">
        <v>174</v>
      </c>
      <c r="B109" s="31" t="s">
        <v>461</v>
      </c>
      <c r="C109" s="86">
        <f t="shared" si="43"/>
        <v>158.9</v>
      </c>
      <c r="D109" s="32">
        <v>700</v>
      </c>
      <c r="E109" s="32">
        <v>800</v>
      </c>
      <c r="F109" s="33">
        <f t="shared" si="26"/>
        <v>750</v>
      </c>
      <c r="G109" s="31" t="s">
        <v>529</v>
      </c>
      <c r="H109" s="84" t="s">
        <v>530</v>
      </c>
      <c r="I109" s="85">
        <v>5</v>
      </c>
      <c r="J109" s="85">
        <v>4</v>
      </c>
      <c r="K109" s="89">
        <f t="shared" si="42"/>
        <v>3.125</v>
      </c>
      <c r="L109" s="33">
        <v>142</v>
      </c>
      <c r="M109" s="33">
        <v>119</v>
      </c>
      <c r="N109" s="33">
        <v>75</v>
      </c>
      <c r="O109" s="33">
        <v>62.34</v>
      </c>
      <c r="P109" s="33">
        <v>17.14</v>
      </c>
      <c r="Q109" s="33">
        <v>5.94</v>
      </c>
      <c r="R109" s="33">
        <v>0.114</v>
      </c>
      <c r="S109" s="33">
        <v>1.84</v>
      </c>
      <c r="T109" s="33">
        <v>1.89</v>
      </c>
      <c r="U109" s="33">
        <v>3.08</v>
      </c>
      <c r="V109" s="33">
        <v>2.09</v>
      </c>
      <c r="W109" s="33">
        <v>0.92</v>
      </c>
      <c r="X109" s="33">
        <v>0.04</v>
      </c>
      <c r="Y109" s="33">
        <v>3.85</v>
      </c>
      <c r="Z109" s="33">
        <v>99.23</v>
      </c>
      <c r="AA109" s="33">
        <v>14</v>
      </c>
      <c r="AB109" s="33">
        <v>3</v>
      </c>
      <c r="AC109" s="33">
        <v>94</v>
      </c>
      <c r="AD109" s="33">
        <v>0</v>
      </c>
      <c r="AE109" s="33">
        <v>10</v>
      </c>
      <c r="AF109" s="33">
        <v>0</v>
      </c>
      <c r="AG109" s="33">
        <v>0</v>
      </c>
      <c r="AH109" s="33">
        <v>90</v>
      </c>
      <c r="AI109" s="33">
        <v>16</v>
      </c>
      <c r="AJ109" s="33">
        <v>1</v>
      </c>
      <c r="AK109" s="33">
        <v>0</v>
      </c>
      <c r="AL109" s="33">
        <v>85</v>
      </c>
      <c r="AM109" s="33">
        <v>596</v>
      </c>
      <c r="AN109" s="33">
        <v>22</v>
      </c>
      <c r="AO109" s="33">
        <v>194</v>
      </c>
      <c r="AP109" s="33">
        <v>11</v>
      </c>
      <c r="AQ109" s="33" t="s">
        <v>72</v>
      </c>
      <c r="AR109" s="33">
        <v>0.5</v>
      </c>
      <c r="AS109" s="33" t="s">
        <v>73</v>
      </c>
      <c r="AT109" s="33">
        <v>2</v>
      </c>
      <c r="AU109" s="33" t="s">
        <v>74</v>
      </c>
      <c r="AV109" s="33">
        <v>1.9</v>
      </c>
      <c r="AW109" s="33">
        <v>673</v>
      </c>
      <c r="AX109" s="33" t="s">
        <v>75</v>
      </c>
      <c r="AY109" s="33">
        <v>82.4</v>
      </c>
      <c r="AZ109" s="33">
        <v>159</v>
      </c>
      <c r="BA109" s="33">
        <v>19.2</v>
      </c>
      <c r="BB109" s="33">
        <v>70.7</v>
      </c>
      <c r="BC109" s="33">
        <v>11.3</v>
      </c>
      <c r="BD109" s="33">
        <v>2.41</v>
      </c>
      <c r="BE109" s="33">
        <v>7.2</v>
      </c>
      <c r="BF109" s="33">
        <v>0.9</v>
      </c>
      <c r="BG109" s="33">
        <v>4.8</v>
      </c>
      <c r="BH109" s="33">
        <v>0.9</v>
      </c>
      <c r="BI109" s="33">
        <v>2.5</v>
      </c>
      <c r="BJ109" s="33">
        <v>0.34</v>
      </c>
      <c r="BK109" s="33">
        <v>2.2000000000000002</v>
      </c>
      <c r="BL109" s="33">
        <v>0.33</v>
      </c>
      <c r="BM109" s="33">
        <v>4.5999999999999996</v>
      </c>
      <c r="BN109" s="33">
        <v>0.5</v>
      </c>
      <c r="BO109" s="33">
        <v>0</v>
      </c>
      <c r="BP109" s="33">
        <v>0.3</v>
      </c>
      <c r="BQ109" s="33">
        <v>20</v>
      </c>
      <c r="BR109" s="33">
        <v>12.6</v>
      </c>
      <c r="BS109" s="33">
        <v>1.8</v>
      </c>
      <c r="BT109" s="34">
        <f t="shared" si="27"/>
        <v>0.6586578293289147</v>
      </c>
      <c r="BU109" s="282">
        <f t="shared" si="28"/>
        <v>364.17999999999995</v>
      </c>
      <c r="BV109" s="35">
        <f t="shared" si="29"/>
        <v>750</v>
      </c>
      <c r="BW109" s="79">
        <f t="shared" si="30"/>
        <v>70.826446280991732</v>
      </c>
      <c r="BX109" s="69">
        <f t="shared" si="33"/>
        <v>0.6586578293289147</v>
      </c>
      <c r="BY109" s="34">
        <v>7.92</v>
      </c>
      <c r="BZ109" s="34">
        <v>0</v>
      </c>
      <c r="CA109" s="34">
        <v>18.13</v>
      </c>
      <c r="CB109" s="34">
        <v>0</v>
      </c>
      <c r="CC109" s="34">
        <v>18.2685</v>
      </c>
      <c r="CD109" s="34">
        <v>0.96150000000000002</v>
      </c>
      <c r="CE109" s="34">
        <v>0</v>
      </c>
      <c r="CF109" s="34">
        <v>3.21</v>
      </c>
      <c r="CG109" s="34">
        <v>0</v>
      </c>
      <c r="CH109" s="34">
        <v>0</v>
      </c>
      <c r="CI109" s="34">
        <v>0</v>
      </c>
      <c r="CJ109" s="34">
        <v>0</v>
      </c>
      <c r="CK109" s="34">
        <v>13.08</v>
      </c>
      <c r="CL109" s="34">
        <v>0</v>
      </c>
      <c r="CM109" s="34">
        <v>5.47</v>
      </c>
      <c r="CN109" s="34">
        <v>29.86</v>
      </c>
      <c r="CO109" s="34">
        <v>0</v>
      </c>
      <c r="CP109" s="34">
        <v>2.69</v>
      </c>
      <c r="CQ109" s="34">
        <v>0</v>
      </c>
      <c r="CR109" s="34">
        <v>0</v>
      </c>
      <c r="CS109" s="34">
        <v>0.41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282">
        <v>100</v>
      </c>
      <c r="CZ109" s="286">
        <v>0.19689400521285841</v>
      </c>
      <c r="DA109" s="286">
        <v>0</v>
      </c>
      <c r="DB109" s="286">
        <v>0.19839813205907908</v>
      </c>
      <c r="DC109" s="286">
        <v>1.0442006950477848E-2</v>
      </c>
      <c r="DD109" s="286">
        <v>0</v>
      </c>
      <c r="DE109" s="286">
        <v>3.4860990443092967E-2</v>
      </c>
      <c r="DF109" s="286">
        <v>0</v>
      </c>
      <c r="DG109" s="286">
        <v>0</v>
      </c>
      <c r="DH109" s="286">
        <v>0</v>
      </c>
      <c r="DI109" s="286">
        <v>0</v>
      </c>
      <c r="DJ109" s="286">
        <v>0.14205039096437883</v>
      </c>
      <c r="DK109" s="286">
        <v>0</v>
      </c>
      <c r="DL109" s="286">
        <v>5.9404865334491755E-2</v>
      </c>
      <c r="DM109" s="286">
        <v>0.32428323197219816</v>
      </c>
      <c r="DN109" s="286">
        <v>0</v>
      </c>
      <c r="DO109" s="286">
        <v>2.9213727193744574E-2</v>
      </c>
      <c r="DP109" s="286">
        <v>0</v>
      </c>
      <c r="DQ109" s="286">
        <v>0</v>
      </c>
      <c r="DR109" s="286">
        <v>4.4526498696785405E-3</v>
      </c>
      <c r="DS109" s="286">
        <v>0</v>
      </c>
      <c r="DT109" s="286">
        <v>0</v>
      </c>
      <c r="DU109" s="286">
        <v>0</v>
      </c>
      <c r="DV109" s="286">
        <v>0</v>
      </c>
      <c r="DW109" s="286">
        <v>0</v>
      </c>
      <c r="DX109" s="34">
        <v>1.0000000000000002</v>
      </c>
      <c r="DY109" s="79">
        <v>61.393824512531523</v>
      </c>
      <c r="DZ109" s="79">
        <v>22.735653809450369</v>
      </c>
      <c r="EA109" s="79">
        <v>0.45088464430380432</v>
      </c>
      <c r="EB109" s="79">
        <v>2.8035642323351797</v>
      </c>
      <c r="EC109" s="79">
        <v>0</v>
      </c>
      <c r="ED109" s="79">
        <v>1.1820440646054369</v>
      </c>
      <c r="EE109" s="79">
        <v>0.73729325339398921</v>
      </c>
      <c r="EF109" s="79">
        <v>2.3455377532181974</v>
      </c>
      <c r="EG109" s="79">
        <v>4.0640392012653122</v>
      </c>
      <c r="EH109" s="79">
        <v>0.17384931963575367</v>
      </c>
      <c r="EI109" s="79">
        <v>0</v>
      </c>
      <c r="EJ109" s="79">
        <v>4.1133092092604491</v>
      </c>
      <c r="EK109" s="79">
        <v>0</v>
      </c>
      <c r="EL109" s="79">
        <v>100.00000000000003</v>
      </c>
      <c r="EM109" s="34">
        <v>76.083445281485368</v>
      </c>
      <c r="EN109" s="34" t="s">
        <v>174</v>
      </c>
      <c r="EO109" s="290">
        <v>3.5067696575491504E-2</v>
      </c>
      <c r="EP109" s="257">
        <f t="shared" si="34"/>
        <v>3.5067696575491505</v>
      </c>
      <c r="EQ109" s="257">
        <f t="shared" si="35"/>
        <v>19.100467289719628</v>
      </c>
      <c r="ER109" s="324">
        <f t="shared" si="36"/>
        <v>3.2964026808918072E-2</v>
      </c>
      <c r="ES109" s="257">
        <f t="shared" si="31"/>
        <v>0.6586578293289147</v>
      </c>
      <c r="ET109">
        <f t="shared" si="32"/>
        <v>750</v>
      </c>
      <c r="EU109" s="324">
        <f t="shared" si="37"/>
        <v>5.0047270891024037E-2</v>
      </c>
      <c r="EV109" s="39">
        <f t="shared" si="38"/>
        <v>158.9</v>
      </c>
      <c r="EX109">
        <f t="shared" si="39"/>
        <v>24.444444444444443</v>
      </c>
    </row>
    <row r="110" spans="1:160" ht="13" customHeight="1" x14ac:dyDescent="0.2">
      <c r="A110" s="30" t="s">
        <v>175</v>
      </c>
      <c r="B110" s="31" t="s">
        <v>461</v>
      </c>
      <c r="C110" s="86">
        <f t="shared" si="43"/>
        <v>157.9</v>
      </c>
      <c r="D110" s="32">
        <v>800</v>
      </c>
      <c r="E110" s="32">
        <v>900</v>
      </c>
      <c r="F110" s="33">
        <f t="shared" si="26"/>
        <v>850</v>
      </c>
      <c r="G110" s="31" t="s">
        <v>516</v>
      </c>
      <c r="H110" s="84">
        <v>10</v>
      </c>
      <c r="I110" s="85">
        <v>5</v>
      </c>
      <c r="J110" s="85">
        <v>4</v>
      </c>
      <c r="K110" s="89">
        <f t="shared" si="42"/>
        <v>12.5</v>
      </c>
      <c r="L110" s="33">
        <v>146</v>
      </c>
      <c r="M110" s="33">
        <v>116</v>
      </c>
      <c r="N110" s="33">
        <v>79</v>
      </c>
      <c r="O110" s="33">
        <v>53.2</v>
      </c>
      <c r="P110" s="33">
        <v>17.260000000000002</v>
      </c>
      <c r="Q110" s="33">
        <v>8.69</v>
      </c>
      <c r="R110" s="33">
        <v>0.14199999999999999</v>
      </c>
      <c r="S110" s="33">
        <v>3.06</v>
      </c>
      <c r="T110" s="33">
        <v>2.5299999999999998</v>
      </c>
      <c r="U110" s="33">
        <v>2.77</v>
      </c>
      <c r="V110" s="33">
        <v>4</v>
      </c>
      <c r="W110" s="33">
        <v>2.2330000000000001</v>
      </c>
      <c r="X110" s="33">
        <v>0.89</v>
      </c>
      <c r="Y110" s="33">
        <v>4.21</v>
      </c>
      <c r="Z110" s="33">
        <v>98.98</v>
      </c>
      <c r="AA110" s="33">
        <v>10</v>
      </c>
      <c r="AB110" s="33">
        <v>5</v>
      </c>
      <c r="AC110" s="33">
        <v>173</v>
      </c>
      <c r="AD110" s="33">
        <v>0</v>
      </c>
      <c r="AE110" s="33">
        <v>14</v>
      </c>
      <c r="AF110" s="33">
        <v>0</v>
      </c>
      <c r="AG110" s="33">
        <v>30</v>
      </c>
      <c r="AH110" s="33">
        <v>140</v>
      </c>
      <c r="AI110" s="33">
        <v>22</v>
      </c>
      <c r="AJ110" s="33">
        <v>1</v>
      </c>
      <c r="AK110" s="33">
        <v>0</v>
      </c>
      <c r="AL110" s="33">
        <v>159</v>
      </c>
      <c r="AM110" s="33">
        <v>1030</v>
      </c>
      <c r="AN110" s="33">
        <v>44</v>
      </c>
      <c r="AO110" s="33">
        <v>451</v>
      </c>
      <c r="AP110" s="33">
        <v>32</v>
      </c>
      <c r="AQ110" s="33" t="s">
        <v>72</v>
      </c>
      <c r="AR110" s="33">
        <v>1.5</v>
      </c>
      <c r="AS110" s="33" t="s">
        <v>73</v>
      </c>
      <c r="AT110" s="33">
        <v>3</v>
      </c>
      <c r="AU110" s="33" t="s">
        <v>74</v>
      </c>
      <c r="AV110" s="33">
        <v>3.3</v>
      </c>
      <c r="AW110" s="33">
        <v>1650</v>
      </c>
      <c r="AX110" s="33" t="s">
        <v>75</v>
      </c>
      <c r="AY110" s="33">
        <v>229</v>
      </c>
      <c r="AZ110" s="33">
        <v>465</v>
      </c>
      <c r="BA110" s="33">
        <v>52.8</v>
      </c>
      <c r="BB110" s="33">
        <v>189</v>
      </c>
      <c r="BC110" s="33">
        <v>27.9</v>
      </c>
      <c r="BD110" s="33">
        <v>5.51</v>
      </c>
      <c r="BE110" s="33">
        <v>15.4</v>
      </c>
      <c r="BF110" s="33">
        <v>1.9</v>
      </c>
      <c r="BG110" s="33">
        <v>9.6999999999999993</v>
      </c>
      <c r="BH110" s="33">
        <v>1.7</v>
      </c>
      <c r="BI110" s="33">
        <v>4.5</v>
      </c>
      <c r="BJ110" s="33">
        <v>0.63</v>
      </c>
      <c r="BK110" s="33">
        <v>3.8</v>
      </c>
      <c r="BL110" s="33">
        <v>0.56999999999999995</v>
      </c>
      <c r="BM110" s="33">
        <v>9.3000000000000007</v>
      </c>
      <c r="BN110" s="33">
        <v>2.2999999999999998</v>
      </c>
      <c r="BO110" s="33">
        <v>0</v>
      </c>
      <c r="BP110" s="33">
        <v>0.6</v>
      </c>
      <c r="BQ110" s="33">
        <v>29</v>
      </c>
      <c r="BR110" s="33">
        <v>30.2</v>
      </c>
      <c r="BS110" s="33">
        <v>5.3</v>
      </c>
      <c r="BT110" s="34">
        <f t="shared" si="27"/>
        <v>0.67002881844380402</v>
      </c>
      <c r="BU110" s="282">
        <f t="shared" si="28"/>
        <v>1007.41</v>
      </c>
      <c r="BV110" s="35">
        <f t="shared" si="29"/>
        <v>850</v>
      </c>
      <c r="BW110" s="79">
        <f t="shared" si="30"/>
        <v>64.984939759036152</v>
      </c>
      <c r="BX110" s="69">
        <f t="shared" si="33"/>
        <v>0.67002881844380402</v>
      </c>
      <c r="BY110" s="34">
        <v>7.08</v>
      </c>
      <c r="BZ110" s="34">
        <v>0</v>
      </c>
      <c r="CA110" s="34">
        <v>9.93</v>
      </c>
      <c r="CB110" s="34">
        <v>0</v>
      </c>
      <c r="CC110" s="34">
        <v>15.7225</v>
      </c>
      <c r="CD110" s="34">
        <v>0.82750000000000012</v>
      </c>
      <c r="CE110" s="34">
        <v>0</v>
      </c>
      <c r="CF110" s="34">
        <v>4.82</v>
      </c>
      <c r="CG110" s="34">
        <v>0</v>
      </c>
      <c r="CH110" s="34">
        <v>0</v>
      </c>
      <c r="CI110" s="34">
        <v>0</v>
      </c>
      <c r="CJ110" s="34">
        <v>0</v>
      </c>
      <c r="CK110" s="34">
        <v>14.49</v>
      </c>
      <c r="CL110" s="34">
        <v>0</v>
      </c>
      <c r="CM110" s="34">
        <v>11.24</v>
      </c>
      <c r="CN110" s="34">
        <v>32.29</v>
      </c>
      <c r="CO110" s="34">
        <v>0</v>
      </c>
      <c r="CP110" s="34">
        <v>2.99</v>
      </c>
      <c r="CQ110" s="34">
        <v>0</v>
      </c>
      <c r="CR110" s="34">
        <v>0</v>
      </c>
      <c r="CS110" s="34">
        <v>0.61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282">
        <v>100</v>
      </c>
      <c r="CZ110" s="286">
        <v>0.10686612139474819</v>
      </c>
      <c r="DA110" s="286">
        <v>0</v>
      </c>
      <c r="DB110" s="286">
        <v>0.1692046922083513</v>
      </c>
      <c r="DC110" s="286">
        <v>8.9055101162290162E-3</v>
      </c>
      <c r="DD110" s="286">
        <v>0</v>
      </c>
      <c r="DE110" s="286">
        <v>5.1872578562204057E-2</v>
      </c>
      <c r="DF110" s="286">
        <v>0</v>
      </c>
      <c r="DG110" s="286">
        <v>0</v>
      </c>
      <c r="DH110" s="286">
        <v>0</v>
      </c>
      <c r="DI110" s="286">
        <v>0</v>
      </c>
      <c r="DJ110" s="286">
        <v>0.15594059405940597</v>
      </c>
      <c r="DK110" s="286">
        <v>0</v>
      </c>
      <c r="DL110" s="286">
        <v>0.12096427034007751</v>
      </c>
      <c r="DM110" s="286">
        <v>0.34750322858372795</v>
      </c>
      <c r="DN110" s="286">
        <v>0</v>
      </c>
      <c r="DO110" s="286">
        <v>3.2178217821782186E-2</v>
      </c>
      <c r="DP110" s="286">
        <v>0</v>
      </c>
      <c r="DQ110" s="286">
        <v>0</v>
      </c>
      <c r="DR110" s="286">
        <v>6.5647869134739566E-3</v>
      </c>
      <c r="DS110" s="286">
        <v>0</v>
      </c>
      <c r="DT110" s="286">
        <v>0</v>
      </c>
      <c r="DU110" s="286">
        <v>0</v>
      </c>
      <c r="DV110" s="286">
        <v>0</v>
      </c>
      <c r="DW110" s="286">
        <v>0</v>
      </c>
      <c r="DX110" s="34">
        <v>1.0000000000000002</v>
      </c>
      <c r="DY110" s="79">
        <v>55.64235915885439</v>
      </c>
      <c r="DZ110" s="79">
        <v>25.97090131723812</v>
      </c>
      <c r="EA110" s="79">
        <v>0.7130425351267401</v>
      </c>
      <c r="EB110" s="79">
        <v>3.2635678030206416</v>
      </c>
      <c r="EC110" s="79">
        <v>0</v>
      </c>
      <c r="ED110" s="79">
        <v>1.5044778865237352</v>
      </c>
      <c r="EE110" s="79">
        <v>0.99320071165344226</v>
      </c>
      <c r="EF110" s="79">
        <v>2.0004018660728673</v>
      </c>
      <c r="EG110" s="79">
        <v>4.6213578705290308</v>
      </c>
      <c r="EH110" s="79">
        <v>0.18629763707822028</v>
      </c>
      <c r="EI110" s="79">
        <v>0</v>
      </c>
      <c r="EJ110" s="79">
        <v>5.104393213902819</v>
      </c>
      <c r="EK110" s="79">
        <v>0</v>
      </c>
      <c r="EL110" s="79">
        <v>100.00000000000003</v>
      </c>
      <c r="EM110" s="34">
        <v>77.326886826887844</v>
      </c>
      <c r="EN110" s="34" t="s">
        <v>175</v>
      </c>
      <c r="EO110" s="290">
        <v>4.2703314404192394E-2</v>
      </c>
      <c r="EP110" s="257">
        <f t="shared" si="34"/>
        <v>4.2703314404192394</v>
      </c>
      <c r="EQ110" s="257">
        <f t="shared" si="35"/>
        <v>20.195121951219512</v>
      </c>
      <c r="ER110" s="324">
        <f t="shared" si="36"/>
        <v>2.83275924117012E-2</v>
      </c>
      <c r="ES110" s="257">
        <f t="shared" si="31"/>
        <v>0.67002881844380402</v>
      </c>
      <c r="ET110">
        <f t="shared" si="32"/>
        <v>850</v>
      </c>
      <c r="EU110" s="324">
        <f t="shared" si="37"/>
        <v>4.2278170180044372E-2</v>
      </c>
      <c r="EV110" s="39">
        <f t="shared" si="38"/>
        <v>157.9</v>
      </c>
      <c r="EX110">
        <f t="shared" si="39"/>
        <v>25.882352941176471</v>
      </c>
    </row>
    <row r="111" spans="1:160" ht="13" customHeight="1" x14ac:dyDescent="0.2">
      <c r="A111" s="30" t="s">
        <v>176</v>
      </c>
      <c r="B111" s="31" t="s">
        <v>461</v>
      </c>
      <c r="C111" s="86">
        <f t="shared" si="43"/>
        <v>156.9</v>
      </c>
      <c r="D111" s="32">
        <v>900</v>
      </c>
      <c r="E111" s="32">
        <v>1000</v>
      </c>
      <c r="F111" s="33">
        <f t="shared" si="26"/>
        <v>950</v>
      </c>
      <c r="G111" s="31" t="s">
        <v>509</v>
      </c>
      <c r="H111" s="84">
        <v>10</v>
      </c>
      <c r="I111" s="85">
        <v>4</v>
      </c>
      <c r="J111" s="85">
        <v>3</v>
      </c>
      <c r="K111" s="89">
        <f t="shared" si="42"/>
        <v>13.333333333333334</v>
      </c>
      <c r="L111" s="33">
        <v>115</v>
      </c>
      <c r="M111" s="33">
        <v>92</v>
      </c>
      <c r="N111" s="33">
        <v>64</v>
      </c>
      <c r="O111" s="33">
        <v>52.63</v>
      </c>
      <c r="P111" s="33">
        <v>16.98</v>
      </c>
      <c r="Q111" s="33">
        <v>8.56</v>
      </c>
      <c r="R111" s="33">
        <v>0.13400000000000001</v>
      </c>
      <c r="S111" s="33">
        <v>3.02</v>
      </c>
      <c r="T111" s="33">
        <v>3.62</v>
      </c>
      <c r="U111" s="33">
        <v>3.22</v>
      </c>
      <c r="V111" s="33">
        <v>4.13</v>
      </c>
      <c r="W111" s="33">
        <v>1.954</v>
      </c>
      <c r="X111" s="33">
        <v>1.26</v>
      </c>
      <c r="Y111" s="33">
        <v>3.38</v>
      </c>
      <c r="Z111" s="33">
        <v>98.9</v>
      </c>
      <c r="AA111" s="33">
        <v>10</v>
      </c>
      <c r="AB111" s="33">
        <v>3</v>
      </c>
      <c r="AC111" s="33">
        <v>159</v>
      </c>
      <c r="AD111" s="33">
        <v>30</v>
      </c>
      <c r="AE111" s="33">
        <v>13</v>
      </c>
      <c r="AF111" s="33">
        <v>0</v>
      </c>
      <c r="AG111" s="33">
        <v>40</v>
      </c>
      <c r="AH111" s="33">
        <v>130</v>
      </c>
      <c r="AI111" s="33">
        <v>20</v>
      </c>
      <c r="AJ111" s="33">
        <v>1</v>
      </c>
      <c r="AK111" s="33">
        <v>0</v>
      </c>
      <c r="AL111" s="33">
        <v>141</v>
      </c>
      <c r="AM111" s="33">
        <v>1319</v>
      </c>
      <c r="AN111" s="33">
        <v>39</v>
      </c>
      <c r="AO111" s="33">
        <v>136</v>
      </c>
      <c r="AP111" s="33">
        <v>26</v>
      </c>
      <c r="AQ111" s="33">
        <v>2</v>
      </c>
      <c r="AR111" s="33">
        <v>0.5</v>
      </c>
      <c r="AS111" s="33" t="s">
        <v>73</v>
      </c>
      <c r="AT111" s="33">
        <v>2</v>
      </c>
      <c r="AU111" s="33" t="s">
        <v>74</v>
      </c>
      <c r="AV111" s="33">
        <v>2.6</v>
      </c>
      <c r="AW111" s="33">
        <v>1724</v>
      </c>
      <c r="AX111" s="33" t="s">
        <v>75</v>
      </c>
      <c r="AY111" s="33">
        <v>237</v>
      </c>
      <c r="AZ111" s="33">
        <v>488</v>
      </c>
      <c r="BA111" s="33">
        <v>56.3</v>
      </c>
      <c r="BB111" s="33">
        <v>198</v>
      </c>
      <c r="BC111" s="33">
        <v>28</v>
      </c>
      <c r="BD111" s="33">
        <v>5.64</v>
      </c>
      <c r="BE111" s="33">
        <v>15.2</v>
      </c>
      <c r="BF111" s="33">
        <v>1.8</v>
      </c>
      <c r="BG111" s="33">
        <v>8.6999999999999993</v>
      </c>
      <c r="BH111" s="33">
        <v>1.5</v>
      </c>
      <c r="BI111" s="33">
        <v>4</v>
      </c>
      <c r="BJ111" s="33">
        <v>0.53</v>
      </c>
      <c r="BK111" s="33">
        <v>3</v>
      </c>
      <c r="BL111" s="33">
        <v>0.44</v>
      </c>
      <c r="BM111" s="33">
        <v>3.7</v>
      </c>
      <c r="BN111" s="33">
        <v>1.6</v>
      </c>
      <c r="BO111" s="33">
        <v>2</v>
      </c>
      <c r="BP111" s="33">
        <v>0.5</v>
      </c>
      <c r="BQ111" s="33">
        <v>26</v>
      </c>
      <c r="BR111" s="33">
        <v>26.3</v>
      </c>
      <c r="BS111" s="33">
        <v>3.6</v>
      </c>
      <c r="BT111" s="34">
        <f t="shared" si="27"/>
        <v>0.6731034482758621</v>
      </c>
      <c r="BU111" s="282">
        <f t="shared" si="28"/>
        <v>1048.1099999999999</v>
      </c>
      <c r="BV111" s="35">
        <f t="shared" si="29"/>
        <v>950</v>
      </c>
      <c r="BW111" s="79">
        <f t="shared" si="30"/>
        <v>60.751341681574239</v>
      </c>
      <c r="BX111" s="69">
        <f t="shared" si="33"/>
        <v>0.6731034482758621</v>
      </c>
      <c r="BY111" s="34">
        <v>7.5</v>
      </c>
      <c r="BZ111" s="34">
        <v>0</v>
      </c>
      <c r="CA111" s="34">
        <v>7.57</v>
      </c>
      <c r="CB111" s="34">
        <v>0</v>
      </c>
      <c r="CC111" s="34">
        <v>22.020999999999997</v>
      </c>
      <c r="CD111" s="34">
        <v>1.159</v>
      </c>
      <c r="CE111" s="34">
        <v>0</v>
      </c>
      <c r="CF111" s="34">
        <v>3.88</v>
      </c>
      <c r="CG111" s="34">
        <v>0</v>
      </c>
      <c r="CH111" s="34">
        <v>0</v>
      </c>
      <c r="CI111" s="34">
        <v>0</v>
      </c>
      <c r="CJ111" s="34">
        <v>0</v>
      </c>
      <c r="CK111" s="34">
        <v>14.39</v>
      </c>
      <c r="CL111" s="34">
        <v>0</v>
      </c>
      <c r="CM111" s="34">
        <v>14.95</v>
      </c>
      <c r="CN111" s="34">
        <v>24.97</v>
      </c>
      <c r="CO111" s="34">
        <v>0</v>
      </c>
      <c r="CP111" s="34">
        <v>2.97</v>
      </c>
      <c r="CQ111" s="34">
        <v>0</v>
      </c>
      <c r="CR111" s="34">
        <v>0</v>
      </c>
      <c r="CS111" s="34">
        <v>0.6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282">
        <v>100.00999999999999</v>
      </c>
      <c r="CZ111" s="286">
        <v>8.1828991460382666E-2</v>
      </c>
      <c r="DA111" s="286">
        <v>0</v>
      </c>
      <c r="DB111" s="286">
        <v>0.23803913090476705</v>
      </c>
      <c r="DC111" s="286">
        <v>1.2528375310777214E-2</v>
      </c>
      <c r="DD111" s="286">
        <v>0</v>
      </c>
      <c r="DE111" s="286">
        <v>4.1941411739271434E-2</v>
      </c>
      <c r="DF111" s="286">
        <v>0</v>
      </c>
      <c r="DG111" s="286">
        <v>0</v>
      </c>
      <c r="DH111" s="286">
        <v>0</v>
      </c>
      <c r="DI111" s="286">
        <v>0</v>
      </c>
      <c r="DJ111" s="286">
        <v>0.15555075127013299</v>
      </c>
      <c r="DK111" s="286">
        <v>0</v>
      </c>
      <c r="DL111" s="286">
        <v>0.16160415090260513</v>
      </c>
      <c r="DM111" s="286">
        <v>0.26991676575505352</v>
      </c>
      <c r="DN111" s="286">
        <v>0</v>
      </c>
      <c r="DO111" s="286">
        <v>3.210463733650417E-2</v>
      </c>
      <c r="DP111" s="286">
        <v>0</v>
      </c>
      <c r="DQ111" s="286">
        <v>0</v>
      </c>
      <c r="DR111" s="286">
        <v>6.4857853205058918E-3</v>
      </c>
      <c r="DS111" s="286">
        <v>0</v>
      </c>
      <c r="DT111" s="286">
        <v>0</v>
      </c>
      <c r="DU111" s="286">
        <v>0</v>
      </c>
      <c r="DV111" s="286">
        <v>0</v>
      </c>
      <c r="DW111" s="286">
        <v>0</v>
      </c>
      <c r="DX111" s="34">
        <v>1</v>
      </c>
      <c r="DY111" s="79">
        <v>55.492510241504625</v>
      </c>
      <c r="DZ111" s="79">
        <v>26.639684781680611</v>
      </c>
      <c r="EA111" s="79">
        <v>0.87140597372052397</v>
      </c>
      <c r="EB111" s="79">
        <v>2.5958612819439955</v>
      </c>
      <c r="EC111" s="79">
        <v>0</v>
      </c>
      <c r="ED111" s="79">
        <v>1.3136039533768598</v>
      </c>
      <c r="EE111" s="79">
        <v>0.96888252522478269</v>
      </c>
      <c r="EF111" s="79">
        <v>2.8141886341657689</v>
      </c>
      <c r="EG111" s="79">
        <v>3.9621834077766449</v>
      </c>
      <c r="EH111" s="79">
        <v>0.14470327620523457</v>
      </c>
      <c r="EI111" s="79">
        <v>0</v>
      </c>
      <c r="EJ111" s="79">
        <v>5.1969759244009701</v>
      </c>
      <c r="EK111" s="79">
        <v>0</v>
      </c>
      <c r="EL111" s="79">
        <v>100.00000000000003</v>
      </c>
      <c r="EM111" s="34">
        <v>77.474863373790626</v>
      </c>
      <c r="EN111" s="34" t="s">
        <v>176</v>
      </c>
      <c r="EO111" s="290">
        <v>3.7008947710394792E-2</v>
      </c>
      <c r="EP111" s="257">
        <f t="shared" si="34"/>
        <v>3.7008947710394793</v>
      </c>
      <c r="EQ111" s="257">
        <f t="shared" si="35"/>
        <v>20.560080011430205</v>
      </c>
      <c r="ER111" s="324">
        <f t="shared" si="36"/>
        <v>2.7695934001178552E-2</v>
      </c>
      <c r="ES111" s="257">
        <f t="shared" si="31"/>
        <v>0.6731034482758621</v>
      </c>
      <c r="ET111">
        <f t="shared" si="32"/>
        <v>950</v>
      </c>
      <c r="EU111" s="324">
        <f t="shared" si="37"/>
        <v>4.114662325994764E-2</v>
      </c>
      <c r="EV111" s="39">
        <f t="shared" si="38"/>
        <v>156.9</v>
      </c>
      <c r="EX111">
        <f t="shared" si="39"/>
        <v>26</v>
      </c>
    </row>
    <row r="112" spans="1:160" ht="13" customHeight="1" x14ac:dyDescent="0.2">
      <c r="A112" s="30" t="s">
        <v>479</v>
      </c>
      <c r="B112" s="31" t="s">
        <v>462</v>
      </c>
      <c r="C112" s="86">
        <f>159.9-F112/100</f>
        <v>159.80000000000001</v>
      </c>
      <c r="D112" s="35">
        <v>0</v>
      </c>
      <c r="E112" s="35">
        <v>20</v>
      </c>
      <c r="F112" s="33">
        <f t="shared" si="26"/>
        <v>10</v>
      </c>
      <c r="G112" s="31" t="s">
        <v>509</v>
      </c>
      <c r="H112" s="84">
        <v>10</v>
      </c>
      <c r="I112" s="85">
        <v>4</v>
      </c>
      <c r="J112" s="85">
        <v>3</v>
      </c>
      <c r="K112" s="89">
        <f t="shared" si="42"/>
        <v>13.333333333333334</v>
      </c>
      <c r="L112" s="33">
        <v>115</v>
      </c>
      <c r="M112" s="33">
        <v>92</v>
      </c>
      <c r="N112" s="33">
        <v>64</v>
      </c>
      <c r="O112" s="33">
        <v>76.150000000000006</v>
      </c>
      <c r="P112" s="33">
        <v>9.09</v>
      </c>
      <c r="Q112" s="33">
        <v>3.35</v>
      </c>
      <c r="R112" s="33">
        <v>6.5000000000000002E-2</v>
      </c>
      <c r="S112" s="33">
        <v>0.78</v>
      </c>
      <c r="T112" s="33">
        <v>0.96</v>
      </c>
      <c r="U112" s="33">
        <v>1.43</v>
      </c>
      <c r="V112" s="33">
        <v>1.44</v>
      </c>
      <c r="W112" s="33">
        <v>0.51700000000000002</v>
      </c>
      <c r="X112" s="33">
        <v>0.03</v>
      </c>
      <c r="Y112" s="33">
        <v>5.38</v>
      </c>
      <c r="Z112" s="33">
        <v>99.18</v>
      </c>
      <c r="AA112" s="33">
        <v>6</v>
      </c>
      <c r="AB112" s="33">
        <v>0</v>
      </c>
      <c r="AC112" s="33">
        <v>55</v>
      </c>
      <c r="AD112" s="33">
        <v>0</v>
      </c>
      <c r="AE112" s="33">
        <v>6</v>
      </c>
      <c r="AF112" s="33">
        <v>0</v>
      </c>
      <c r="AG112" s="33">
        <v>10</v>
      </c>
      <c r="AH112" s="33">
        <v>30</v>
      </c>
      <c r="AI112" s="33">
        <v>10</v>
      </c>
      <c r="AJ112" s="33">
        <v>0</v>
      </c>
      <c r="AK112" s="33">
        <v>0</v>
      </c>
      <c r="AL112" s="33">
        <v>49</v>
      </c>
      <c r="AM112" s="33">
        <v>187</v>
      </c>
      <c r="AN112" s="33">
        <v>3</v>
      </c>
      <c r="AO112" s="33">
        <v>256</v>
      </c>
      <c r="AP112" s="33">
        <v>7</v>
      </c>
      <c r="AQ112" s="33" t="s">
        <v>72</v>
      </c>
      <c r="AR112" s="33">
        <v>0.6</v>
      </c>
      <c r="AS112" s="33" t="s">
        <v>73</v>
      </c>
      <c r="AT112" s="33">
        <v>0</v>
      </c>
      <c r="AU112" s="33" t="s">
        <v>74</v>
      </c>
      <c r="AV112" s="33">
        <v>1.1000000000000001</v>
      </c>
      <c r="AW112" s="33">
        <v>628</v>
      </c>
      <c r="AX112" s="33" t="s">
        <v>75</v>
      </c>
      <c r="AY112" s="33">
        <v>6</v>
      </c>
      <c r="AZ112" s="33">
        <v>12.7</v>
      </c>
      <c r="BA112" s="33">
        <v>1.49</v>
      </c>
      <c r="BB112" s="33">
        <v>6</v>
      </c>
      <c r="BC112" s="33">
        <v>1.1000000000000001</v>
      </c>
      <c r="BD112" s="33">
        <v>0.3</v>
      </c>
      <c r="BE112" s="33">
        <v>0.8</v>
      </c>
      <c r="BF112" s="33">
        <v>0.1</v>
      </c>
      <c r="BG112" s="33">
        <v>0.6</v>
      </c>
      <c r="BH112" s="33">
        <v>0.1</v>
      </c>
      <c r="BI112" s="33">
        <v>0.4</v>
      </c>
      <c r="BJ112" s="33">
        <v>7.0000000000000007E-2</v>
      </c>
      <c r="BK112" s="33">
        <v>0.6</v>
      </c>
      <c r="BL112" s="33">
        <v>0.1</v>
      </c>
      <c r="BM112" s="33">
        <v>7.6</v>
      </c>
      <c r="BN112" s="33">
        <v>0.5</v>
      </c>
      <c r="BO112" s="33">
        <v>0</v>
      </c>
      <c r="BP112" s="33">
        <v>0.4</v>
      </c>
      <c r="BQ112" s="33">
        <v>17</v>
      </c>
      <c r="BR112" s="33">
        <v>2.8</v>
      </c>
      <c r="BS112" s="33">
        <v>1.2</v>
      </c>
      <c r="BT112" s="34">
        <f t="shared" si="27"/>
        <v>0.67914438502673791</v>
      </c>
      <c r="BU112" s="282">
        <f t="shared" si="28"/>
        <v>30.360000000000007</v>
      </c>
      <c r="BV112" s="35">
        <f t="shared" si="29"/>
        <v>10</v>
      </c>
      <c r="BW112" s="79">
        <f t="shared" si="30"/>
        <v>70.356037151702793</v>
      </c>
      <c r="BX112" s="69">
        <f t="shared" si="33"/>
        <v>0.67914438502673791</v>
      </c>
      <c r="BY112" s="34">
        <v>8.34</v>
      </c>
      <c r="BZ112" s="34">
        <v>1.69</v>
      </c>
      <c r="CA112" s="34">
        <v>50.1</v>
      </c>
      <c r="CB112" s="34">
        <v>0</v>
      </c>
      <c r="CC112" s="34">
        <v>8.58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16.07</v>
      </c>
      <c r="CM112" s="34">
        <v>0</v>
      </c>
      <c r="CN112" s="34">
        <v>9.41</v>
      </c>
      <c r="CO112" s="34">
        <v>0</v>
      </c>
      <c r="CP112" s="34">
        <v>1.35</v>
      </c>
      <c r="CQ112" s="34">
        <v>0</v>
      </c>
      <c r="CR112" s="34">
        <v>0</v>
      </c>
      <c r="CS112" s="34">
        <v>4.47</v>
      </c>
      <c r="CT112" s="34">
        <v>0</v>
      </c>
      <c r="CU112" s="34">
        <v>0</v>
      </c>
      <c r="CV112" s="34">
        <v>0</v>
      </c>
      <c r="CW112" s="34">
        <v>0</v>
      </c>
      <c r="CX112" s="34">
        <v>0</v>
      </c>
      <c r="CY112" s="282">
        <v>100.00999999999999</v>
      </c>
      <c r="CZ112" s="286">
        <v>0.55679039786619255</v>
      </c>
      <c r="DA112" s="286">
        <v>0</v>
      </c>
      <c r="DB112" s="286">
        <v>9.5354523227383872E-2</v>
      </c>
      <c r="DC112" s="286">
        <v>0</v>
      </c>
      <c r="DD112" s="286">
        <v>0</v>
      </c>
      <c r="DE112" s="286">
        <v>0</v>
      </c>
      <c r="DF112" s="286">
        <v>0</v>
      </c>
      <c r="DG112" s="286">
        <v>0</v>
      </c>
      <c r="DH112" s="286">
        <v>0</v>
      </c>
      <c r="DI112" s="286">
        <v>0</v>
      </c>
      <c r="DJ112" s="286">
        <v>0</v>
      </c>
      <c r="DK112" s="286">
        <v>0.17859524338741944</v>
      </c>
      <c r="DL112" s="286">
        <v>0</v>
      </c>
      <c r="DM112" s="286">
        <v>0.10457879528784175</v>
      </c>
      <c r="DN112" s="286">
        <v>0</v>
      </c>
      <c r="DO112" s="286">
        <v>1.5003334074238723E-2</v>
      </c>
      <c r="DP112" s="286">
        <v>0</v>
      </c>
      <c r="DQ112" s="286">
        <v>0</v>
      </c>
      <c r="DR112" s="286">
        <v>4.9677706156923761E-2</v>
      </c>
      <c r="DS112" s="286">
        <v>0</v>
      </c>
      <c r="DT112" s="286">
        <v>0</v>
      </c>
      <c r="DU112" s="286">
        <v>0</v>
      </c>
      <c r="DV112" s="286">
        <v>0</v>
      </c>
      <c r="DW112" s="286">
        <v>0</v>
      </c>
      <c r="DX112" s="34">
        <v>1.0000000000000002</v>
      </c>
      <c r="DY112" s="79">
        <v>79.411371658628553</v>
      </c>
      <c r="DZ112" s="79">
        <v>13.324462677171791</v>
      </c>
      <c r="EA112" s="79">
        <v>0</v>
      </c>
      <c r="EB112" s="79">
        <v>0.7314154581110538</v>
      </c>
      <c r="EC112" s="79">
        <v>0</v>
      </c>
      <c r="ED112" s="79">
        <v>0.25407410483968729</v>
      </c>
      <c r="EE112" s="79">
        <v>0</v>
      </c>
      <c r="EF112" s="79">
        <v>1.1273172375602281</v>
      </c>
      <c r="EG112" s="79">
        <v>2.1164296062957102</v>
      </c>
      <c r="EH112" s="79">
        <v>5.6065040114922637E-2</v>
      </c>
      <c r="EI112" s="79">
        <v>0</v>
      </c>
      <c r="EJ112" s="79">
        <v>2.9788642172780522</v>
      </c>
      <c r="EK112" s="79">
        <v>0</v>
      </c>
      <c r="EL112" s="79">
        <v>100</v>
      </c>
      <c r="EM112" s="34">
        <v>80.421862484663166</v>
      </c>
      <c r="EN112" s="34" t="s">
        <v>479</v>
      </c>
      <c r="EO112" s="290">
        <v>7.9724284934104862E-3</v>
      </c>
      <c r="EP112" s="257">
        <f t="shared" si="34"/>
        <v>0.79724284934104861</v>
      </c>
      <c r="EQ112" s="257">
        <f t="shared" si="35"/>
        <v>40.295887662988967</v>
      </c>
      <c r="ER112" s="324">
        <f t="shared" si="36"/>
        <v>4.7619047619047616E-2</v>
      </c>
      <c r="ES112" s="257">
        <f t="shared" si="31"/>
        <v>0.67914438502673791</v>
      </c>
      <c r="ET112">
        <f t="shared" si="32"/>
        <v>10</v>
      </c>
      <c r="EU112" s="324">
        <f t="shared" si="37"/>
        <v>7.0116235470566182E-2</v>
      </c>
      <c r="EV112" s="39">
        <f t="shared" si="38"/>
        <v>159.80000000000001</v>
      </c>
      <c r="EX112">
        <f t="shared" si="39"/>
        <v>30</v>
      </c>
    </row>
    <row r="113" spans="1:160" ht="13" customHeight="1" x14ac:dyDescent="0.2">
      <c r="A113" s="30" t="s">
        <v>480</v>
      </c>
      <c r="B113" s="31" t="s">
        <v>462</v>
      </c>
      <c r="C113" s="86">
        <f t="shared" ref="C113:C123" si="44">159.9-F113/100</f>
        <v>159.625</v>
      </c>
      <c r="D113" s="32">
        <v>20</v>
      </c>
      <c r="E113" s="32">
        <v>35</v>
      </c>
      <c r="F113" s="33">
        <f t="shared" si="26"/>
        <v>27.5</v>
      </c>
      <c r="G113" s="31" t="s">
        <v>506</v>
      </c>
      <c r="H113" s="84">
        <v>5</v>
      </c>
      <c r="I113" s="85">
        <v>4</v>
      </c>
      <c r="J113" s="85">
        <v>6</v>
      </c>
      <c r="K113" s="89">
        <f t="shared" si="42"/>
        <v>3.3333333333333335</v>
      </c>
      <c r="L113" s="33">
        <v>136</v>
      </c>
      <c r="M113" s="33">
        <v>83</v>
      </c>
      <c r="N113" s="33">
        <v>47</v>
      </c>
      <c r="O113" s="33">
        <v>77.87</v>
      </c>
      <c r="P113" s="33">
        <v>8.94</v>
      </c>
      <c r="Q113" s="33">
        <v>4.12</v>
      </c>
      <c r="R113" s="33">
        <v>5.1999999999999998E-2</v>
      </c>
      <c r="S113" s="33">
        <v>0.56000000000000005</v>
      </c>
      <c r="T113" s="33">
        <v>0.86</v>
      </c>
      <c r="U113" s="33">
        <v>1.38</v>
      </c>
      <c r="V113" s="33">
        <v>1.54</v>
      </c>
      <c r="W113" s="33">
        <v>0.56499999999999995</v>
      </c>
      <c r="X113" s="33">
        <v>0</v>
      </c>
      <c r="Y113" s="33">
        <v>2.75</v>
      </c>
      <c r="Z113" s="33">
        <v>98.63</v>
      </c>
      <c r="AA113" s="33">
        <v>6</v>
      </c>
      <c r="AB113" s="33">
        <v>0</v>
      </c>
      <c r="AC113" s="33">
        <v>64</v>
      </c>
      <c r="AD113" s="33">
        <v>0</v>
      </c>
      <c r="AE113" s="33">
        <v>6</v>
      </c>
      <c r="AF113" s="33">
        <v>0</v>
      </c>
      <c r="AG113" s="33">
        <v>0</v>
      </c>
      <c r="AH113" s="33">
        <v>30</v>
      </c>
      <c r="AI113" s="33">
        <v>10</v>
      </c>
      <c r="AJ113" s="33">
        <v>1</v>
      </c>
      <c r="AK113" s="33">
        <v>0</v>
      </c>
      <c r="AL113" s="33">
        <v>46</v>
      </c>
      <c r="AM113" s="33">
        <v>185</v>
      </c>
      <c r="AN113" s="33">
        <v>4</v>
      </c>
      <c r="AO113" s="33">
        <v>380</v>
      </c>
      <c r="AP113" s="33">
        <v>8</v>
      </c>
      <c r="AQ113" s="33" t="s">
        <v>72</v>
      </c>
      <c r="AR113" s="33">
        <v>1</v>
      </c>
      <c r="AS113" s="33" t="s">
        <v>73</v>
      </c>
      <c r="AT113" s="33">
        <v>0</v>
      </c>
      <c r="AU113" s="33" t="s">
        <v>74</v>
      </c>
      <c r="AV113" s="33">
        <v>1</v>
      </c>
      <c r="AW113" s="33">
        <v>712</v>
      </c>
      <c r="AX113" s="33" t="s">
        <v>75</v>
      </c>
      <c r="AY113" s="33">
        <v>8.5</v>
      </c>
      <c r="AZ113" s="33">
        <v>18.5</v>
      </c>
      <c r="BA113" s="33">
        <v>1.92</v>
      </c>
      <c r="BB113" s="33">
        <v>6.9</v>
      </c>
      <c r="BC113" s="33">
        <v>1.3</v>
      </c>
      <c r="BD113" s="33">
        <v>0.35</v>
      </c>
      <c r="BE113" s="33">
        <v>0.9</v>
      </c>
      <c r="BF113" s="33">
        <v>0.1</v>
      </c>
      <c r="BG113" s="33">
        <v>0.9</v>
      </c>
      <c r="BH113" s="33">
        <v>0.2</v>
      </c>
      <c r="BI113" s="33">
        <v>0.5</v>
      </c>
      <c r="BJ113" s="33">
        <v>0.1</v>
      </c>
      <c r="BK113" s="33">
        <v>0.8</v>
      </c>
      <c r="BL113" s="33">
        <v>0.13</v>
      </c>
      <c r="BM113" s="33">
        <v>10.5</v>
      </c>
      <c r="BN113" s="33">
        <v>0.5</v>
      </c>
      <c r="BO113" s="33">
        <v>0</v>
      </c>
      <c r="BP113" s="33">
        <v>0.3</v>
      </c>
      <c r="BQ113" s="33">
        <v>13</v>
      </c>
      <c r="BR113" s="33">
        <v>3.7</v>
      </c>
      <c r="BS113" s="33">
        <v>1.6</v>
      </c>
      <c r="BT113" s="34">
        <f t="shared" si="27"/>
        <v>0.68518518518518523</v>
      </c>
      <c r="BU113" s="282">
        <f t="shared" si="28"/>
        <v>41.1</v>
      </c>
      <c r="BV113" s="35">
        <f t="shared" si="29"/>
        <v>27.5</v>
      </c>
      <c r="BW113" s="79">
        <f t="shared" si="30"/>
        <v>70.28301886792454</v>
      </c>
      <c r="BX113" s="69">
        <f t="shared" si="33"/>
        <v>0.68518518518518523</v>
      </c>
      <c r="BY113" s="34">
        <v>8.58</v>
      </c>
      <c r="BZ113" s="34">
        <v>0.96</v>
      </c>
      <c r="CA113" s="34">
        <v>35.15</v>
      </c>
      <c r="CB113" s="34">
        <v>0</v>
      </c>
      <c r="CC113" s="34">
        <v>6.3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14.81</v>
      </c>
      <c r="CL113" s="34">
        <v>14.95</v>
      </c>
      <c r="CM113" s="34">
        <v>0</v>
      </c>
      <c r="CN113" s="34">
        <v>13.05</v>
      </c>
      <c r="CO113" s="34">
        <v>0</v>
      </c>
      <c r="CP113" s="34">
        <v>2.17</v>
      </c>
      <c r="CQ113" s="34">
        <v>0</v>
      </c>
      <c r="CR113" s="34">
        <v>0</v>
      </c>
      <c r="CS113" s="34">
        <v>4.03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282">
        <v>100</v>
      </c>
      <c r="CZ113" s="286">
        <v>0.38856953349546763</v>
      </c>
      <c r="DA113" s="286">
        <v>0</v>
      </c>
      <c r="DB113" s="286">
        <v>6.9644041565332743E-2</v>
      </c>
      <c r="DC113" s="286">
        <v>0</v>
      </c>
      <c r="DD113" s="286">
        <v>0</v>
      </c>
      <c r="DE113" s="286">
        <v>0</v>
      </c>
      <c r="DF113" s="286">
        <v>0</v>
      </c>
      <c r="DG113" s="286">
        <v>0</v>
      </c>
      <c r="DH113" s="286">
        <v>0</v>
      </c>
      <c r="DI113" s="286">
        <v>0</v>
      </c>
      <c r="DJ113" s="286">
        <v>0.16371877072739335</v>
      </c>
      <c r="DK113" s="286">
        <v>0.16526641609551182</v>
      </c>
      <c r="DL113" s="286">
        <v>0</v>
      </c>
      <c r="DM113" s="286">
        <v>0.14426265752818929</v>
      </c>
      <c r="DN113" s="286">
        <v>0</v>
      </c>
      <c r="DO113" s="286">
        <v>2.3988503205836835E-2</v>
      </c>
      <c r="DP113" s="286">
        <v>0</v>
      </c>
      <c r="DQ113" s="286">
        <v>0</v>
      </c>
      <c r="DR113" s="286">
        <v>4.4550077382268412E-2</v>
      </c>
      <c r="DS113" s="286">
        <v>0</v>
      </c>
      <c r="DT113" s="286">
        <v>0</v>
      </c>
      <c r="DU113" s="286">
        <v>0</v>
      </c>
      <c r="DV113" s="286">
        <v>0</v>
      </c>
      <c r="DW113" s="286">
        <v>0</v>
      </c>
      <c r="DX113" s="34">
        <v>1</v>
      </c>
      <c r="DY113" s="79">
        <v>69.761610307438517</v>
      </c>
      <c r="DZ113" s="79">
        <v>19.887880044061955</v>
      </c>
      <c r="EA113" s="79">
        <v>0.25185552421049212</v>
      </c>
      <c r="EB113" s="79">
        <v>1.0237355876423104</v>
      </c>
      <c r="EC113" s="79">
        <v>0</v>
      </c>
      <c r="ED113" s="79">
        <v>0.35866474518176084</v>
      </c>
      <c r="EE113" s="79">
        <v>0</v>
      </c>
      <c r="EF113" s="79">
        <v>0.82335819940856125</v>
      </c>
      <c r="EG113" s="79">
        <v>2.5519321251904645</v>
      </c>
      <c r="EH113" s="79">
        <v>7.7339690700602218E-2</v>
      </c>
      <c r="EI113" s="79">
        <v>0</v>
      </c>
      <c r="EJ113" s="79">
        <v>5.2636237761653648</v>
      </c>
      <c r="EK113" s="79">
        <v>0</v>
      </c>
      <c r="EL113" s="79">
        <v>100.00000000000003</v>
      </c>
      <c r="EM113" s="34">
        <v>85.490841226241216</v>
      </c>
      <c r="EN113" s="34" t="s">
        <v>480</v>
      </c>
      <c r="EO113" s="290">
        <v>1.3677273147406107E-2</v>
      </c>
      <c r="EP113" s="257">
        <f t="shared" si="34"/>
        <v>1.3677273147406106</v>
      </c>
      <c r="EQ113" s="257">
        <f t="shared" si="35"/>
        <v>53.805821732055676</v>
      </c>
      <c r="ER113" s="324">
        <f t="shared" si="36"/>
        <v>4.8275862068965517E-2</v>
      </c>
      <c r="ES113" s="257">
        <f t="shared" si="31"/>
        <v>0.68518518518518523</v>
      </c>
      <c r="ET113">
        <f t="shared" si="32"/>
        <v>27.5</v>
      </c>
      <c r="EU113" s="324">
        <f t="shared" si="37"/>
        <v>7.0456663560111835E-2</v>
      </c>
      <c r="EV113" s="39">
        <f t="shared" si="38"/>
        <v>159.625</v>
      </c>
      <c r="EX113">
        <f t="shared" si="39"/>
        <v>20</v>
      </c>
    </row>
    <row r="114" spans="1:160" ht="13" customHeight="1" x14ac:dyDescent="0.2">
      <c r="A114" s="30" t="s">
        <v>474</v>
      </c>
      <c r="B114" s="31" t="s">
        <v>462</v>
      </c>
      <c r="C114" s="86">
        <f t="shared" si="44"/>
        <v>159.38500000000002</v>
      </c>
      <c r="D114" s="32">
        <v>35</v>
      </c>
      <c r="E114" s="32">
        <v>68</v>
      </c>
      <c r="F114" s="33">
        <f t="shared" si="26"/>
        <v>51.5</v>
      </c>
      <c r="G114" s="31" t="s">
        <v>507</v>
      </c>
      <c r="H114" s="84">
        <v>2.5</v>
      </c>
      <c r="I114" s="85">
        <v>4</v>
      </c>
      <c r="J114" s="85">
        <v>6</v>
      </c>
      <c r="K114" s="89">
        <f t="shared" si="42"/>
        <v>1.6666666666666667</v>
      </c>
      <c r="L114" s="33">
        <v>140</v>
      </c>
      <c r="M114" s="33">
        <v>81</v>
      </c>
      <c r="N114" s="33">
        <v>54</v>
      </c>
      <c r="O114" s="33">
        <v>67.319999999999993</v>
      </c>
      <c r="P114" s="33">
        <v>15.14</v>
      </c>
      <c r="Q114" s="33">
        <v>5.51</v>
      </c>
      <c r="R114" s="33">
        <v>0.06</v>
      </c>
      <c r="S114" s="33">
        <v>1.1200000000000001</v>
      </c>
      <c r="T114" s="33">
        <v>0.76</v>
      </c>
      <c r="U114" s="33">
        <v>1.29</v>
      </c>
      <c r="V114" s="33">
        <v>1.68</v>
      </c>
      <c r="W114" s="33">
        <v>0.80900000000000005</v>
      </c>
      <c r="X114" s="33">
        <v>0.01</v>
      </c>
      <c r="Y114" s="33">
        <v>5.88</v>
      </c>
      <c r="Z114" s="33">
        <v>99.58</v>
      </c>
      <c r="AA114" s="33">
        <v>12</v>
      </c>
      <c r="AB114" s="33">
        <v>1</v>
      </c>
      <c r="AC114" s="33">
        <v>89</v>
      </c>
      <c r="AD114" s="33">
        <v>0</v>
      </c>
      <c r="AE114" s="33">
        <v>10</v>
      </c>
      <c r="AF114" s="33">
        <v>0</v>
      </c>
      <c r="AG114" s="33">
        <v>20</v>
      </c>
      <c r="AH114" s="33">
        <v>60</v>
      </c>
      <c r="AI114" s="33">
        <v>18</v>
      </c>
      <c r="AJ114" s="33">
        <v>1</v>
      </c>
      <c r="AK114" s="33">
        <v>0</v>
      </c>
      <c r="AL114" s="33">
        <v>80</v>
      </c>
      <c r="AM114" s="33">
        <v>157</v>
      </c>
      <c r="AN114" s="33">
        <v>7</v>
      </c>
      <c r="AO114" s="33">
        <v>318</v>
      </c>
      <c r="AP114" s="33">
        <v>9</v>
      </c>
      <c r="AQ114" s="33" t="s">
        <v>72</v>
      </c>
      <c r="AR114" s="33">
        <v>1.1000000000000001</v>
      </c>
      <c r="AS114" s="33" t="s">
        <v>73</v>
      </c>
      <c r="AT114" s="33">
        <v>2</v>
      </c>
      <c r="AU114" s="33" t="s">
        <v>74</v>
      </c>
      <c r="AV114" s="33">
        <v>2.2000000000000002</v>
      </c>
      <c r="AW114" s="33">
        <v>691</v>
      </c>
      <c r="AX114" s="33" t="s">
        <v>75</v>
      </c>
      <c r="AY114" s="33">
        <v>14.5</v>
      </c>
      <c r="AZ114" s="33">
        <v>30.2</v>
      </c>
      <c r="BA114" s="33">
        <v>3.44</v>
      </c>
      <c r="BB114" s="33">
        <v>13</v>
      </c>
      <c r="BC114" s="33">
        <v>2.4</v>
      </c>
      <c r="BD114" s="33">
        <v>0.65</v>
      </c>
      <c r="BE114" s="33">
        <v>1.5</v>
      </c>
      <c r="BF114" s="33">
        <v>0.2</v>
      </c>
      <c r="BG114" s="33">
        <v>1.4</v>
      </c>
      <c r="BH114" s="33">
        <v>0.3</v>
      </c>
      <c r="BI114" s="33">
        <v>0.8</v>
      </c>
      <c r="BJ114" s="33">
        <v>0.13</v>
      </c>
      <c r="BK114" s="33">
        <v>1</v>
      </c>
      <c r="BL114" s="33">
        <v>0.17</v>
      </c>
      <c r="BM114" s="33">
        <v>8.1</v>
      </c>
      <c r="BN114" s="33">
        <v>0.5</v>
      </c>
      <c r="BO114" s="33">
        <v>0</v>
      </c>
      <c r="BP114" s="33">
        <v>0.5</v>
      </c>
      <c r="BQ114" s="33">
        <v>18</v>
      </c>
      <c r="BR114" s="33">
        <v>6.9</v>
      </c>
      <c r="BS114" s="33">
        <v>1.7</v>
      </c>
      <c r="BT114" s="34">
        <f t="shared" si="27"/>
        <v>0.67561521252796419</v>
      </c>
      <c r="BU114" s="282">
        <f t="shared" si="28"/>
        <v>69.69</v>
      </c>
      <c r="BV114" s="35">
        <f t="shared" si="29"/>
        <v>51.5</v>
      </c>
      <c r="BW114" s="79">
        <f t="shared" si="30"/>
        <v>80.2331743508214</v>
      </c>
      <c r="BX114" s="69">
        <f t="shared" si="33"/>
        <v>0.67561521252796419</v>
      </c>
      <c r="BY114" s="34">
        <v>9.16</v>
      </c>
      <c r="BZ114" s="34">
        <v>1.38</v>
      </c>
      <c r="CA114" s="34">
        <v>17.579999999999998</v>
      </c>
      <c r="CB114" s="34">
        <v>0</v>
      </c>
      <c r="CC114" s="34">
        <v>4.97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5.05</v>
      </c>
      <c r="CL114" s="34">
        <v>24.24</v>
      </c>
      <c r="CM114" s="34">
        <v>0.03</v>
      </c>
      <c r="CN114" s="34">
        <v>28.3</v>
      </c>
      <c r="CO114" s="34">
        <v>0</v>
      </c>
      <c r="CP114" s="34">
        <v>4.75</v>
      </c>
      <c r="CQ114" s="34">
        <v>0</v>
      </c>
      <c r="CR114" s="34">
        <v>0</v>
      </c>
      <c r="CS114" s="34">
        <v>3.54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282">
        <v>99</v>
      </c>
      <c r="CZ114" s="286">
        <v>0.1987338910241917</v>
      </c>
      <c r="DA114" s="286">
        <v>0</v>
      </c>
      <c r="DB114" s="286">
        <v>5.6183585801492193E-2</v>
      </c>
      <c r="DC114" s="286">
        <v>0</v>
      </c>
      <c r="DD114" s="286">
        <v>0</v>
      </c>
      <c r="DE114" s="286">
        <v>0</v>
      </c>
      <c r="DF114" s="286">
        <v>0</v>
      </c>
      <c r="DG114" s="286">
        <v>0</v>
      </c>
      <c r="DH114" s="286">
        <v>0</v>
      </c>
      <c r="DI114" s="286">
        <v>0</v>
      </c>
      <c r="DJ114" s="286">
        <v>5.708794935564096E-2</v>
      </c>
      <c r="DK114" s="286">
        <v>0.2740221569070766</v>
      </c>
      <c r="DL114" s="286">
        <v>3.3913633280578789E-4</v>
      </c>
      <c r="DM114" s="286">
        <v>0.31991860728012661</v>
      </c>
      <c r="DN114" s="286">
        <v>0</v>
      </c>
      <c r="DO114" s="286">
        <v>5.3696586027583086E-2</v>
      </c>
      <c r="DP114" s="286">
        <v>0</v>
      </c>
      <c r="DQ114" s="286">
        <v>0</v>
      </c>
      <c r="DR114" s="286">
        <v>4.0018087271082969E-2</v>
      </c>
      <c r="DS114" s="286">
        <v>0</v>
      </c>
      <c r="DT114" s="286">
        <v>0</v>
      </c>
      <c r="DU114" s="286">
        <v>0</v>
      </c>
      <c r="DV114" s="286">
        <v>0</v>
      </c>
      <c r="DW114" s="286">
        <v>0</v>
      </c>
      <c r="DX114" s="34">
        <v>0.99999999999999978</v>
      </c>
      <c r="DY114" s="79">
        <v>59.425462637998628</v>
      </c>
      <c r="DZ114" s="79">
        <v>25.76396963757125</v>
      </c>
      <c r="EA114" s="79">
        <v>8.9147346073945907E-2</v>
      </c>
      <c r="EB114" s="79">
        <v>2.2724896772691183</v>
      </c>
      <c r="EC114" s="79">
        <v>0</v>
      </c>
      <c r="ED114" s="79">
        <v>0.7971779171685992</v>
      </c>
      <c r="EE114" s="79">
        <v>3.1054962968021397E-4</v>
      </c>
      <c r="EF114" s="79">
        <v>0.6642236004990818</v>
      </c>
      <c r="EG114" s="79">
        <v>4.6715443349620855</v>
      </c>
      <c r="EH114" s="79">
        <v>0.17150942981608178</v>
      </c>
      <c r="EI114" s="79">
        <v>0</v>
      </c>
      <c r="EJ114" s="79">
        <v>6.1441648690115125</v>
      </c>
      <c r="EK114" s="79">
        <v>0</v>
      </c>
      <c r="EL114" s="79">
        <v>99.999999999999986</v>
      </c>
      <c r="EM114" s="34">
        <v>82.842217915404021</v>
      </c>
      <c r="EN114" s="34" t="s">
        <v>474</v>
      </c>
      <c r="EO114" s="290">
        <v>2.5661610942972854E-2</v>
      </c>
      <c r="EP114" s="257">
        <f t="shared" si="34"/>
        <v>2.5661610942972852</v>
      </c>
      <c r="EQ114" s="257">
        <f t="shared" si="35"/>
        <v>41.340860973888489</v>
      </c>
      <c r="ER114" s="324">
        <f t="shared" si="36"/>
        <v>4.7619047619047616E-2</v>
      </c>
      <c r="ES114" s="257">
        <f t="shared" si="31"/>
        <v>0.67561521252796419</v>
      </c>
      <c r="ET114">
        <f t="shared" si="32"/>
        <v>51.5</v>
      </c>
      <c r="EU114" s="324">
        <f t="shared" si="37"/>
        <v>7.0482497634815511E-2</v>
      </c>
      <c r="EV114" s="39">
        <f t="shared" si="38"/>
        <v>159.38500000000002</v>
      </c>
      <c r="EX114">
        <f t="shared" si="39"/>
        <v>23.333333333333336</v>
      </c>
    </row>
    <row r="115" spans="1:160" ht="13" customHeight="1" x14ac:dyDescent="0.2">
      <c r="A115" s="30" t="s">
        <v>475</v>
      </c>
      <c r="B115" s="31" t="s">
        <v>462</v>
      </c>
      <c r="C115" s="86">
        <f t="shared" si="44"/>
        <v>158.98000000000002</v>
      </c>
      <c r="D115" s="32">
        <v>68</v>
      </c>
      <c r="E115" s="32">
        <v>116</v>
      </c>
      <c r="F115" s="33">
        <f t="shared" si="26"/>
        <v>92</v>
      </c>
      <c r="G115" s="31" t="s">
        <v>507</v>
      </c>
      <c r="H115" s="84">
        <v>2.5</v>
      </c>
      <c r="I115" s="85">
        <v>4</v>
      </c>
      <c r="J115" s="85">
        <v>6</v>
      </c>
      <c r="K115" s="89">
        <f t="shared" si="42"/>
        <v>1.6666666666666667</v>
      </c>
      <c r="L115" s="33">
        <v>140</v>
      </c>
      <c r="M115" s="33">
        <v>81</v>
      </c>
      <c r="N115" s="33">
        <v>54</v>
      </c>
      <c r="O115" s="33">
        <v>52.78</v>
      </c>
      <c r="P115" s="33">
        <v>22.83</v>
      </c>
      <c r="Q115" s="33">
        <v>6.98</v>
      </c>
      <c r="R115" s="33">
        <v>5.0999999999999997E-2</v>
      </c>
      <c r="S115" s="33">
        <v>1.53</v>
      </c>
      <c r="T115" s="33">
        <v>0.59</v>
      </c>
      <c r="U115" s="33">
        <v>0.99</v>
      </c>
      <c r="V115" s="33">
        <v>1.7</v>
      </c>
      <c r="W115" s="33">
        <v>0.86799999999999999</v>
      </c>
      <c r="X115" s="33">
        <v>0.01</v>
      </c>
      <c r="Y115" s="33">
        <v>10.48</v>
      </c>
      <c r="Z115" s="33">
        <v>98.82</v>
      </c>
      <c r="AA115" s="33">
        <v>18</v>
      </c>
      <c r="AB115" s="33">
        <v>2</v>
      </c>
      <c r="AC115" s="33">
        <v>113</v>
      </c>
      <c r="AD115" s="33">
        <v>0</v>
      </c>
      <c r="AE115" s="33">
        <v>13</v>
      </c>
      <c r="AF115" s="33">
        <v>20</v>
      </c>
      <c r="AG115" s="33">
        <v>20</v>
      </c>
      <c r="AH115" s="33">
        <v>80</v>
      </c>
      <c r="AI115" s="33">
        <v>29</v>
      </c>
      <c r="AJ115" s="33">
        <v>2</v>
      </c>
      <c r="AK115" s="33">
        <v>0</v>
      </c>
      <c r="AL115" s="33">
        <v>100</v>
      </c>
      <c r="AM115" s="33">
        <v>131</v>
      </c>
      <c r="AN115" s="33">
        <v>5</v>
      </c>
      <c r="AO115" s="33">
        <v>154</v>
      </c>
      <c r="AP115" s="33">
        <v>10</v>
      </c>
      <c r="AQ115" s="33" t="s">
        <v>72</v>
      </c>
      <c r="AR115" s="33" t="s">
        <v>74</v>
      </c>
      <c r="AS115" s="33" t="s">
        <v>73</v>
      </c>
      <c r="AT115" s="33">
        <v>2</v>
      </c>
      <c r="AU115" s="33" t="s">
        <v>74</v>
      </c>
      <c r="AV115" s="33">
        <v>3.3</v>
      </c>
      <c r="AW115" s="33">
        <v>557</v>
      </c>
      <c r="AX115" s="33" t="s">
        <v>75</v>
      </c>
      <c r="AY115" s="33">
        <v>15.7</v>
      </c>
      <c r="AZ115" s="33">
        <v>40.799999999999997</v>
      </c>
      <c r="BA115" s="33">
        <v>3.87</v>
      </c>
      <c r="BB115" s="33">
        <v>15.6</v>
      </c>
      <c r="BC115" s="33">
        <v>2.8</v>
      </c>
      <c r="BD115" s="33">
        <v>0.71</v>
      </c>
      <c r="BE115" s="33">
        <v>1.8</v>
      </c>
      <c r="BF115" s="33">
        <v>0.2</v>
      </c>
      <c r="BG115" s="33">
        <v>1.3</v>
      </c>
      <c r="BH115" s="33">
        <v>0.2</v>
      </c>
      <c r="BI115" s="33">
        <v>0.7</v>
      </c>
      <c r="BJ115" s="33">
        <v>0.11</v>
      </c>
      <c r="BK115" s="33">
        <v>0.8</v>
      </c>
      <c r="BL115" s="33">
        <v>0.13</v>
      </c>
      <c r="BM115" s="33">
        <v>4</v>
      </c>
      <c r="BN115" s="33">
        <v>0.5</v>
      </c>
      <c r="BO115" s="33">
        <v>0</v>
      </c>
      <c r="BP115" s="33">
        <v>0.7</v>
      </c>
      <c r="BQ115" s="33">
        <v>23</v>
      </c>
      <c r="BR115" s="33">
        <v>13.4</v>
      </c>
      <c r="BS115" s="33">
        <v>1.4</v>
      </c>
      <c r="BT115" s="34">
        <f t="shared" si="27"/>
        <v>0.72212389380530972</v>
      </c>
      <c r="BU115" s="282">
        <f t="shared" si="28"/>
        <v>84.719999999999985</v>
      </c>
      <c r="BV115" s="35">
        <f t="shared" si="29"/>
        <v>92</v>
      </c>
      <c r="BW115" s="79">
        <f t="shared" si="30"/>
        <v>87.437763309076999</v>
      </c>
      <c r="BX115" s="69">
        <f t="shared" si="33"/>
        <v>0.72212389380530972</v>
      </c>
      <c r="BY115" s="34">
        <v>9.7799999999999994</v>
      </c>
      <c r="BZ115" s="34">
        <v>1.07</v>
      </c>
      <c r="CA115" s="34">
        <v>24.09</v>
      </c>
      <c r="CB115" s="34">
        <v>0</v>
      </c>
      <c r="CC115" s="34">
        <v>8.68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4.58</v>
      </c>
      <c r="CL115" s="34">
        <v>20.46</v>
      </c>
      <c r="CM115" s="34">
        <v>0.03</v>
      </c>
      <c r="CN115" s="34">
        <v>25.72</v>
      </c>
      <c r="CO115" s="34">
        <v>0</v>
      </c>
      <c r="CP115" s="34">
        <v>3.8</v>
      </c>
      <c r="CQ115" s="34">
        <v>0</v>
      </c>
      <c r="CR115" s="34">
        <v>0</v>
      </c>
      <c r="CS115" s="34">
        <v>1.81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282">
        <v>100.02</v>
      </c>
      <c r="CZ115" s="286">
        <v>0.27015812492990915</v>
      </c>
      <c r="DA115" s="286">
        <v>0</v>
      </c>
      <c r="DB115" s="286">
        <v>9.734215543344174E-2</v>
      </c>
      <c r="DC115" s="286">
        <v>0</v>
      </c>
      <c r="DD115" s="286">
        <v>0</v>
      </c>
      <c r="DE115" s="286">
        <v>0</v>
      </c>
      <c r="DF115" s="286">
        <v>0</v>
      </c>
      <c r="DG115" s="286">
        <v>0</v>
      </c>
      <c r="DH115" s="286">
        <v>0</v>
      </c>
      <c r="DI115" s="286">
        <v>0</v>
      </c>
      <c r="DJ115" s="286">
        <v>5.1362565885387464E-2</v>
      </c>
      <c r="DK115" s="286">
        <v>0.22944936637882696</v>
      </c>
      <c r="DL115" s="286">
        <v>3.3643602108332396E-4</v>
      </c>
      <c r="DM115" s="286">
        <v>0.28843781540876973</v>
      </c>
      <c r="DN115" s="286">
        <v>0</v>
      </c>
      <c r="DO115" s="286">
        <v>4.2615229337221033E-2</v>
      </c>
      <c r="DP115" s="286">
        <v>0</v>
      </c>
      <c r="DQ115" s="286">
        <v>0</v>
      </c>
      <c r="DR115" s="286">
        <v>2.0298306605360548E-2</v>
      </c>
      <c r="DS115" s="286">
        <v>0</v>
      </c>
      <c r="DT115" s="286">
        <v>0</v>
      </c>
      <c r="DU115" s="286">
        <v>0</v>
      </c>
      <c r="DV115" s="286">
        <v>0</v>
      </c>
      <c r="DW115" s="286">
        <v>0</v>
      </c>
      <c r="DX115" s="34">
        <v>1</v>
      </c>
      <c r="DY115" s="79">
        <v>63.738938968740165</v>
      </c>
      <c r="DZ115" s="79">
        <v>23.003158182153786</v>
      </c>
      <c r="EA115" s="79">
        <v>8.0329183725551132E-2</v>
      </c>
      <c r="EB115" s="79">
        <v>2.0228515465751888</v>
      </c>
      <c r="EC115" s="79">
        <v>0</v>
      </c>
      <c r="ED115" s="79">
        <v>0.70438044598759453</v>
      </c>
      <c r="EE115" s="79">
        <v>3.0807693441192924E-4</v>
      </c>
      <c r="EF115" s="79">
        <v>1.1508157772412007</v>
      </c>
      <c r="EG115" s="79">
        <v>3.8775455323563239</v>
      </c>
      <c r="EH115" s="79">
        <v>0.15463247254898704</v>
      </c>
      <c r="EI115" s="79">
        <v>0</v>
      </c>
      <c r="EJ115" s="79">
        <v>5.2670398137367833</v>
      </c>
      <c r="EK115" s="79">
        <v>0</v>
      </c>
      <c r="EL115" s="79">
        <v>99.999999999999972</v>
      </c>
      <c r="EM115" s="34">
        <v>82.060857879457529</v>
      </c>
      <c r="EN115" s="34" t="s">
        <v>475</v>
      </c>
      <c r="EO115" s="290">
        <v>2.2852373694925071E-2</v>
      </c>
      <c r="EP115" s="257">
        <f t="shared" si="34"/>
        <v>2.2852373694925072</v>
      </c>
      <c r="EQ115" s="257">
        <f t="shared" si="35"/>
        <v>38.493466564181404</v>
      </c>
      <c r="ER115" s="324">
        <f t="shared" si="36"/>
        <v>4.3531575720416923E-2</v>
      </c>
      <c r="ES115" s="257">
        <f t="shared" si="31"/>
        <v>0.72212389380530972</v>
      </c>
      <c r="ET115">
        <f t="shared" si="32"/>
        <v>92</v>
      </c>
      <c r="EU115" s="324">
        <f t="shared" si="37"/>
        <v>6.0282696769695006E-2</v>
      </c>
      <c r="EV115" s="39">
        <f t="shared" si="38"/>
        <v>158.98000000000002</v>
      </c>
      <c r="EX115">
        <f t="shared" si="39"/>
        <v>25</v>
      </c>
    </row>
    <row r="116" spans="1:160" ht="13" customHeight="1" x14ac:dyDescent="0.2">
      <c r="A116" s="30" t="s">
        <v>481</v>
      </c>
      <c r="B116" s="31" t="s">
        <v>462</v>
      </c>
      <c r="C116" s="86">
        <f t="shared" si="44"/>
        <v>158.5</v>
      </c>
      <c r="D116" s="32">
        <v>116</v>
      </c>
      <c r="E116" s="32">
        <v>164</v>
      </c>
      <c r="F116" s="33">
        <f t="shared" si="26"/>
        <v>140</v>
      </c>
      <c r="G116" s="31" t="s">
        <v>506</v>
      </c>
      <c r="H116" s="84">
        <v>5</v>
      </c>
      <c r="I116" s="85">
        <v>4</v>
      </c>
      <c r="J116" s="85">
        <v>6</v>
      </c>
      <c r="K116" s="89">
        <f t="shared" si="42"/>
        <v>3.3333333333333335</v>
      </c>
      <c r="L116" s="33">
        <v>136</v>
      </c>
      <c r="M116" s="33">
        <v>83</v>
      </c>
      <c r="N116" s="33">
        <v>47</v>
      </c>
      <c r="O116" s="33">
        <v>57.08</v>
      </c>
      <c r="P116" s="33">
        <v>22.35</v>
      </c>
      <c r="Q116" s="33">
        <v>5.83</v>
      </c>
      <c r="R116" s="33">
        <v>4.8000000000000001E-2</v>
      </c>
      <c r="S116" s="33">
        <v>1.45</v>
      </c>
      <c r="T116" s="33">
        <v>0.88</v>
      </c>
      <c r="U116" s="33">
        <v>1.58</v>
      </c>
      <c r="V116" s="33">
        <v>1.34</v>
      </c>
      <c r="W116" s="33">
        <v>0.73599999999999999</v>
      </c>
      <c r="X116" s="33">
        <v>0.02</v>
      </c>
      <c r="Y116" s="33">
        <v>9.09</v>
      </c>
      <c r="Z116" s="33">
        <v>100.4</v>
      </c>
      <c r="AA116" s="33">
        <v>17</v>
      </c>
      <c r="AB116" s="33">
        <v>2</v>
      </c>
      <c r="AC116" s="33">
        <v>91</v>
      </c>
      <c r="AD116" s="33">
        <v>0</v>
      </c>
      <c r="AE116" s="33">
        <v>12</v>
      </c>
      <c r="AF116" s="33">
        <v>0</v>
      </c>
      <c r="AG116" s="33">
        <v>20</v>
      </c>
      <c r="AH116" s="33">
        <v>70</v>
      </c>
      <c r="AI116" s="33">
        <v>26</v>
      </c>
      <c r="AJ116" s="33">
        <v>2</v>
      </c>
      <c r="AK116" s="33">
        <v>0</v>
      </c>
      <c r="AL116" s="33">
        <v>79</v>
      </c>
      <c r="AM116" s="33">
        <v>172</v>
      </c>
      <c r="AN116" s="33">
        <v>7</v>
      </c>
      <c r="AO116" s="33">
        <v>134</v>
      </c>
      <c r="AP116" s="33">
        <v>8</v>
      </c>
      <c r="AQ116" s="33" t="s">
        <v>72</v>
      </c>
      <c r="AR116" s="33" t="s">
        <v>74</v>
      </c>
      <c r="AS116" s="33" t="s">
        <v>73</v>
      </c>
      <c r="AT116" s="33">
        <v>1</v>
      </c>
      <c r="AU116" s="33" t="s">
        <v>74</v>
      </c>
      <c r="AV116" s="33">
        <v>2.5</v>
      </c>
      <c r="AW116" s="33">
        <v>345</v>
      </c>
      <c r="AX116" s="33" t="s">
        <v>75</v>
      </c>
      <c r="AY116" s="33">
        <v>21.3</v>
      </c>
      <c r="AZ116" s="33">
        <v>61</v>
      </c>
      <c r="BA116" s="33">
        <v>5.99</v>
      </c>
      <c r="BB116" s="33">
        <v>24</v>
      </c>
      <c r="BC116" s="33">
        <v>4.4000000000000004</v>
      </c>
      <c r="BD116" s="33">
        <v>1.1299999999999999</v>
      </c>
      <c r="BE116" s="33">
        <v>2.6</v>
      </c>
      <c r="BF116" s="33">
        <v>0.3</v>
      </c>
      <c r="BG116" s="33">
        <v>1.7</v>
      </c>
      <c r="BH116" s="33">
        <v>0.3</v>
      </c>
      <c r="BI116" s="33">
        <v>0.9</v>
      </c>
      <c r="BJ116" s="33">
        <v>0.14000000000000001</v>
      </c>
      <c r="BK116" s="33">
        <v>0.9</v>
      </c>
      <c r="BL116" s="33">
        <v>0.15</v>
      </c>
      <c r="BM116" s="33">
        <v>3.4</v>
      </c>
      <c r="BN116" s="33">
        <v>0.4</v>
      </c>
      <c r="BO116" s="33">
        <v>0</v>
      </c>
      <c r="BP116" s="33">
        <v>0.6</v>
      </c>
      <c r="BQ116" s="33">
        <v>23</v>
      </c>
      <c r="BR116" s="33">
        <v>10.9</v>
      </c>
      <c r="BS116" s="33">
        <v>1.2</v>
      </c>
      <c r="BT116" s="34">
        <f t="shared" si="27"/>
        <v>0.74119076549210205</v>
      </c>
      <c r="BU116" s="282">
        <f t="shared" si="28"/>
        <v>124.81</v>
      </c>
      <c r="BV116" s="35">
        <f t="shared" si="29"/>
        <v>140</v>
      </c>
      <c r="BW116" s="79">
        <f t="shared" si="30"/>
        <v>85.468451242829815</v>
      </c>
      <c r="BX116" s="69">
        <f t="shared" si="33"/>
        <v>0.74119076549210205</v>
      </c>
      <c r="BY116" s="34">
        <v>11.47</v>
      </c>
      <c r="BZ116" s="34">
        <v>1.46</v>
      </c>
      <c r="CA116" s="34">
        <v>27.44</v>
      </c>
      <c r="CB116" s="34">
        <v>0</v>
      </c>
      <c r="CC116" s="34">
        <v>15.22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1.41</v>
      </c>
      <c r="CL116" s="34">
        <v>14.66</v>
      </c>
      <c r="CM116" s="34">
        <v>0.09</v>
      </c>
      <c r="CN116" s="34">
        <v>19.600000000000001</v>
      </c>
      <c r="CO116" s="34">
        <v>0</v>
      </c>
      <c r="CP116" s="34">
        <v>6.5</v>
      </c>
      <c r="CQ116" s="34">
        <v>0</v>
      </c>
      <c r="CR116" s="34">
        <v>0</v>
      </c>
      <c r="CS116" s="34">
        <v>2.12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282">
        <v>99.97</v>
      </c>
      <c r="CZ116" s="286">
        <v>0.31525735294117641</v>
      </c>
      <c r="DA116" s="286">
        <v>0</v>
      </c>
      <c r="DB116" s="286">
        <v>0.17486213235294115</v>
      </c>
      <c r="DC116" s="286">
        <v>0</v>
      </c>
      <c r="DD116" s="286">
        <v>0</v>
      </c>
      <c r="DE116" s="286">
        <v>0</v>
      </c>
      <c r="DF116" s="286">
        <v>0</v>
      </c>
      <c r="DG116" s="286">
        <v>0</v>
      </c>
      <c r="DH116" s="286">
        <v>0</v>
      </c>
      <c r="DI116" s="286">
        <v>0</v>
      </c>
      <c r="DJ116" s="286">
        <v>1.6199448529411759E-2</v>
      </c>
      <c r="DK116" s="286">
        <v>0.16842830882352938</v>
      </c>
      <c r="DL116" s="286">
        <v>1.0340073529411763E-3</v>
      </c>
      <c r="DM116" s="286">
        <v>0.22518382352941174</v>
      </c>
      <c r="DN116" s="286">
        <v>0</v>
      </c>
      <c r="DO116" s="286">
        <v>7.4678308823529396E-2</v>
      </c>
      <c r="DP116" s="286">
        <v>0</v>
      </c>
      <c r="DQ116" s="286">
        <v>0</v>
      </c>
      <c r="DR116" s="286">
        <v>2.435661764705882E-2</v>
      </c>
      <c r="DS116" s="286">
        <v>0</v>
      </c>
      <c r="DT116" s="286">
        <v>0</v>
      </c>
      <c r="DU116" s="286">
        <v>0</v>
      </c>
      <c r="DV116" s="286">
        <v>0</v>
      </c>
      <c r="DW116" s="286">
        <v>0</v>
      </c>
      <c r="DX116" s="34">
        <v>0.99999999999999978</v>
      </c>
      <c r="DY116" s="79">
        <v>68.113898155076939</v>
      </c>
      <c r="DZ116" s="79">
        <v>19.770750806501152</v>
      </c>
      <c r="EA116" s="79">
        <v>2.8964824596103642E-2</v>
      </c>
      <c r="EB116" s="79">
        <v>1.7650873490271612</v>
      </c>
      <c r="EC116" s="79">
        <v>0</v>
      </c>
      <c r="ED116" s="79">
        <v>0.65405787767553991</v>
      </c>
      <c r="EE116" s="79">
        <v>9.4684812413298701E-4</v>
      </c>
      <c r="EF116" s="79">
        <v>2.0672862631586031</v>
      </c>
      <c r="EG116" s="79">
        <v>3.6551169039928526</v>
      </c>
      <c r="EH116" s="79">
        <v>0.12072179703982394</v>
      </c>
      <c r="EI116" s="79">
        <v>0</v>
      </c>
      <c r="EJ116" s="79">
        <v>3.8231691748076675</v>
      </c>
      <c r="EK116" s="79">
        <v>0</v>
      </c>
      <c r="EL116" s="79">
        <v>99.999999999999972</v>
      </c>
      <c r="EM116" s="34">
        <v>77.550296614553361</v>
      </c>
      <c r="EN116" s="34" t="s">
        <v>481</v>
      </c>
      <c r="EO116" s="290">
        <v>1.9529100350357095E-2</v>
      </c>
      <c r="EP116" s="257">
        <f t="shared" si="34"/>
        <v>1.9529100350357094</v>
      </c>
      <c r="EQ116" s="257">
        <f t="shared" si="35"/>
        <v>27.003864896656026</v>
      </c>
      <c r="ER116" s="324">
        <f t="shared" si="36"/>
        <v>4.4966175885395941E-2</v>
      </c>
      <c r="ES116" s="257">
        <f t="shared" si="31"/>
        <v>0.74119076549210205</v>
      </c>
      <c r="ET116">
        <f t="shared" si="32"/>
        <v>140</v>
      </c>
      <c r="EU116" s="324">
        <f t="shared" si="37"/>
        <v>6.0667479924066986E-2</v>
      </c>
      <c r="EV116" s="39">
        <f t="shared" si="38"/>
        <v>158.5</v>
      </c>
      <c r="EX116">
        <f t="shared" si="39"/>
        <v>23.333333333333336</v>
      </c>
    </row>
    <row r="117" spans="1:160" ht="13" customHeight="1" x14ac:dyDescent="0.2">
      <c r="A117" s="30" t="s">
        <v>477</v>
      </c>
      <c r="B117" s="31" t="s">
        <v>462</v>
      </c>
      <c r="C117" s="86">
        <f t="shared" si="44"/>
        <v>158.005</v>
      </c>
      <c r="D117" s="32">
        <v>164</v>
      </c>
      <c r="E117" s="32">
        <v>215</v>
      </c>
      <c r="F117" s="33">
        <f t="shared" si="26"/>
        <v>189.5</v>
      </c>
      <c r="G117" s="31" t="s">
        <v>506</v>
      </c>
      <c r="H117" s="84">
        <v>5</v>
      </c>
      <c r="I117" s="85">
        <v>4</v>
      </c>
      <c r="J117" s="85">
        <v>6</v>
      </c>
      <c r="K117" s="89">
        <f t="shared" si="42"/>
        <v>3.3333333333333335</v>
      </c>
      <c r="L117" s="33">
        <v>136</v>
      </c>
      <c r="M117" s="33">
        <v>83</v>
      </c>
      <c r="N117" s="33">
        <v>47</v>
      </c>
      <c r="O117" s="33">
        <v>58.73</v>
      </c>
      <c r="P117" s="33">
        <v>18.68</v>
      </c>
      <c r="Q117" s="33">
        <v>6.73</v>
      </c>
      <c r="R117" s="33">
        <v>7.3999999999999996E-2</v>
      </c>
      <c r="S117" s="33">
        <v>2.0299999999999998</v>
      </c>
      <c r="T117" s="33">
        <v>1.05</v>
      </c>
      <c r="U117" s="33">
        <v>1.77</v>
      </c>
      <c r="V117" s="33">
        <v>1.54</v>
      </c>
      <c r="W117" s="33">
        <v>0.81</v>
      </c>
      <c r="X117" s="33">
        <v>0.01</v>
      </c>
      <c r="Y117" s="33">
        <v>7.37</v>
      </c>
      <c r="Z117" s="33">
        <v>98.8</v>
      </c>
      <c r="AA117" s="33">
        <v>19</v>
      </c>
      <c r="AB117" s="33">
        <v>2</v>
      </c>
      <c r="AC117" s="33">
        <v>105</v>
      </c>
      <c r="AD117" s="33">
        <v>0</v>
      </c>
      <c r="AE117" s="33">
        <v>14</v>
      </c>
      <c r="AF117" s="33">
        <v>0</v>
      </c>
      <c r="AG117" s="33">
        <v>30</v>
      </c>
      <c r="AH117" s="33">
        <v>80</v>
      </c>
      <c r="AI117" s="33">
        <v>24</v>
      </c>
      <c r="AJ117" s="33">
        <v>2</v>
      </c>
      <c r="AK117" s="33">
        <v>0</v>
      </c>
      <c r="AL117" s="33">
        <v>91</v>
      </c>
      <c r="AM117" s="33">
        <v>186</v>
      </c>
      <c r="AN117" s="33">
        <v>16</v>
      </c>
      <c r="AO117" s="33">
        <v>160</v>
      </c>
      <c r="AP117" s="33">
        <v>9</v>
      </c>
      <c r="AQ117" s="33" t="s">
        <v>72</v>
      </c>
      <c r="AR117" s="33" t="s">
        <v>74</v>
      </c>
      <c r="AS117" s="33" t="s">
        <v>73</v>
      </c>
      <c r="AT117" s="33">
        <v>1</v>
      </c>
      <c r="AU117" s="33" t="s">
        <v>74</v>
      </c>
      <c r="AV117" s="33">
        <v>2.5</v>
      </c>
      <c r="AW117" s="33">
        <v>367</v>
      </c>
      <c r="AX117" s="33" t="s">
        <v>75</v>
      </c>
      <c r="AY117" s="33">
        <v>36.4</v>
      </c>
      <c r="AZ117" s="33">
        <v>83</v>
      </c>
      <c r="BA117" s="33">
        <v>10.5</v>
      </c>
      <c r="BB117" s="33">
        <v>41.3</v>
      </c>
      <c r="BC117" s="33">
        <v>8.4</v>
      </c>
      <c r="BD117" s="33">
        <v>2.12</v>
      </c>
      <c r="BE117" s="33">
        <v>6</v>
      </c>
      <c r="BF117" s="33">
        <v>0.8</v>
      </c>
      <c r="BG117" s="33">
        <v>4.2</v>
      </c>
      <c r="BH117" s="33">
        <v>0.8</v>
      </c>
      <c r="BI117" s="33">
        <v>2.2000000000000002</v>
      </c>
      <c r="BJ117" s="33">
        <v>0.31</v>
      </c>
      <c r="BK117" s="33">
        <v>2.2000000000000002</v>
      </c>
      <c r="BL117" s="33">
        <v>0.35</v>
      </c>
      <c r="BM117" s="33">
        <v>4.2</v>
      </c>
      <c r="BN117" s="33">
        <v>0.4</v>
      </c>
      <c r="BO117" s="33">
        <v>2</v>
      </c>
      <c r="BP117" s="33">
        <v>0.6</v>
      </c>
      <c r="BQ117" s="33">
        <v>21</v>
      </c>
      <c r="BR117" s="33">
        <v>10.7</v>
      </c>
      <c r="BS117" s="33">
        <v>1.4</v>
      </c>
      <c r="BT117" s="34">
        <f t="shared" si="27"/>
        <v>0.69514237855946392</v>
      </c>
      <c r="BU117" s="282">
        <f t="shared" si="28"/>
        <v>198.57999999999998</v>
      </c>
      <c r="BV117" s="35">
        <f t="shared" si="29"/>
        <v>189.5</v>
      </c>
      <c r="BW117" s="79">
        <f t="shared" si="30"/>
        <v>81.076388888888886</v>
      </c>
      <c r="BX117" s="69">
        <f t="shared" si="33"/>
        <v>0.69514237855946392</v>
      </c>
      <c r="BY117" s="34">
        <v>10.72</v>
      </c>
      <c r="BZ117" s="34">
        <v>1.87</v>
      </c>
      <c r="CA117" s="34">
        <v>33.26</v>
      </c>
      <c r="CB117" s="34">
        <v>0</v>
      </c>
      <c r="CC117" s="34">
        <v>21.88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0.36</v>
      </c>
      <c r="CL117" s="34">
        <v>3.62</v>
      </c>
      <c r="CM117" s="34">
        <v>0.05</v>
      </c>
      <c r="CN117" s="34">
        <v>13.82</v>
      </c>
      <c r="CO117" s="34">
        <v>0</v>
      </c>
      <c r="CP117" s="34">
        <v>10.01</v>
      </c>
      <c r="CQ117" s="34">
        <v>0</v>
      </c>
      <c r="CR117" s="34">
        <v>0</v>
      </c>
      <c r="CS117" s="34">
        <v>4.4000000000000004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282">
        <v>99.99</v>
      </c>
      <c r="CZ117" s="286">
        <v>0.38054919908466817</v>
      </c>
      <c r="DA117" s="286">
        <v>0</v>
      </c>
      <c r="DB117" s="286">
        <v>0.25034324942791758</v>
      </c>
      <c r="DC117" s="286">
        <v>0</v>
      </c>
      <c r="DD117" s="286">
        <v>0</v>
      </c>
      <c r="DE117" s="286">
        <v>0</v>
      </c>
      <c r="DF117" s="286">
        <v>0</v>
      </c>
      <c r="DG117" s="286">
        <v>0</v>
      </c>
      <c r="DH117" s="286">
        <v>0</v>
      </c>
      <c r="DI117" s="286">
        <v>0</v>
      </c>
      <c r="DJ117" s="286">
        <v>4.1189931350114409E-3</v>
      </c>
      <c r="DK117" s="286">
        <v>4.1418764302059492E-2</v>
      </c>
      <c r="DL117" s="286">
        <v>5.7208237986270023E-4</v>
      </c>
      <c r="DM117" s="286">
        <v>0.15812356979405034</v>
      </c>
      <c r="DN117" s="286">
        <v>0</v>
      </c>
      <c r="DO117" s="286">
        <v>0.11453089244851257</v>
      </c>
      <c r="DP117" s="286">
        <v>0</v>
      </c>
      <c r="DQ117" s="286">
        <v>0</v>
      </c>
      <c r="DR117" s="286">
        <v>5.0343249427917618E-2</v>
      </c>
      <c r="DS117" s="286">
        <v>0</v>
      </c>
      <c r="DT117" s="286">
        <v>0</v>
      </c>
      <c r="DU117" s="286">
        <v>0</v>
      </c>
      <c r="DV117" s="286">
        <v>0</v>
      </c>
      <c r="DW117" s="286">
        <v>0</v>
      </c>
      <c r="DX117" s="34">
        <v>0.99999999999999978</v>
      </c>
      <c r="DY117" s="79">
        <v>73.96547426452058</v>
      </c>
      <c r="DZ117" s="79">
        <v>15.214055516001771</v>
      </c>
      <c r="EA117" s="79">
        <v>8.5741255756793412E-3</v>
      </c>
      <c r="EB117" s="79">
        <v>1.5181130353904024</v>
      </c>
      <c r="EC117" s="79">
        <v>0</v>
      </c>
      <c r="ED117" s="79">
        <v>0.61328985720973395</v>
      </c>
      <c r="EE117" s="79">
        <v>5.2386003511654716E-4</v>
      </c>
      <c r="EF117" s="79">
        <v>2.9596525768783297</v>
      </c>
      <c r="EG117" s="79">
        <v>3.849618650131053</v>
      </c>
      <c r="EH117" s="79">
        <v>8.4770571885224827E-2</v>
      </c>
      <c r="EI117" s="79">
        <v>0</v>
      </c>
      <c r="EJ117" s="79">
        <v>1.7859275423720948</v>
      </c>
      <c r="EK117" s="79">
        <v>0</v>
      </c>
      <c r="EL117" s="79">
        <v>99.999999999999972</v>
      </c>
      <c r="EM117" s="34">
        <v>69.079907007257887</v>
      </c>
      <c r="EN117" s="34" t="s">
        <v>477</v>
      </c>
      <c r="EO117" s="290">
        <v>1.6633173341512184E-2</v>
      </c>
      <c r="EP117" s="257">
        <f t="shared" si="34"/>
        <v>1.6633173341512184</v>
      </c>
      <c r="EQ117" s="257">
        <f t="shared" si="35"/>
        <v>7.3581068589388057</v>
      </c>
      <c r="ER117" s="324">
        <f t="shared" si="36"/>
        <v>4.8825426070935062E-2</v>
      </c>
      <c r="ES117" s="257">
        <f t="shared" si="31"/>
        <v>0.69514237855946392</v>
      </c>
      <c r="ET117">
        <f t="shared" si="32"/>
        <v>189.5</v>
      </c>
      <c r="EU117" s="324">
        <f t="shared" si="37"/>
        <v>7.0238022564694538E-2</v>
      </c>
      <c r="EV117" s="39">
        <f t="shared" si="38"/>
        <v>158.005</v>
      </c>
      <c r="EX117">
        <f t="shared" si="39"/>
        <v>20</v>
      </c>
    </row>
    <row r="118" spans="1:160" ht="13" customHeight="1" x14ac:dyDescent="0.2">
      <c r="A118" s="30" t="s">
        <v>478</v>
      </c>
      <c r="B118" s="31" t="s">
        <v>462</v>
      </c>
      <c r="C118" s="86">
        <f t="shared" si="44"/>
        <v>157.45000000000002</v>
      </c>
      <c r="D118" s="32">
        <v>215</v>
      </c>
      <c r="E118" s="32">
        <v>275</v>
      </c>
      <c r="F118" s="33">
        <f t="shared" si="26"/>
        <v>245</v>
      </c>
      <c r="G118" s="31" t="s">
        <v>508</v>
      </c>
      <c r="H118" s="84">
        <v>7.5</v>
      </c>
      <c r="I118" s="85">
        <v>5</v>
      </c>
      <c r="J118" s="85">
        <v>6</v>
      </c>
      <c r="K118" s="89">
        <f t="shared" si="42"/>
        <v>6.25</v>
      </c>
      <c r="L118" s="33">
        <v>161</v>
      </c>
      <c r="M118" s="33">
        <v>111</v>
      </c>
      <c r="N118" s="33">
        <v>63</v>
      </c>
      <c r="O118" s="33">
        <v>55.77</v>
      </c>
      <c r="P118" s="33">
        <v>19.309999999999999</v>
      </c>
      <c r="Q118" s="33">
        <v>7.88</v>
      </c>
      <c r="R118" s="33">
        <v>0.113</v>
      </c>
      <c r="S118" s="33">
        <v>3.08</v>
      </c>
      <c r="T118" s="33">
        <v>1.58</v>
      </c>
      <c r="U118" s="33">
        <v>1.96</v>
      </c>
      <c r="V118" s="33">
        <v>1.71</v>
      </c>
      <c r="W118" s="33">
        <v>0.96899999999999997</v>
      </c>
      <c r="X118" s="33">
        <v>0</v>
      </c>
      <c r="Y118" s="33">
        <v>7.58</v>
      </c>
      <c r="Z118" s="33">
        <v>99.96</v>
      </c>
      <c r="AA118" s="33">
        <v>20</v>
      </c>
      <c r="AB118" s="33">
        <v>2</v>
      </c>
      <c r="AC118" s="33">
        <v>132</v>
      </c>
      <c r="AD118" s="33">
        <v>40</v>
      </c>
      <c r="AE118" s="33">
        <v>18</v>
      </c>
      <c r="AF118" s="33">
        <v>0</v>
      </c>
      <c r="AG118" s="33">
        <v>50</v>
      </c>
      <c r="AH118" s="33">
        <v>90</v>
      </c>
      <c r="AI118" s="33">
        <v>24</v>
      </c>
      <c r="AJ118" s="33">
        <v>2</v>
      </c>
      <c r="AK118" s="33">
        <v>0</v>
      </c>
      <c r="AL118" s="33">
        <v>87</v>
      </c>
      <c r="AM118" s="33">
        <v>232</v>
      </c>
      <c r="AN118" s="33">
        <v>18</v>
      </c>
      <c r="AO118" s="33">
        <v>174</v>
      </c>
      <c r="AP118" s="33">
        <v>8</v>
      </c>
      <c r="AQ118" s="33" t="s">
        <v>72</v>
      </c>
      <c r="AR118" s="33">
        <v>0.9</v>
      </c>
      <c r="AS118" s="33" t="s">
        <v>73</v>
      </c>
      <c r="AT118" s="33">
        <v>2</v>
      </c>
      <c r="AU118" s="33" t="s">
        <v>74</v>
      </c>
      <c r="AV118" s="33">
        <v>2.2000000000000002</v>
      </c>
      <c r="AW118" s="33">
        <v>373</v>
      </c>
      <c r="AX118" s="33" t="s">
        <v>75</v>
      </c>
      <c r="AY118" s="33">
        <v>33.1</v>
      </c>
      <c r="AZ118" s="33">
        <v>80.599999999999994</v>
      </c>
      <c r="BA118" s="33">
        <v>8.69</v>
      </c>
      <c r="BB118" s="33">
        <v>34.299999999999997</v>
      </c>
      <c r="BC118" s="33">
        <v>6.9</v>
      </c>
      <c r="BD118" s="33">
        <v>1.77</v>
      </c>
      <c r="BE118" s="33">
        <v>5.3</v>
      </c>
      <c r="BF118" s="33">
        <v>0.8</v>
      </c>
      <c r="BG118" s="33">
        <v>4.0999999999999996</v>
      </c>
      <c r="BH118" s="33">
        <v>0.8</v>
      </c>
      <c r="BI118" s="33">
        <v>2.2000000000000002</v>
      </c>
      <c r="BJ118" s="33">
        <v>0.31</v>
      </c>
      <c r="BK118" s="33">
        <v>2.1</v>
      </c>
      <c r="BL118" s="33">
        <v>0.34</v>
      </c>
      <c r="BM118" s="33">
        <v>4.8</v>
      </c>
      <c r="BN118" s="33">
        <v>0.8</v>
      </c>
      <c r="BO118" s="33">
        <v>0</v>
      </c>
      <c r="BP118" s="33">
        <v>0.4</v>
      </c>
      <c r="BQ118" s="33">
        <v>16</v>
      </c>
      <c r="BR118" s="33">
        <v>7.4</v>
      </c>
      <c r="BS118" s="33">
        <v>1.4</v>
      </c>
      <c r="BT118" s="34">
        <f t="shared" si="27"/>
        <v>0.7088830255057168</v>
      </c>
      <c r="BU118" s="282">
        <f t="shared" si="28"/>
        <v>181.31000000000003</v>
      </c>
      <c r="BV118" s="35">
        <f t="shared" si="29"/>
        <v>245</v>
      </c>
      <c r="BW118" s="79">
        <f t="shared" si="30"/>
        <v>78.623778501628649</v>
      </c>
      <c r="BX118" s="69">
        <f t="shared" si="33"/>
        <v>0.7088830255057168</v>
      </c>
      <c r="BY118" s="34">
        <v>12.57</v>
      </c>
      <c r="BZ118" s="34">
        <v>2.2400000000000002</v>
      </c>
      <c r="CA118" s="34">
        <v>31.99</v>
      </c>
      <c r="CB118" s="34">
        <v>0</v>
      </c>
      <c r="CC118" s="34">
        <v>21.65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0.45</v>
      </c>
      <c r="CL118" s="34">
        <v>7.89</v>
      </c>
      <c r="CM118" s="34">
        <v>3.13</v>
      </c>
      <c r="CN118" s="34">
        <v>12.03</v>
      </c>
      <c r="CO118" s="34">
        <v>0</v>
      </c>
      <c r="CP118" s="34">
        <v>3.7</v>
      </c>
      <c r="CQ118" s="34">
        <v>0</v>
      </c>
      <c r="CR118" s="34">
        <v>0</v>
      </c>
      <c r="CS118" s="34">
        <v>4.29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282">
        <v>99.94</v>
      </c>
      <c r="CZ118" s="286">
        <v>0.37577822154352158</v>
      </c>
      <c r="DA118" s="286">
        <v>0</v>
      </c>
      <c r="DB118" s="286">
        <v>0.25431692705274284</v>
      </c>
      <c r="DC118" s="286">
        <v>0</v>
      </c>
      <c r="DD118" s="286">
        <v>0</v>
      </c>
      <c r="DE118" s="286">
        <v>0</v>
      </c>
      <c r="DF118" s="286">
        <v>0</v>
      </c>
      <c r="DG118" s="286">
        <v>0</v>
      </c>
      <c r="DH118" s="286">
        <v>0</v>
      </c>
      <c r="DI118" s="286">
        <v>0</v>
      </c>
      <c r="DJ118" s="286">
        <v>5.2860331258075882E-3</v>
      </c>
      <c r="DK118" s="286">
        <v>9.2681780805826369E-2</v>
      </c>
      <c r="DL118" s="286">
        <v>3.6767297075061663E-2</v>
      </c>
      <c r="DM118" s="286">
        <v>0.14131328556325617</v>
      </c>
      <c r="DN118" s="286">
        <v>0</v>
      </c>
      <c r="DO118" s="286">
        <v>4.3462939034417947E-2</v>
      </c>
      <c r="DP118" s="286">
        <v>0</v>
      </c>
      <c r="DQ118" s="286">
        <v>0</v>
      </c>
      <c r="DR118" s="286">
        <v>5.0393515799365671E-2</v>
      </c>
      <c r="DS118" s="286">
        <v>0</v>
      </c>
      <c r="DT118" s="286">
        <v>0</v>
      </c>
      <c r="DU118" s="286">
        <v>0</v>
      </c>
      <c r="DV118" s="286">
        <v>0</v>
      </c>
      <c r="DW118" s="286">
        <v>0</v>
      </c>
      <c r="DX118" s="34">
        <v>0.99999999999999989</v>
      </c>
      <c r="DY118" s="79">
        <v>73.174951214165858</v>
      </c>
      <c r="DZ118" s="79">
        <v>16.493355880141877</v>
      </c>
      <c r="EA118" s="79">
        <v>0.15194724424066453</v>
      </c>
      <c r="EB118" s="79">
        <v>1.0924094860832301</v>
      </c>
      <c r="EC118" s="79">
        <v>0</v>
      </c>
      <c r="ED118" s="79">
        <v>0.46142228034883631</v>
      </c>
      <c r="EE118" s="79">
        <v>3.3668083854470301E-2</v>
      </c>
      <c r="EF118" s="79">
        <v>3.0066308966407891</v>
      </c>
      <c r="EG118" s="79">
        <v>2.990804140502048</v>
      </c>
      <c r="EH118" s="79">
        <v>7.5758522576866646E-2</v>
      </c>
      <c r="EI118" s="79">
        <v>0</v>
      </c>
      <c r="EJ118" s="79">
        <v>2.5190522514453475</v>
      </c>
      <c r="EK118" s="79">
        <v>0</v>
      </c>
      <c r="EL118" s="79">
        <v>100</v>
      </c>
      <c r="EM118" s="34">
        <v>73.224204316328823</v>
      </c>
      <c r="EN118" s="34" t="s">
        <v>478</v>
      </c>
      <c r="EO118" s="290">
        <v>1.3426735840713853E-2</v>
      </c>
      <c r="EP118" s="257">
        <f t="shared" si="34"/>
        <v>1.3426735840713853</v>
      </c>
      <c r="EQ118" s="257">
        <f t="shared" si="35"/>
        <v>16.676664667066586</v>
      </c>
      <c r="ER118" s="324">
        <f t="shared" si="36"/>
        <v>4.9071250346548377E-2</v>
      </c>
      <c r="ES118" s="257">
        <f t="shared" si="31"/>
        <v>0.7088830255057168</v>
      </c>
      <c r="ET118">
        <f t="shared" si="32"/>
        <v>245</v>
      </c>
      <c r="EU118" s="324">
        <f t="shared" si="37"/>
        <v>6.9223339508716508E-2</v>
      </c>
      <c r="EV118" s="39">
        <f t="shared" si="38"/>
        <v>157.45000000000002</v>
      </c>
      <c r="EX118">
        <f t="shared" si="39"/>
        <v>22.5</v>
      </c>
    </row>
    <row r="119" spans="1:160" ht="13" customHeight="1" x14ac:dyDescent="0.2">
      <c r="A119" s="30" t="s">
        <v>177</v>
      </c>
      <c r="B119" s="31" t="s">
        <v>462</v>
      </c>
      <c r="C119" s="86">
        <f t="shared" si="44"/>
        <v>156.4</v>
      </c>
      <c r="D119" s="36">
        <v>300</v>
      </c>
      <c r="E119" s="36">
        <v>400</v>
      </c>
      <c r="F119" s="33">
        <f t="shared" si="26"/>
        <v>350</v>
      </c>
      <c r="G119" s="31" t="s">
        <v>509</v>
      </c>
      <c r="H119" s="84">
        <v>10</v>
      </c>
      <c r="I119" s="85">
        <v>4</v>
      </c>
      <c r="J119" s="85">
        <v>3</v>
      </c>
      <c r="K119" s="89">
        <f t="shared" si="42"/>
        <v>13.333333333333334</v>
      </c>
      <c r="L119" s="33">
        <v>115</v>
      </c>
      <c r="M119" s="33">
        <v>92</v>
      </c>
      <c r="N119" s="33">
        <v>64</v>
      </c>
      <c r="O119" s="33">
        <v>63.64</v>
      </c>
      <c r="P119" s="33">
        <v>16.28</v>
      </c>
      <c r="Q119" s="33">
        <v>6.53</v>
      </c>
      <c r="R119" s="33">
        <v>0.106</v>
      </c>
      <c r="S119" s="33">
        <v>1.43</v>
      </c>
      <c r="T119" s="33">
        <v>2.42</v>
      </c>
      <c r="U119" s="33">
        <v>4</v>
      </c>
      <c r="V119" s="33">
        <v>1.44</v>
      </c>
      <c r="W119" s="33">
        <v>0.77300000000000002</v>
      </c>
      <c r="X119" s="33">
        <v>0.03</v>
      </c>
      <c r="Y119" s="33">
        <v>2.4900000000000002</v>
      </c>
      <c r="Z119" s="33">
        <v>99.14</v>
      </c>
      <c r="AA119" s="33">
        <v>11</v>
      </c>
      <c r="AB119" s="33">
        <v>3</v>
      </c>
      <c r="AC119" s="33">
        <v>81</v>
      </c>
      <c r="AD119" s="33">
        <v>0</v>
      </c>
      <c r="AE119" s="33">
        <v>8</v>
      </c>
      <c r="AF119" s="33">
        <v>0</v>
      </c>
      <c r="AG119" s="33">
        <v>0</v>
      </c>
      <c r="AH119" s="33">
        <v>70</v>
      </c>
      <c r="AI119" s="33">
        <v>15</v>
      </c>
      <c r="AJ119" s="33">
        <v>1</v>
      </c>
      <c r="AK119" s="33">
        <v>0</v>
      </c>
      <c r="AL119" s="33">
        <v>59</v>
      </c>
      <c r="AM119" s="33">
        <v>427</v>
      </c>
      <c r="AN119" s="33">
        <v>19</v>
      </c>
      <c r="AO119" s="33">
        <v>178</v>
      </c>
      <c r="AP119" s="33">
        <v>6</v>
      </c>
      <c r="AQ119" s="33" t="s">
        <v>72</v>
      </c>
      <c r="AR119" s="33">
        <v>0.5</v>
      </c>
      <c r="AS119" s="33" t="s">
        <v>73</v>
      </c>
      <c r="AT119" s="33">
        <v>2</v>
      </c>
      <c r="AU119" s="33" t="s">
        <v>74</v>
      </c>
      <c r="AV119" s="33">
        <v>1.2</v>
      </c>
      <c r="AW119" s="33">
        <v>421</v>
      </c>
      <c r="AX119" s="33" t="s">
        <v>75</v>
      </c>
      <c r="AY119" s="33">
        <v>39.700000000000003</v>
      </c>
      <c r="AZ119" s="33">
        <v>86</v>
      </c>
      <c r="BA119" s="33">
        <v>9.6999999999999993</v>
      </c>
      <c r="BB119" s="33">
        <v>36.9</v>
      </c>
      <c r="BC119" s="33">
        <v>6.8</v>
      </c>
      <c r="BD119" s="33">
        <v>1.55</v>
      </c>
      <c r="BE119" s="33">
        <v>5.3</v>
      </c>
      <c r="BF119" s="33">
        <v>0.7</v>
      </c>
      <c r="BG119" s="33">
        <v>4</v>
      </c>
      <c r="BH119" s="33">
        <v>0.7</v>
      </c>
      <c r="BI119" s="33">
        <v>2.1</v>
      </c>
      <c r="BJ119" s="33">
        <v>0.27</v>
      </c>
      <c r="BK119" s="33">
        <v>1.6</v>
      </c>
      <c r="BL119" s="33">
        <v>0.26</v>
      </c>
      <c r="BM119" s="33">
        <v>4.3</v>
      </c>
      <c r="BN119" s="33">
        <v>0.3</v>
      </c>
      <c r="BO119" s="33">
        <v>0</v>
      </c>
      <c r="BP119" s="33">
        <v>0.2</v>
      </c>
      <c r="BQ119" s="33">
        <v>198</v>
      </c>
      <c r="BR119" s="33">
        <v>8.6999999999999993</v>
      </c>
      <c r="BS119" s="33">
        <v>0.8</v>
      </c>
      <c r="BT119" s="34">
        <f t="shared" si="27"/>
        <v>0.68416865552903738</v>
      </c>
      <c r="BU119" s="282">
        <f t="shared" si="28"/>
        <v>195.58</v>
      </c>
      <c r="BV119" s="35">
        <f t="shared" si="29"/>
        <v>350</v>
      </c>
      <c r="BW119" s="79">
        <f t="shared" si="30"/>
        <v>67.439933719966845</v>
      </c>
      <c r="BX119" s="69">
        <f t="shared" si="33"/>
        <v>0.68416865552903738</v>
      </c>
      <c r="BY119" s="34">
        <v>11.16</v>
      </c>
      <c r="BZ119" s="34">
        <v>1.21</v>
      </c>
      <c r="CA119" s="34">
        <v>31.38</v>
      </c>
      <c r="CB119" s="34">
        <v>0</v>
      </c>
      <c r="CC119" s="34">
        <v>23.9</v>
      </c>
      <c r="CD119" s="34">
        <v>0</v>
      </c>
      <c r="CE119" s="34">
        <v>0</v>
      </c>
      <c r="CF119" s="34">
        <v>0</v>
      </c>
      <c r="CG119" s="34">
        <v>0</v>
      </c>
      <c r="CH119" s="34">
        <v>0</v>
      </c>
      <c r="CI119" s="34">
        <v>0</v>
      </c>
      <c r="CJ119" s="34">
        <v>0</v>
      </c>
      <c r="CK119" s="34">
        <v>0.27</v>
      </c>
      <c r="CL119" s="34">
        <v>2.95</v>
      </c>
      <c r="CM119" s="34">
        <v>0</v>
      </c>
      <c r="CN119" s="34">
        <v>25.64</v>
      </c>
      <c r="CO119" s="34">
        <v>0</v>
      </c>
      <c r="CP119" s="34">
        <v>0.95</v>
      </c>
      <c r="CQ119" s="34">
        <v>0</v>
      </c>
      <c r="CR119" s="34">
        <v>0</v>
      </c>
      <c r="CS119" s="34">
        <v>2.5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282">
        <v>99.960000000000008</v>
      </c>
      <c r="CZ119" s="286">
        <v>0.35826007535106741</v>
      </c>
      <c r="DA119" s="286">
        <v>0</v>
      </c>
      <c r="DB119" s="286">
        <v>0.27286219888115076</v>
      </c>
      <c r="DC119" s="286">
        <v>0</v>
      </c>
      <c r="DD119" s="286">
        <v>0</v>
      </c>
      <c r="DE119" s="286">
        <v>0</v>
      </c>
      <c r="DF119" s="286">
        <v>0</v>
      </c>
      <c r="DG119" s="286">
        <v>0</v>
      </c>
      <c r="DH119" s="286">
        <v>0</v>
      </c>
      <c r="DI119" s="286">
        <v>0</v>
      </c>
      <c r="DJ119" s="286">
        <v>3.0825436693686491E-3</v>
      </c>
      <c r="DK119" s="286">
        <v>3.3679643794953758E-2</v>
      </c>
      <c r="DL119" s="286">
        <v>0</v>
      </c>
      <c r="DM119" s="286">
        <v>0.29272748030597096</v>
      </c>
      <c r="DN119" s="286">
        <v>0</v>
      </c>
      <c r="DO119" s="286">
        <v>1.0845986984815616E-2</v>
      </c>
      <c r="DP119" s="286">
        <v>0</v>
      </c>
      <c r="DQ119" s="286">
        <v>0</v>
      </c>
      <c r="DR119" s="286">
        <v>2.8542071012672674E-2</v>
      </c>
      <c r="DS119" s="286">
        <v>0</v>
      </c>
      <c r="DT119" s="286">
        <v>0</v>
      </c>
      <c r="DU119" s="286">
        <v>0</v>
      </c>
      <c r="DV119" s="286">
        <v>0</v>
      </c>
      <c r="DW119" s="286">
        <v>0</v>
      </c>
      <c r="DX119" s="34">
        <v>1</v>
      </c>
      <c r="DY119" s="79">
        <v>72.34100297522032</v>
      </c>
      <c r="DZ119" s="79">
        <v>16.298963917751571</v>
      </c>
      <c r="EA119" s="79">
        <v>4.742007579835044E-3</v>
      </c>
      <c r="EB119" s="79">
        <v>1.9075086745076508</v>
      </c>
      <c r="EC119" s="79">
        <v>0</v>
      </c>
      <c r="ED119" s="79">
        <v>0.63379016513651776</v>
      </c>
      <c r="EE119" s="79">
        <v>0</v>
      </c>
      <c r="EF119" s="79">
        <v>3.2258801141902347</v>
      </c>
      <c r="EG119" s="79">
        <v>3.6920103045337007</v>
      </c>
      <c r="EH119" s="79">
        <v>0.15693217617321803</v>
      </c>
      <c r="EI119" s="79">
        <v>0</v>
      </c>
      <c r="EJ119" s="79">
        <v>1.7391696649069175</v>
      </c>
      <c r="EK119" s="79">
        <v>0</v>
      </c>
      <c r="EL119" s="79">
        <v>99.999999999999972</v>
      </c>
      <c r="EM119" s="34">
        <v>70.203153629407126</v>
      </c>
      <c r="EN119" s="34" t="s">
        <v>177</v>
      </c>
      <c r="EO119" s="290">
        <v>2.0839264627931745E-2</v>
      </c>
      <c r="EP119" s="257">
        <f t="shared" si="34"/>
        <v>2.0839264627931744</v>
      </c>
      <c r="EQ119" s="257">
        <f t="shared" si="35"/>
        <v>5.7285180572851804</v>
      </c>
      <c r="ER119" s="324">
        <f t="shared" si="36"/>
        <v>4.0312093628088429E-2</v>
      </c>
      <c r="ES119" s="257">
        <f t="shared" si="31"/>
        <v>0.68416865552903738</v>
      </c>
      <c r="ET119">
        <f t="shared" si="32"/>
        <v>350</v>
      </c>
      <c r="EU119" s="324">
        <f t="shared" si="37"/>
        <v>5.8921281035473436E-2</v>
      </c>
      <c r="EV119" s="39">
        <f t="shared" si="38"/>
        <v>156.4</v>
      </c>
      <c r="EX119">
        <f t="shared" si="39"/>
        <v>27.142857142857146</v>
      </c>
    </row>
    <row r="120" spans="1:160" ht="13" customHeight="1" x14ac:dyDescent="0.2">
      <c r="A120" s="30" t="s">
        <v>178</v>
      </c>
      <c r="B120" s="31" t="s">
        <v>462</v>
      </c>
      <c r="C120" s="86">
        <f t="shared" si="44"/>
        <v>155.4</v>
      </c>
      <c r="D120" s="36">
        <v>400</v>
      </c>
      <c r="E120" s="36">
        <v>500</v>
      </c>
      <c r="F120" s="33">
        <f t="shared" si="26"/>
        <v>450</v>
      </c>
      <c r="G120" s="31" t="s">
        <v>509</v>
      </c>
      <c r="H120" s="84">
        <v>10</v>
      </c>
      <c r="I120" s="85">
        <v>4</v>
      </c>
      <c r="J120" s="85">
        <v>3</v>
      </c>
      <c r="K120" s="89">
        <f t="shared" si="42"/>
        <v>13.333333333333334</v>
      </c>
      <c r="L120" s="33">
        <v>115</v>
      </c>
      <c r="M120" s="33">
        <v>92</v>
      </c>
      <c r="N120" s="33">
        <v>64</v>
      </c>
      <c r="O120" s="33">
        <v>63.97</v>
      </c>
      <c r="P120" s="33">
        <v>16.579999999999998</v>
      </c>
      <c r="Q120" s="33">
        <v>6.02</v>
      </c>
      <c r="R120" s="33">
        <v>0.10299999999999999</v>
      </c>
      <c r="S120" s="33">
        <v>1.74</v>
      </c>
      <c r="T120" s="33">
        <v>2.72</v>
      </c>
      <c r="U120" s="33">
        <v>4.1900000000000004</v>
      </c>
      <c r="V120" s="33">
        <v>1.86</v>
      </c>
      <c r="W120" s="33">
        <v>0.71</v>
      </c>
      <c r="X120" s="33">
        <v>0.13</v>
      </c>
      <c r="Y120" s="33">
        <v>2.2400000000000002</v>
      </c>
      <c r="Z120" s="33">
        <v>100.3</v>
      </c>
      <c r="AA120" s="33">
        <v>10</v>
      </c>
      <c r="AB120" s="33">
        <v>3</v>
      </c>
      <c r="AC120" s="33">
        <v>90</v>
      </c>
      <c r="AD120" s="33">
        <v>0</v>
      </c>
      <c r="AE120" s="33">
        <v>9</v>
      </c>
      <c r="AF120" s="33">
        <v>0</v>
      </c>
      <c r="AG120" s="33">
        <v>0</v>
      </c>
      <c r="AH120" s="33">
        <v>80</v>
      </c>
      <c r="AI120" s="33">
        <v>15</v>
      </c>
      <c r="AJ120" s="33">
        <v>0</v>
      </c>
      <c r="AK120" s="33">
        <v>0</v>
      </c>
      <c r="AL120" s="33">
        <v>75</v>
      </c>
      <c r="AM120" s="33">
        <v>453</v>
      </c>
      <c r="AN120" s="33">
        <v>14</v>
      </c>
      <c r="AO120" s="33">
        <v>187</v>
      </c>
      <c r="AP120" s="33">
        <v>6</v>
      </c>
      <c r="AQ120" s="33" t="s">
        <v>72</v>
      </c>
      <c r="AR120" s="33">
        <v>0.5</v>
      </c>
      <c r="AS120" s="33" t="s">
        <v>73</v>
      </c>
      <c r="AT120" s="33">
        <v>1</v>
      </c>
      <c r="AU120" s="33" t="s">
        <v>74</v>
      </c>
      <c r="AV120" s="33">
        <v>1.4</v>
      </c>
      <c r="AW120" s="33">
        <v>486</v>
      </c>
      <c r="AX120" s="33" t="s">
        <v>75</v>
      </c>
      <c r="AY120" s="33">
        <v>30.3</v>
      </c>
      <c r="AZ120" s="33">
        <v>66.3</v>
      </c>
      <c r="BA120" s="33">
        <v>7.42</v>
      </c>
      <c r="BB120" s="33">
        <v>27.7</v>
      </c>
      <c r="BC120" s="33">
        <v>5</v>
      </c>
      <c r="BD120" s="33">
        <v>1.4</v>
      </c>
      <c r="BE120" s="33">
        <v>4</v>
      </c>
      <c r="BF120" s="33">
        <v>0.5</v>
      </c>
      <c r="BG120" s="33">
        <v>2.9</v>
      </c>
      <c r="BH120" s="33">
        <v>0.5</v>
      </c>
      <c r="BI120" s="33">
        <v>1.5</v>
      </c>
      <c r="BJ120" s="33">
        <v>0.21</v>
      </c>
      <c r="BK120" s="33">
        <v>1.3</v>
      </c>
      <c r="BL120" s="33">
        <v>0.19</v>
      </c>
      <c r="BM120" s="33">
        <v>4.9000000000000004</v>
      </c>
      <c r="BN120" s="33">
        <v>0.3</v>
      </c>
      <c r="BO120" s="33">
        <v>0</v>
      </c>
      <c r="BP120" s="33">
        <v>0.3</v>
      </c>
      <c r="BQ120" s="33">
        <v>24</v>
      </c>
      <c r="BR120" s="33">
        <v>7.1</v>
      </c>
      <c r="BS120" s="33">
        <v>0.7</v>
      </c>
      <c r="BT120" s="34">
        <f t="shared" si="27"/>
        <v>0.68633540372670809</v>
      </c>
      <c r="BU120" s="282">
        <f t="shared" si="28"/>
        <v>149.22000000000003</v>
      </c>
      <c r="BV120" s="35">
        <f t="shared" si="29"/>
        <v>450</v>
      </c>
      <c r="BW120" s="79">
        <f t="shared" si="30"/>
        <v>65.404339250493095</v>
      </c>
      <c r="BX120" s="69">
        <f t="shared" si="33"/>
        <v>0.68633540372670809</v>
      </c>
      <c r="BY120" s="34">
        <v>10.48</v>
      </c>
      <c r="BZ120" s="34">
        <v>0.01</v>
      </c>
      <c r="CA120" s="34">
        <v>31.54</v>
      </c>
      <c r="CB120" s="34">
        <v>0</v>
      </c>
      <c r="CC120" s="34">
        <v>25.5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0.65</v>
      </c>
      <c r="CM120" s="34">
        <v>0</v>
      </c>
      <c r="CN120" s="34">
        <v>25.84</v>
      </c>
      <c r="CO120" s="34">
        <v>0</v>
      </c>
      <c r="CP120" s="34">
        <v>3.33</v>
      </c>
      <c r="CQ120" s="34">
        <v>0</v>
      </c>
      <c r="CR120" s="34">
        <v>0</v>
      </c>
      <c r="CS120" s="34">
        <v>2.56</v>
      </c>
      <c r="CT120" s="34">
        <v>0</v>
      </c>
      <c r="CU120" s="34">
        <v>0</v>
      </c>
      <c r="CV120" s="34">
        <v>0</v>
      </c>
      <c r="CW120" s="34">
        <v>0</v>
      </c>
      <c r="CX120" s="34">
        <v>0</v>
      </c>
      <c r="CY120" s="282">
        <v>99.910000000000011</v>
      </c>
      <c r="CZ120" s="286">
        <v>0.35271751286065756</v>
      </c>
      <c r="DA120" s="286">
        <v>0</v>
      </c>
      <c r="DB120" s="286">
        <v>0.28517110266159695</v>
      </c>
      <c r="DC120" s="286">
        <v>0</v>
      </c>
      <c r="DD120" s="286">
        <v>0</v>
      </c>
      <c r="DE120" s="286">
        <v>0</v>
      </c>
      <c r="DF120" s="286">
        <v>0</v>
      </c>
      <c r="DG120" s="286">
        <v>0</v>
      </c>
      <c r="DH120" s="286">
        <v>0</v>
      </c>
      <c r="DI120" s="286">
        <v>0</v>
      </c>
      <c r="DJ120" s="286">
        <v>0</v>
      </c>
      <c r="DK120" s="286">
        <v>7.2690673227465896E-3</v>
      </c>
      <c r="DL120" s="286">
        <v>0</v>
      </c>
      <c r="DM120" s="286">
        <v>0.28897338403041822</v>
      </c>
      <c r="DN120" s="286">
        <v>0</v>
      </c>
      <c r="DO120" s="286">
        <v>3.7239991053455601E-2</v>
      </c>
      <c r="DP120" s="286">
        <v>0</v>
      </c>
      <c r="DQ120" s="286">
        <v>0</v>
      </c>
      <c r="DR120" s="286">
        <v>2.8628942071125027E-2</v>
      </c>
      <c r="DS120" s="286">
        <v>0</v>
      </c>
      <c r="DT120" s="286">
        <v>0</v>
      </c>
      <c r="DU120" s="286">
        <v>0</v>
      </c>
      <c r="DV120" s="286">
        <v>0</v>
      </c>
      <c r="DW120" s="286">
        <v>0</v>
      </c>
      <c r="DX120" s="34">
        <v>0.99999999999999978</v>
      </c>
      <c r="DY120" s="79">
        <v>72.459619548091737</v>
      </c>
      <c r="DZ120" s="79">
        <v>15.929865813295018</v>
      </c>
      <c r="EA120" s="79">
        <v>0</v>
      </c>
      <c r="EB120" s="79">
        <v>2.0021280114646407</v>
      </c>
      <c r="EC120" s="79">
        <v>0</v>
      </c>
      <c r="ED120" s="79">
        <v>0.69158263506636453</v>
      </c>
      <c r="EE120" s="79">
        <v>0</v>
      </c>
      <c r="EF120" s="79">
        <v>3.3714006300243731</v>
      </c>
      <c r="EG120" s="79">
        <v>3.9604363943392618</v>
      </c>
      <c r="EH120" s="79">
        <v>0.15491959266903021</v>
      </c>
      <c r="EI120" s="79">
        <v>0</v>
      </c>
      <c r="EJ120" s="79">
        <v>1.4300473750495635</v>
      </c>
      <c r="EK120" s="79">
        <v>0</v>
      </c>
      <c r="EL120" s="79">
        <v>99.999999999999986</v>
      </c>
      <c r="EM120" s="34">
        <v>68.481082079279105</v>
      </c>
      <c r="EN120" s="34" t="s">
        <v>178</v>
      </c>
      <c r="EO120" s="290">
        <v>2.1823195324964583E-2</v>
      </c>
      <c r="EP120" s="257">
        <f t="shared" si="34"/>
        <v>2.1823195324964582</v>
      </c>
      <c r="EQ120" s="257">
        <f t="shared" si="35"/>
        <v>1.1230131306150657</v>
      </c>
      <c r="ER120" s="324">
        <f t="shared" si="36"/>
        <v>4.8109965635738834E-2</v>
      </c>
      <c r="ES120" s="257">
        <f t="shared" si="31"/>
        <v>0.68633540372670809</v>
      </c>
      <c r="ET120">
        <f t="shared" si="32"/>
        <v>450</v>
      </c>
      <c r="EU120" s="324">
        <f t="shared" si="37"/>
        <v>7.0096873007728072E-2</v>
      </c>
      <c r="EV120" s="39">
        <f t="shared" si="38"/>
        <v>155.4</v>
      </c>
      <c r="EX120">
        <f t="shared" si="39"/>
        <v>28</v>
      </c>
    </row>
    <row r="121" spans="1:160" ht="13" customHeight="1" x14ac:dyDescent="0.2">
      <c r="A121" s="30" t="s">
        <v>179</v>
      </c>
      <c r="B121" s="31" t="s">
        <v>462</v>
      </c>
      <c r="C121" s="86">
        <f t="shared" si="44"/>
        <v>154.4</v>
      </c>
      <c r="D121" s="36">
        <v>500</v>
      </c>
      <c r="E121" s="36">
        <v>600</v>
      </c>
      <c r="F121" s="33">
        <f t="shared" si="26"/>
        <v>550</v>
      </c>
      <c r="G121" s="31" t="s">
        <v>509</v>
      </c>
      <c r="H121" s="84">
        <v>10</v>
      </c>
      <c r="I121" s="85">
        <v>4</v>
      </c>
      <c r="J121" s="85">
        <v>3</v>
      </c>
      <c r="K121" s="89">
        <f t="shared" si="42"/>
        <v>13.333333333333334</v>
      </c>
      <c r="L121" s="33">
        <v>115</v>
      </c>
      <c r="M121" s="33">
        <v>92</v>
      </c>
      <c r="N121" s="33">
        <v>64</v>
      </c>
      <c r="O121" s="33">
        <v>58.42</v>
      </c>
      <c r="P121" s="33">
        <v>17.3</v>
      </c>
      <c r="Q121" s="33">
        <v>7.27</v>
      </c>
      <c r="R121" s="33">
        <v>0.156</v>
      </c>
      <c r="S121" s="33">
        <v>2.4900000000000002</v>
      </c>
      <c r="T121" s="33">
        <v>4.16</v>
      </c>
      <c r="U121" s="33">
        <v>4.03</v>
      </c>
      <c r="V121" s="33">
        <v>1.86</v>
      </c>
      <c r="W121" s="33">
        <v>0.91100000000000003</v>
      </c>
      <c r="X121" s="33">
        <v>0.37</v>
      </c>
      <c r="Y121" s="33">
        <v>2.48</v>
      </c>
      <c r="Z121" s="33">
        <v>99.44</v>
      </c>
      <c r="AA121" s="33">
        <v>15</v>
      </c>
      <c r="AB121" s="33">
        <v>3</v>
      </c>
      <c r="AC121" s="33">
        <v>125</v>
      </c>
      <c r="AD121" s="33">
        <v>0</v>
      </c>
      <c r="AE121" s="33">
        <v>12</v>
      </c>
      <c r="AF121" s="33">
        <v>0</v>
      </c>
      <c r="AG121" s="33">
        <v>0</v>
      </c>
      <c r="AH121" s="33">
        <v>90</v>
      </c>
      <c r="AI121" s="33">
        <v>16</v>
      </c>
      <c r="AJ121" s="33">
        <v>1</v>
      </c>
      <c r="AK121" s="33">
        <v>0</v>
      </c>
      <c r="AL121" s="33">
        <v>75</v>
      </c>
      <c r="AM121" s="33">
        <v>504</v>
      </c>
      <c r="AN121" s="33">
        <v>24</v>
      </c>
      <c r="AO121" s="33">
        <v>119</v>
      </c>
      <c r="AP121" s="33">
        <v>8</v>
      </c>
      <c r="AQ121" s="33" t="s">
        <v>72</v>
      </c>
      <c r="AR121" s="33" t="s">
        <v>74</v>
      </c>
      <c r="AS121" s="33" t="s">
        <v>73</v>
      </c>
      <c r="AT121" s="33">
        <v>2</v>
      </c>
      <c r="AU121" s="33" t="s">
        <v>74</v>
      </c>
      <c r="AV121" s="33">
        <v>1.4</v>
      </c>
      <c r="AW121" s="33">
        <v>366</v>
      </c>
      <c r="AX121" s="33" t="s">
        <v>75</v>
      </c>
      <c r="AY121" s="33">
        <v>37.299999999999997</v>
      </c>
      <c r="AZ121" s="33">
        <v>82.1</v>
      </c>
      <c r="BA121" s="33">
        <v>10.1</v>
      </c>
      <c r="BB121" s="33">
        <v>38.799999999999997</v>
      </c>
      <c r="BC121" s="33">
        <v>7.8</v>
      </c>
      <c r="BD121" s="33">
        <v>1.93</v>
      </c>
      <c r="BE121" s="33">
        <v>6</v>
      </c>
      <c r="BF121" s="33">
        <v>0.9</v>
      </c>
      <c r="BG121" s="33">
        <v>5.0999999999999996</v>
      </c>
      <c r="BH121" s="33">
        <v>1</v>
      </c>
      <c r="BI121" s="33">
        <v>2.7</v>
      </c>
      <c r="BJ121" s="33">
        <v>0.37</v>
      </c>
      <c r="BK121" s="33">
        <v>2.4</v>
      </c>
      <c r="BL121" s="33">
        <v>0.37</v>
      </c>
      <c r="BM121" s="33">
        <v>3.3</v>
      </c>
      <c r="BN121" s="33">
        <v>0.4</v>
      </c>
      <c r="BO121" s="33">
        <v>0</v>
      </c>
      <c r="BP121" s="33">
        <v>0.3</v>
      </c>
      <c r="BQ121" s="33">
        <v>16</v>
      </c>
      <c r="BR121" s="33">
        <v>8.8000000000000007</v>
      </c>
      <c r="BS121" s="33">
        <v>1.5</v>
      </c>
      <c r="BT121" s="34">
        <f t="shared" si="27"/>
        <v>0.68760469011725289</v>
      </c>
      <c r="BU121" s="282">
        <f t="shared" si="28"/>
        <v>196.87000000000003</v>
      </c>
      <c r="BV121" s="35">
        <f t="shared" si="29"/>
        <v>550</v>
      </c>
      <c r="BW121" s="79">
        <f t="shared" si="30"/>
        <v>63.25411334552102</v>
      </c>
      <c r="BX121" s="69">
        <f t="shared" si="33"/>
        <v>0.68760469011725289</v>
      </c>
      <c r="BY121" s="34">
        <v>10.09</v>
      </c>
      <c r="BZ121" s="34">
        <v>1.3</v>
      </c>
      <c r="CA121" s="34">
        <v>23.66</v>
      </c>
      <c r="CB121" s="34">
        <v>0</v>
      </c>
      <c r="CC121" s="34">
        <v>29.16</v>
      </c>
      <c r="CD121" s="34">
        <v>4.4800000000000004</v>
      </c>
      <c r="CE121" s="34">
        <v>0</v>
      </c>
      <c r="CF121" s="34">
        <v>3.99</v>
      </c>
      <c r="CG121" s="34">
        <v>0</v>
      </c>
      <c r="CH121" s="34">
        <v>0</v>
      </c>
      <c r="CI121" s="34">
        <v>0</v>
      </c>
      <c r="CJ121" s="34">
        <v>0</v>
      </c>
      <c r="CK121" s="34">
        <v>0</v>
      </c>
      <c r="CL121" s="34">
        <v>1.24</v>
      </c>
      <c r="CM121" s="34">
        <v>0</v>
      </c>
      <c r="CN121" s="34">
        <v>24.03</v>
      </c>
      <c r="CO121" s="34">
        <v>0</v>
      </c>
      <c r="CP121" s="34">
        <v>0.54</v>
      </c>
      <c r="CQ121" s="34">
        <v>0</v>
      </c>
      <c r="CR121" s="34">
        <v>0</v>
      </c>
      <c r="CS121" s="34">
        <v>1.5</v>
      </c>
      <c r="CT121" s="34">
        <v>0</v>
      </c>
      <c r="CU121" s="34">
        <v>0</v>
      </c>
      <c r="CV121" s="34">
        <v>0</v>
      </c>
      <c r="CW121" s="34">
        <v>0</v>
      </c>
      <c r="CX121" s="34">
        <v>0</v>
      </c>
      <c r="CY121" s="282">
        <v>99.99</v>
      </c>
      <c r="CZ121" s="286">
        <v>0.26704288939051918</v>
      </c>
      <c r="DA121" s="286">
        <v>0</v>
      </c>
      <c r="DB121" s="286">
        <v>0.32911963882618506</v>
      </c>
      <c r="DC121" s="286">
        <v>5.0564334085778782E-2</v>
      </c>
      <c r="DD121" s="286">
        <v>0</v>
      </c>
      <c r="DE121" s="286">
        <v>4.5033860045146722E-2</v>
      </c>
      <c r="DF121" s="286">
        <v>0</v>
      </c>
      <c r="DG121" s="286">
        <v>0</v>
      </c>
      <c r="DH121" s="286">
        <v>0</v>
      </c>
      <c r="DI121" s="286">
        <v>0</v>
      </c>
      <c r="DJ121" s="286">
        <v>0</v>
      </c>
      <c r="DK121" s="286">
        <v>1.3995485327313768E-2</v>
      </c>
      <c r="DL121" s="286">
        <v>0</v>
      </c>
      <c r="DM121" s="286">
        <v>0.27121896162528214</v>
      </c>
      <c r="DN121" s="286">
        <v>0</v>
      </c>
      <c r="DO121" s="286">
        <v>6.0948081264108351E-3</v>
      </c>
      <c r="DP121" s="286">
        <v>0</v>
      </c>
      <c r="DQ121" s="286">
        <v>0</v>
      </c>
      <c r="DR121" s="286">
        <v>1.6930022573363429E-2</v>
      </c>
      <c r="DS121" s="286">
        <v>0</v>
      </c>
      <c r="DT121" s="286">
        <v>0</v>
      </c>
      <c r="DU121" s="286">
        <v>0</v>
      </c>
      <c r="DV121" s="286">
        <v>0</v>
      </c>
      <c r="DW121" s="286">
        <v>0</v>
      </c>
      <c r="DX121" s="34">
        <v>0.99999999999999989</v>
      </c>
      <c r="DY121" s="79">
        <v>68.496716958122164</v>
      </c>
      <c r="DZ121" s="79">
        <v>17.653680951315074</v>
      </c>
      <c r="EA121" s="79">
        <v>0</v>
      </c>
      <c r="EB121" s="79">
        <v>2.5417957380716683</v>
      </c>
      <c r="EC121" s="79">
        <v>0</v>
      </c>
      <c r="ED121" s="79">
        <v>1.0159315186481743</v>
      </c>
      <c r="EE121" s="79">
        <v>1.6296276358127137</v>
      </c>
      <c r="EF121" s="79">
        <v>3.8909768463065939</v>
      </c>
      <c r="EG121" s="79">
        <v>3.213779451220264</v>
      </c>
      <c r="EH121" s="79">
        <v>0.14540138774401171</v>
      </c>
      <c r="EI121" s="79">
        <v>0</v>
      </c>
      <c r="EJ121" s="79">
        <v>1.4120895127593216</v>
      </c>
      <c r="EK121" s="79">
        <v>0</v>
      </c>
      <c r="EL121" s="79">
        <v>99.999999999999986</v>
      </c>
      <c r="EM121" s="34">
        <v>66.900248383052727</v>
      </c>
      <c r="EN121" s="34" t="s">
        <v>179</v>
      </c>
      <c r="EO121" s="290">
        <v>2.7705573544981186E-2</v>
      </c>
      <c r="EP121" s="257">
        <f t="shared" si="34"/>
        <v>2.7705573544981186</v>
      </c>
      <c r="EQ121" s="257">
        <f t="shared" si="35"/>
        <v>1.9094548814290115</v>
      </c>
      <c r="ER121" s="324">
        <f t="shared" si="36"/>
        <v>4.7385219739749573E-2</v>
      </c>
      <c r="ES121" s="257">
        <f t="shared" si="31"/>
        <v>0.68760469011725289</v>
      </c>
      <c r="ET121">
        <f t="shared" si="32"/>
        <v>550</v>
      </c>
      <c r="EU121" s="324">
        <f t="shared" si="37"/>
        <v>6.8913462081925697E-2</v>
      </c>
      <c r="EV121" s="39">
        <f t="shared" si="38"/>
        <v>154.4</v>
      </c>
      <c r="EX121">
        <f t="shared" si="39"/>
        <v>24</v>
      </c>
    </row>
    <row r="122" spans="1:160" ht="13" customHeight="1" x14ac:dyDescent="0.2">
      <c r="A122" s="30" t="s">
        <v>180</v>
      </c>
      <c r="B122" s="31" t="s">
        <v>462</v>
      </c>
      <c r="C122" s="86">
        <f t="shared" si="44"/>
        <v>153.4</v>
      </c>
      <c r="D122" s="36">
        <v>600</v>
      </c>
      <c r="E122" s="36">
        <v>700</v>
      </c>
      <c r="F122" s="33">
        <f t="shared" si="26"/>
        <v>650</v>
      </c>
      <c r="G122" s="31" t="s">
        <v>509</v>
      </c>
      <c r="H122" s="84">
        <v>10</v>
      </c>
      <c r="I122" s="85">
        <v>4</v>
      </c>
      <c r="J122" s="85">
        <v>3</v>
      </c>
      <c r="K122" s="89">
        <f t="shared" si="42"/>
        <v>13.333333333333334</v>
      </c>
      <c r="L122" s="33">
        <v>115</v>
      </c>
      <c r="M122" s="33">
        <v>92</v>
      </c>
      <c r="N122" s="33">
        <v>64</v>
      </c>
      <c r="O122" s="33">
        <v>63.75</v>
      </c>
      <c r="P122" s="33">
        <v>15.62</v>
      </c>
      <c r="Q122" s="33">
        <v>6.27</v>
      </c>
      <c r="R122" s="33">
        <v>0.11700000000000001</v>
      </c>
      <c r="S122" s="33">
        <v>2</v>
      </c>
      <c r="T122" s="33">
        <v>2.7</v>
      </c>
      <c r="U122" s="33">
        <v>3.84</v>
      </c>
      <c r="V122" s="33">
        <v>1.83</v>
      </c>
      <c r="W122" s="33">
        <v>0.86299999999999999</v>
      </c>
      <c r="X122" s="33">
        <v>0.22</v>
      </c>
      <c r="Y122" s="33">
        <v>2.14</v>
      </c>
      <c r="Z122" s="33">
        <v>99.36</v>
      </c>
      <c r="AA122" s="33">
        <v>12</v>
      </c>
      <c r="AB122" s="33">
        <v>3</v>
      </c>
      <c r="AC122" s="33">
        <v>82</v>
      </c>
      <c r="AD122" s="33">
        <v>20</v>
      </c>
      <c r="AE122" s="33">
        <v>9</v>
      </c>
      <c r="AF122" s="33">
        <v>0</v>
      </c>
      <c r="AG122" s="33">
        <v>0</v>
      </c>
      <c r="AH122" s="33">
        <v>90</v>
      </c>
      <c r="AI122" s="33">
        <v>14</v>
      </c>
      <c r="AJ122" s="33">
        <v>1</v>
      </c>
      <c r="AK122" s="33">
        <v>0</v>
      </c>
      <c r="AL122" s="33">
        <v>81</v>
      </c>
      <c r="AM122" s="33">
        <v>398</v>
      </c>
      <c r="AN122" s="33">
        <v>18</v>
      </c>
      <c r="AO122" s="33">
        <v>237</v>
      </c>
      <c r="AP122" s="33">
        <v>7</v>
      </c>
      <c r="AQ122" s="33" t="s">
        <v>72</v>
      </c>
      <c r="AR122" s="33">
        <v>0.7</v>
      </c>
      <c r="AS122" s="33" t="s">
        <v>73</v>
      </c>
      <c r="AT122" s="33">
        <v>2</v>
      </c>
      <c r="AU122" s="33" t="s">
        <v>74</v>
      </c>
      <c r="AV122" s="33">
        <v>1.5</v>
      </c>
      <c r="AW122" s="33">
        <v>444</v>
      </c>
      <c r="AX122" s="33" t="s">
        <v>75</v>
      </c>
      <c r="AY122" s="33">
        <v>35.4</v>
      </c>
      <c r="AZ122" s="33">
        <v>69.400000000000006</v>
      </c>
      <c r="BA122" s="33">
        <v>8.8000000000000007</v>
      </c>
      <c r="BB122" s="33">
        <v>33.700000000000003</v>
      </c>
      <c r="BC122" s="33">
        <v>6.5</v>
      </c>
      <c r="BD122" s="33">
        <v>1.64</v>
      </c>
      <c r="BE122" s="33">
        <v>5.3</v>
      </c>
      <c r="BF122" s="33">
        <v>0.7</v>
      </c>
      <c r="BG122" s="33">
        <v>3.7</v>
      </c>
      <c r="BH122" s="33">
        <v>0.7</v>
      </c>
      <c r="BI122" s="33">
        <v>2</v>
      </c>
      <c r="BJ122" s="33">
        <v>0.26</v>
      </c>
      <c r="BK122" s="33">
        <v>1.7</v>
      </c>
      <c r="BL122" s="33">
        <v>0.27</v>
      </c>
      <c r="BM122" s="33">
        <v>5.7</v>
      </c>
      <c r="BN122" s="33">
        <v>0.3</v>
      </c>
      <c r="BO122" s="33">
        <v>0</v>
      </c>
      <c r="BP122" s="33">
        <v>0.3</v>
      </c>
      <c r="BQ122" s="33">
        <v>122</v>
      </c>
      <c r="BR122" s="33">
        <v>7.8</v>
      </c>
      <c r="BS122" s="33">
        <v>1.2</v>
      </c>
      <c r="BT122" s="34">
        <f t="shared" si="27"/>
        <v>0.66221374045801529</v>
      </c>
      <c r="BU122" s="282">
        <f t="shared" si="28"/>
        <v>170.06999999999996</v>
      </c>
      <c r="BV122" s="35">
        <f t="shared" si="29"/>
        <v>650</v>
      </c>
      <c r="BW122" s="79">
        <f t="shared" si="30"/>
        <v>65.110462692788659</v>
      </c>
      <c r="BX122" s="69">
        <f t="shared" si="33"/>
        <v>0.66221374045801529</v>
      </c>
      <c r="BY122" s="34">
        <v>9.74</v>
      </c>
      <c r="BZ122" s="34">
        <v>1.7</v>
      </c>
      <c r="CA122" s="34">
        <v>30.14</v>
      </c>
      <c r="CB122" s="34">
        <v>0</v>
      </c>
      <c r="CC122" s="34">
        <v>26.09</v>
      </c>
      <c r="CD122" s="34">
        <v>6.19</v>
      </c>
      <c r="CE122" s="34">
        <v>0</v>
      </c>
      <c r="CF122" s="34">
        <v>1.38</v>
      </c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0.67</v>
      </c>
      <c r="CM122" s="34">
        <v>0</v>
      </c>
      <c r="CN122" s="34">
        <v>21.72</v>
      </c>
      <c r="CO122" s="34">
        <v>0</v>
      </c>
      <c r="CP122" s="34">
        <v>0.5</v>
      </c>
      <c r="CQ122" s="34">
        <v>0</v>
      </c>
      <c r="CR122" s="34">
        <v>0</v>
      </c>
      <c r="CS122" s="34">
        <v>1.84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282">
        <v>99.97</v>
      </c>
      <c r="CZ122" s="286">
        <v>0.34044956511916863</v>
      </c>
      <c r="DA122" s="286">
        <v>0</v>
      </c>
      <c r="DB122" s="286">
        <v>0.2947023607816559</v>
      </c>
      <c r="DC122" s="286">
        <v>6.9919801197334236E-2</v>
      </c>
      <c r="DD122" s="286">
        <v>0</v>
      </c>
      <c r="DE122" s="286">
        <v>1.5587936292782106E-2</v>
      </c>
      <c r="DF122" s="286">
        <v>0</v>
      </c>
      <c r="DG122" s="286">
        <v>0</v>
      </c>
      <c r="DH122" s="286">
        <v>0</v>
      </c>
      <c r="DI122" s="286">
        <v>0</v>
      </c>
      <c r="DJ122" s="286">
        <v>0</v>
      </c>
      <c r="DK122" s="286">
        <v>7.5680560262058067E-3</v>
      </c>
      <c r="DL122" s="286">
        <v>0</v>
      </c>
      <c r="DM122" s="286">
        <v>0.24534056252117925</v>
      </c>
      <c r="DN122" s="286">
        <v>0</v>
      </c>
      <c r="DO122" s="286">
        <v>5.6478030046311981E-3</v>
      </c>
      <c r="DP122" s="286">
        <v>0</v>
      </c>
      <c r="DQ122" s="286">
        <v>0</v>
      </c>
      <c r="DR122" s="286">
        <v>2.0783915057042811E-2</v>
      </c>
      <c r="DS122" s="286">
        <v>0</v>
      </c>
      <c r="DT122" s="286">
        <v>0</v>
      </c>
      <c r="DU122" s="286">
        <v>0</v>
      </c>
      <c r="DV122" s="286">
        <v>0</v>
      </c>
      <c r="DW122" s="286">
        <v>0</v>
      </c>
      <c r="DX122" s="34">
        <v>0.99999999999999978</v>
      </c>
      <c r="DY122" s="79">
        <v>71.533547063478338</v>
      </c>
      <c r="DZ122" s="79">
        <v>16.544597353119929</v>
      </c>
      <c r="EA122" s="79">
        <v>0</v>
      </c>
      <c r="EB122" s="79">
        <v>1.8574774502320237</v>
      </c>
      <c r="EC122" s="79">
        <v>0</v>
      </c>
      <c r="ED122" s="79">
        <v>0.67443257547528879</v>
      </c>
      <c r="EE122" s="79">
        <v>1.6208396045658799</v>
      </c>
      <c r="EF122" s="79">
        <v>3.4840827683300333</v>
      </c>
      <c r="EG122" s="79">
        <v>3.0012650158178564</v>
      </c>
      <c r="EH122" s="79">
        <v>0.13152789188007355</v>
      </c>
      <c r="EI122" s="79">
        <v>0</v>
      </c>
      <c r="EJ122" s="79">
        <v>1.1522302771005644</v>
      </c>
      <c r="EK122" s="79">
        <v>0</v>
      </c>
      <c r="EL122" s="79">
        <v>99.999999999999986</v>
      </c>
      <c r="EM122" s="34">
        <v>67.115905340907318</v>
      </c>
      <c r="EN122" s="34" t="s">
        <v>180</v>
      </c>
      <c r="EO122" s="290">
        <v>2.0246504207529058E-2</v>
      </c>
      <c r="EP122" s="257">
        <f t="shared" si="34"/>
        <v>2.0246504207529057</v>
      </c>
      <c r="EQ122" s="257">
        <f t="shared" si="35"/>
        <v>1.1474567562938862</v>
      </c>
      <c r="ER122" s="324">
        <f t="shared" si="36"/>
        <v>4.6406338426711935E-2</v>
      </c>
      <c r="ES122" s="257">
        <f t="shared" si="31"/>
        <v>0.66221374045801529</v>
      </c>
      <c r="ET122">
        <f t="shared" si="32"/>
        <v>650</v>
      </c>
      <c r="EU122" s="324">
        <f t="shared" si="37"/>
        <v>7.0077583099703328E-2</v>
      </c>
      <c r="EV122" s="39">
        <f t="shared" si="38"/>
        <v>153.4</v>
      </c>
      <c r="EX122">
        <f t="shared" si="39"/>
        <v>25.714285714285715</v>
      </c>
    </row>
    <row r="123" spans="1:160" ht="13" customHeight="1" x14ac:dyDescent="0.2">
      <c r="A123" s="30" t="s">
        <v>181</v>
      </c>
      <c r="B123" s="31" t="s">
        <v>462</v>
      </c>
      <c r="C123" s="86">
        <f t="shared" si="44"/>
        <v>152.4</v>
      </c>
      <c r="D123" s="36">
        <v>700</v>
      </c>
      <c r="E123" s="36">
        <v>800</v>
      </c>
      <c r="F123" s="33">
        <f t="shared" si="26"/>
        <v>750</v>
      </c>
      <c r="G123" s="31" t="s">
        <v>510</v>
      </c>
      <c r="H123" s="84">
        <v>10</v>
      </c>
      <c r="I123" s="85">
        <v>4</v>
      </c>
      <c r="J123" s="85">
        <v>2</v>
      </c>
      <c r="K123" s="89">
        <f t="shared" si="42"/>
        <v>20</v>
      </c>
      <c r="L123" s="33">
        <v>110</v>
      </c>
      <c r="M123" s="33">
        <v>93</v>
      </c>
      <c r="N123" s="33">
        <v>75</v>
      </c>
      <c r="O123" s="33">
        <v>66.290000000000006</v>
      </c>
      <c r="P123" s="33">
        <v>15.25</v>
      </c>
      <c r="Q123" s="33">
        <v>5.03</v>
      </c>
      <c r="R123" s="33">
        <v>9.1999999999999998E-2</v>
      </c>
      <c r="S123" s="33">
        <v>1.87</v>
      </c>
      <c r="T123" s="33">
        <v>2.4900000000000002</v>
      </c>
      <c r="U123" s="33">
        <v>4.08</v>
      </c>
      <c r="V123" s="33">
        <v>1.61</v>
      </c>
      <c r="W123" s="33">
        <v>0.65800000000000003</v>
      </c>
      <c r="X123" s="33">
        <v>0.17</v>
      </c>
      <c r="Y123" s="33">
        <v>2.0499999999999998</v>
      </c>
      <c r="Z123" s="33">
        <v>99.58</v>
      </c>
      <c r="AA123" s="33">
        <v>11</v>
      </c>
      <c r="AB123" s="33">
        <v>2</v>
      </c>
      <c r="AC123" s="33">
        <v>78</v>
      </c>
      <c r="AD123" s="33">
        <v>20</v>
      </c>
      <c r="AE123" s="33">
        <v>8</v>
      </c>
      <c r="AF123" s="33">
        <v>0</v>
      </c>
      <c r="AG123" s="33">
        <v>0</v>
      </c>
      <c r="AH123" s="33">
        <v>60</v>
      </c>
      <c r="AI123" s="33">
        <v>13</v>
      </c>
      <c r="AJ123" s="33">
        <v>0</v>
      </c>
      <c r="AK123" s="33">
        <v>0</v>
      </c>
      <c r="AL123" s="33">
        <v>68</v>
      </c>
      <c r="AM123" s="33">
        <v>381</v>
      </c>
      <c r="AN123" s="33">
        <v>13</v>
      </c>
      <c r="AO123" s="33">
        <v>174</v>
      </c>
      <c r="AP123" s="33">
        <v>5</v>
      </c>
      <c r="AQ123" s="33" t="s">
        <v>72</v>
      </c>
      <c r="AR123" s="33" t="s">
        <v>74</v>
      </c>
      <c r="AS123" s="33" t="s">
        <v>73</v>
      </c>
      <c r="AT123" s="33">
        <v>1</v>
      </c>
      <c r="AU123" s="33" t="s">
        <v>74</v>
      </c>
      <c r="AV123" s="33">
        <v>1.3</v>
      </c>
      <c r="AW123" s="33">
        <v>390</v>
      </c>
      <c r="AX123" s="33" t="s">
        <v>75</v>
      </c>
      <c r="AY123" s="33">
        <v>24.5</v>
      </c>
      <c r="AZ123" s="33">
        <v>47.9</v>
      </c>
      <c r="BA123" s="33">
        <v>6.15</v>
      </c>
      <c r="BB123" s="33">
        <v>23.6</v>
      </c>
      <c r="BC123" s="33">
        <v>4.5</v>
      </c>
      <c r="BD123" s="33">
        <v>1.27</v>
      </c>
      <c r="BE123" s="33">
        <v>3.3</v>
      </c>
      <c r="BF123" s="33">
        <v>0.4</v>
      </c>
      <c r="BG123" s="33">
        <v>2.5</v>
      </c>
      <c r="BH123" s="33">
        <v>0.5</v>
      </c>
      <c r="BI123" s="33">
        <v>1.3</v>
      </c>
      <c r="BJ123" s="33">
        <v>0.18</v>
      </c>
      <c r="BK123" s="33">
        <v>1.2</v>
      </c>
      <c r="BL123" s="33">
        <v>0.18</v>
      </c>
      <c r="BM123" s="33">
        <v>4.2</v>
      </c>
      <c r="BN123" s="33">
        <v>0.3</v>
      </c>
      <c r="BO123" s="33">
        <v>0</v>
      </c>
      <c r="BP123" s="33">
        <v>0.2</v>
      </c>
      <c r="BQ123" s="33">
        <v>22</v>
      </c>
      <c r="BR123" s="33">
        <v>4.0999999999999996</v>
      </c>
      <c r="BS123" s="33">
        <v>0.7</v>
      </c>
      <c r="BT123" s="34">
        <f t="shared" si="27"/>
        <v>0.66160220994475127</v>
      </c>
      <c r="BU123" s="282">
        <f t="shared" si="28"/>
        <v>117.48000000000002</v>
      </c>
      <c r="BV123" s="35">
        <f t="shared" si="29"/>
        <v>750</v>
      </c>
      <c r="BW123" s="79">
        <f t="shared" si="30"/>
        <v>65.087494664959451</v>
      </c>
      <c r="BX123" s="69">
        <f t="shared" si="33"/>
        <v>0.66160220994475127</v>
      </c>
      <c r="BY123" s="34">
        <v>10.6</v>
      </c>
      <c r="BZ123" s="34">
        <v>1.5</v>
      </c>
      <c r="CA123" s="34">
        <v>27.63</v>
      </c>
      <c r="CB123" s="34">
        <v>0</v>
      </c>
      <c r="CC123" s="34">
        <v>25.33</v>
      </c>
      <c r="CD123" s="34">
        <v>7.66</v>
      </c>
      <c r="CE123" s="34">
        <v>0</v>
      </c>
      <c r="CF123" s="34">
        <v>0</v>
      </c>
      <c r="CG123" s="34">
        <v>0</v>
      </c>
      <c r="CH123" s="34">
        <v>0</v>
      </c>
      <c r="CI123" s="34">
        <v>0</v>
      </c>
      <c r="CJ123" s="34">
        <v>0</v>
      </c>
      <c r="CK123" s="34">
        <v>0</v>
      </c>
      <c r="CL123" s="34">
        <v>0.7</v>
      </c>
      <c r="CM123" s="34">
        <v>0</v>
      </c>
      <c r="CN123" s="34">
        <v>23.8</v>
      </c>
      <c r="CO123" s="34">
        <v>0</v>
      </c>
      <c r="CP123" s="34">
        <v>0.4</v>
      </c>
      <c r="CQ123" s="34">
        <v>0</v>
      </c>
      <c r="CR123" s="34">
        <v>0</v>
      </c>
      <c r="CS123" s="34">
        <v>2.36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282">
        <v>99.98</v>
      </c>
      <c r="CZ123" s="286">
        <v>0.31440600819299047</v>
      </c>
      <c r="DA123" s="286">
        <v>0</v>
      </c>
      <c r="DB123" s="286">
        <v>0.28823395539371871</v>
      </c>
      <c r="DC123" s="286">
        <v>8.7164314974965865E-2</v>
      </c>
      <c r="DD123" s="286">
        <v>0</v>
      </c>
      <c r="DE123" s="286">
        <v>0</v>
      </c>
      <c r="DF123" s="286">
        <v>0</v>
      </c>
      <c r="DG123" s="286">
        <v>0</v>
      </c>
      <c r="DH123" s="286">
        <v>0</v>
      </c>
      <c r="DI123" s="286">
        <v>0</v>
      </c>
      <c r="DJ123" s="286">
        <v>0</v>
      </c>
      <c r="DK123" s="286">
        <v>7.965407373691398E-3</v>
      </c>
      <c r="DL123" s="286">
        <v>0</v>
      </c>
      <c r="DM123" s="286">
        <v>0.27082385070550752</v>
      </c>
      <c r="DN123" s="286">
        <v>0</v>
      </c>
      <c r="DO123" s="286">
        <v>4.5516613563950847E-3</v>
      </c>
      <c r="DP123" s="286">
        <v>0</v>
      </c>
      <c r="DQ123" s="286">
        <v>0</v>
      </c>
      <c r="DR123" s="286">
        <v>2.6854802002730997E-2</v>
      </c>
      <c r="DS123" s="286">
        <v>0</v>
      </c>
      <c r="DT123" s="286">
        <v>0</v>
      </c>
      <c r="DU123" s="286">
        <v>0</v>
      </c>
      <c r="DV123" s="286">
        <v>0</v>
      </c>
      <c r="DW123" s="286">
        <v>0</v>
      </c>
      <c r="DX123" s="34">
        <v>1.0000000000000002</v>
      </c>
      <c r="DY123" s="79">
        <v>69.979953615790407</v>
      </c>
      <c r="DZ123" s="79">
        <v>17.815783159250305</v>
      </c>
      <c r="EA123" s="79">
        <v>0</v>
      </c>
      <c r="EB123" s="79">
        <v>1.7401704116325178</v>
      </c>
      <c r="EC123" s="79">
        <v>0</v>
      </c>
      <c r="ED123" s="79">
        <v>0.57274444424782089</v>
      </c>
      <c r="EE123" s="79">
        <v>1.7572748061052121</v>
      </c>
      <c r="EF123" s="79">
        <v>3.4076108334228596</v>
      </c>
      <c r="EG123" s="79">
        <v>3.3596741185946479</v>
      </c>
      <c r="EH123" s="79">
        <v>0.14518956746528278</v>
      </c>
      <c r="EI123" s="79">
        <v>0</v>
      </c>
      <c r="EJ123" s="79">
        <v>1.2215990434909429</v>
      </c>
      <c r="EK123" s="79">
        <v>0</v>
      </c>
      <c r="EL123" s="79">
        <v>99.999999999999986</v>
      </c>
      <c r="EM123" s="34">
        <v>67.636868719350417</v>
      </c>
      <c r="EN123" s="34" t="s">
        <v>181</v>
      </c>
      <c r="EO123" s="290">
        <v>1.8967857486794446E-2</v>
      </c>
      <c r="EP123" s="257">
        <f t="shared" si="34"/>
        <v>1.8967857486794446</v>
      </c>
      <c r="EQ123" s="257">
        <f t="shared" si="35"/>
        <v>1.1618257261410789</v>
      </c>
      <c r="ER123" s="324">
        <f t="shared" si="36"/>
        <v>5.1065540812223559E-2</v>
      </c>
      <c r="ES123" s="257">
        <f t="shared" si="31"/>
        <v>0.66160220994475127</v>
      </c>
      <c r="ET123">
        <f t="shared" si="32"/>
        <v>750</v>
      </c>
      <c r="EU123" s="324">
        <f t="shared" si="37"/>
        <v>7.718465876419596E-2</v>
      </c>
      <c r="EV123" s="39">
        <f t="shared" si="38"/>
        <v>152.4</v>
      </c>
      <c r="EX123">
        <f t="shared" si="39"/>
        <v>26</v>
      </c>
    </row>
    <row r="124" spans="1:160" s="61" customFormat="1" ht="13" customHeight="1" x14ac:dyDescent="0.2">
      <c r="A124" s="57" t="s">
        <v>564</v>
      </c>
      <c r="B124" s="58" t="s">
        <v>464</v>
      </c>
      <c r="C124" s="58">
        <v>0</v>
      </c>
      <c r="D124" s="59">
        <v>10000</v>
      </c>
      <c r="E124" s="59">
        <v>10000</v>
      </c>
      <c r="F124" s="59">
        <v>1000</v>
      </c>
      <c r="G124" s="64"/>
      <c r="H124" s="64"/>
      <c r="I124" s="64"/>
      <c r="J124" s="64"/>
      <c r="K124" s="96"/>
      <c r="L124" s="59"/>
      <c r="M124" s="59"/>
      <c r="N124" s="59"/>
      <c r="O124" s="97">
        <v>68.28</v>
      </c>
      <c r="P124" s="97">
        <v>15.89</v>
      </c>
      <c r="Q124" s="97">
        <v>1.96</v>
      </c>
      <c r="R124" s="97">
        <v>3.5000000000000003E-2</v>
      </c>
      <c r="S124" s="97">
        <v>0.5</v>
      </c>
      <c r="T124" s="97">
        <v>2.2400000000000002</v>
      </c>
      <c r="U124" s="97">
        <v>4.05</v>
      </c>
      <c r="V124" s="97">
        <v>4.59</v>
      </c>
      <c r="W124" s="97">
        <v>0.29799999999999999</v>
      </c>
      <c r="X124" s="97">
        <v>0.08</v>
      </c>
      <c r="Y124" s="97">
        <v>0.36</v>
      </c>
      <c r="Z124" s="97">
        <f>SUM(O124:Y124)</f>
        <v>98.282999999999987</v>
      </c>
      <c r="AA124" s="97">
        <v>3</v>
      </c>
      <c r="AB124" s="97">
        <v>2</v>
      </c>
      <c r="AC124" s="97">
        <v>28</v>
      </c>
      <c r="AD124" s="97" t="s">
        <v>69</v>
      </c>
      <c r="AE124" s="97">
        <v>4</v>
      </c>
      <c r="AF124" s="97" t="s">
        <v>69</v>
      </c>
      <c r="AG124" s="97">
        <v>20</v>
      </c>
      <c r="AH124" s="97">
        <v>40</v>
      </c>
      <c r="AI124" s="97">
        <v>19</v>
      </c>
      <c r="AJ124" s="97" t="s">
        <v>68</v>
      </c>
      <c r="AK124" s="97" t="s">
        <v>71</v>
      </c>
      <c r="AL124" s="97">
        <v>96</v>
      </c>
      <c r="AM124" s="97">
        <v>644</v>
      </c>
      <c r="AN124" s="97">
        <v>3</v>
      </c>
      <c r="AO124" s="97">
        <v>157</v>
      </c>
      <c r="AP124" s="97">
        <v>2</v>
      </c>
      <c r="AQ124" s="97" t="s">
        <v>72</v>
      </c>
      <c r="AR124" s="97">
        <v>0.5</v>
      </c>
      <c r="AS124" s="97" t="s">
        <v>73</v>
      </c>
      <c r="AT124" s="97">
        <v>1</v>
      </c>
      <c r="AU124" s="97" t="s">
        <v>74</v>
      </c>
      <c r="AV124" s="97">
        <v>2.5</v>
      </c>
      <c r="AW124" s="97">
        <v>1512</v>
      </c>
      <c r="AX124" s="97">
        <v>9.8000000000000007</v>
      </c>
      <c r="AY124" s="97">
        <v>25.6</v>
      </c>
      <c r="AZ124" s="97">
        <v>2.1800000000000002</v>
      </c>
      <c r="BA124" s="97">
        <v>7.1</v>
      </c>
      <c r="BB124" s="97">
        <v>1</v>
      </c>
      <c r="BC124" s="97">
        <v>0.53</v>
      </c>
      <c r="BD124" s="97">
        <v>0.6</v>
      </c>
      <c r="BE124" s="97">
        <v>0.1</v>
      </c>
      <c r="BF124" s="97">
        <v>0.6</v>
      </c>
      <c r="BG124" s="97">
        <v>0.1</v>
      </c>
      <c r="BH124" s="97">
        <v>0.4</v>
      </c>
      <c r="BI124" s="97">
        <v>7.0000000000000007E-2</v>
      </c>
      <c r="BJ124" s="97">
        <v>0.5</v>
      </c>
      <c r="BK124" s="97">
        <v>0.08</v>
      </c>
      <c r="BL124" s="97">
        <v>3.9</v>
      </c>
      <c r="BM124" s="97">
        <v>0.2</v>
      </c>
      <c r="BN124" s="97">
        <v>6</v>
      </c>
      <c r="BO124" s="97">
        <v>0.5</v>
      </c>
      <c r="BP124" s="97">
        <v>27</v>
      </c>
      <c r="BQ124" s="97" t="s">
        <v>75</v>
      </c>
      <c r="BR124" s="97">
        <v>14.5</v>
      </c>
      <c r="BS124" s="97">
        <v>1.4</v>
      </c>
      <c r="BT124" s="60">
        <f t="shared" si="27"/>
        <v>7.847372210223183E-2</v>
      </c>
      <c r="BU124" s="61">
        <f t="shared" si="28"/>
        <v>42.760000000000005</v>
      </c>
      <c r="BV124" s="61">
        <f t="shared" si="29"/>
        <v>1000</v>
      </c>
      <c r="BW124" s="62">
        <f t="shared" si="30"/>
        <v>59.357489727306678</v>
      </c>
      <c r="BX124" s="69">
        <f t="shared" si="33"/>
        <v>7.847372210223183E-2</v>
      </c>
      <c r="EP124"/>
      <c r="EQ124"/>
      <c r="ER124" s="324">
        <f t="shared" si="36"/>
        <v>0.37499999999999994</v>
      </c>
      <c r="ES124" s="257"/>
      <c r="ET124"/>
      <c r="EU124"/>
      <c r="EV124"/>
      <c r="EW124"/>
      <c r="EX124"/>
      <c r="EY124"/>
      <c r="EZ124"/>
      <c r="FA124"/>
      <c r="FB124"/>
      <c r="FC124"/>
      <c r="FD124"/>
    </row>
    <row r="125" spans="1:160" s="61" customFormat="1" ht="13" customHeight="1" x14ac:dyDescent="0.2">
      <c r="A125" s="57" t="s">
        <v>565</v>
      </c>
      <c r="B125" s="58" t="s">
        <v>464</v>
      </c>
      <c r="C125" s="58">
        <v>0</v>
      </c>
      <c r="D125" s="59">
        <v>10000</v>
      </c>
      <c r="E125" s="59">
        <v>10000</v>
      </c>
      <c r="F125" s="59">
        <v>1000</v>
      </c>
      <c r="G125" s="64"/>
      <c r="H125" s="64"/>
      <c r="I125" s="64"/>
      <c r="J125" s="64"/>
      <c r="K125" s="96"/>
      <c r="L125" s="59"/>
      <c r="M125" s="59"/>
      <c r="N125" s="59"/>
      <c r="O125" s="59">
        <v>72.67</v>
      </c>
      <c r="P125" s="59">
        <v>14.12</v>
      </c>
      <c r="Q125" s="59">
        <v>1.66</v>
      </c>
      <c r="R125" s="59">
        <v>2.8000000000000001E-2</v>
      </c>
      <c r="S125" s="59">
        <v>0.41</v>
      </c>
      <c r="T125" s="59">
        <v>1.62</v>
      </c>
      <c r="U125" s="59">
        <v>3.52</v>
      </c>
      <c r="V125" s="59">
        <v>4.8</v>
      </c>
      <c r="W125" s="59">
        <v>0.20799999999999999</v>
      </c>
      <c r="X125" s="59">
        <v>0.06</v>
      </c>
      <c r="Y125" s="97">
        <v>0.24</v>
      </c>
      <c r="Z125" s="97">
        <f t="shared" ref="Z125:Z128" si="45">SUM(O125:Y125)</f>
        <v>99.335999999999999</v>
      </c>
      <c r="AA125" s="97">
        <v>3</v>
      </c>
      <c r="AB125" s="97">
        <v>2</v>
      </c>
      <c r="AC125" s="97">
        <v>21</v>
      </c>
      <c r="AD125" s="97" t="s">
        <v>69</v>
      </c>
      <c r="AE125" s="97">
        <v>3</v>
      </c>
      <c r="AF125" s="97" t="s">
        <v>69</v>
      </c>
      <c r="AG125" s="97">
        <v>40</v>
      </c>
      <c r="AH125" s="97">
        <v>40</v>
      </c>
      <c r="AI125" s="97">
        <v>20</v>
      </c>
      <c r="AJ125" s="97">
        <v>1</v>
      </c>
      <c r="AK125" s="97" t="s">
        <v>71</v>
      </c>
      <c r="AL125" s="97">
        <v>120</v>
      </c>
      <c r="AM125" s="97">
        <v>381</v>
      </c>
      <c r="AN125" s="97">
        <v>4</v>
      </c>
      <c r="AO125" s="97">
        <v>88</v>
      </c>
      <c r="AP125" s="97">
        <v>4</v>
      </c>
      <c r="AQ125" s="97" t="s">
        <v>72</v>
      </c>
      <c r="AR125" s="97" t="s">
        <v>74</v>
      </c>
      <c r="AS125" s="97" t="s">
        <v>73</v>
      </c>
      <c r="AT125" s="97">
        <v>1</v>
      </c>
      <c r="AU125" s="97" t="s">
        <v>74</v>
      </c>
      <c r="AV125" s="97">
        <v>1.3</v>
      </c>
      <c r="AW125" s="97">
        <v>882</v>
      </c>
      <c r="AX125" s="97">
        <v>9.6999999999999993</v>
      </c>
      <c r="AY125" s="97">
        <v>26</v>
      </c>
      <c r="AZ125" s="97">
        <v>2.2200000000000002</v>
      </c>
      <c r="BA125" s="97">
        <v>7.7</v>
      </c>
      <c r="BB125" s="97">
        <v>1.4</v>
      </c>
      <c r="BC125" s="97">
        <v>0.51</v>
      </c>
      <c r="BD125" s="97">
        <v>0.9</v>
      </c>
      <c r="BE125" s="97">
        <v>0.1</v>
      </c>
      <c r="BF125" s="97">
        <v>0.7</v>
      </c>
      <c r="BG125" s="97">
        <v>0.1</v>
      </c>
      <c r="BH125" s="97">
        <v>0.4</v>
      </c>
      <c r="BI125" s="97">
        <v>0.05</v>
      </c>
      <c r="BJ125" s="97">
        <v>0.3</v>
      </c>
      <c r="BK125" s="97">
        <v>0.05</v>
      </c>
      <c r="BL125" s="97">
        <v>2.5</v>
      </c>
      <c r="BM125" s="97">
        <v>0.6</v>
      </c>
      <c r="BN125" s="97" t="s">
        <v>68</v>
      </c>
      <c r="BO125" s="97">
        <v>0.7</v>
      </c>
      <c r="BP125" s="97">
        <v>32</v>
      </c>
      <c r="BQ125" s="97" t="s">
        <v>75</v>
      </c>
      <c r="BR125" s="97">
        <v>16.3</v>
      </c>
      <c r="BS125" s="97">
        <v>1.8</v>
      </c>
      <c r="BT125" s="60">
        <f t="shared" si="27"/>
        <v>7.8667611622962444E-2</v>
      </c>
      <c r="BU125" s="61">
        <f t="shared" si="28"/>
        <v>42.929999999999993</v>
      </c>
      <c r="BV125" s="61">
        <f t="shared" si="29"/>
        <v>1000</v>
      </c>
      <c r="BW125" s="62">
        <f t="shared" si="30"/>
        <v>58.68661679135495</v>
      </c>
      <c r="BX125" s="69">
        <f t="shared" si="33"/>
        <v>7.8667611622962444E-2</v>
      </c>
      <c r="EP125"/>
      <c r="EQ125"/>
      <c r="ER125" s="324">
        <f t="shared" si="36"/>
        <v>0.39130434782608697</v>
      </c>
      <c r="ES125" s="257"/>
      <c r="ET125"/>
      <c r="EU125"/>
      <c r="EV125"/>
      <c r="EW125"/>
      <c r="EX125"/>
      <c r="EY125"/>
      <c r="EZ125"/>
      <c r="FA125"/>
      <c r="FB125"/>
      <c r="FC125"/>
      <c r="FD125"/>
    </row>
    <row r="126" spans="1:160" s="61" customFormat="1" ht="13" customHeight="1" x14ac:dyDescent="0.2">
      <c r="A126" s="57" t="s">
        <v>456</v>
      </c>
      <c r="B126" s="58" t="s">
        <v>464</v>
      </c>
      <c r="C126" s="58">
        <v>0</v>
      </c>
      <c r="D126" s="59">
        <v>10000</v>
      </c>
      <c r="E126" s="59">
        <v>10000</v>
      </c>
      <c r="F126" s="59">
        <v>1000</v>
      </c>
      <c r="G126" s="58"/>
      <c r="H126" s="58"/>
      <c r="I126" s="58"/>
      <c r="J126" s="58"/>
      <c r="K126" s="88"/>
      <c r="L126" s="59"/>
      <c r="M126" s="59"/>
      <c r="N126" s="59"/>
      <c r="O126" s="59">
        <v>76.819999999999993</v>
      </c>
      <c r="P126" s="59">
        <v>13.74</v>
      </c>
      <c r="Q126" s="59">
        <v>1.01</v>
      </c>
      <c r="R126" s="59">
        <v>1.6E-2</v>
      </c>
      <c r="S126" s="59">
        <v>0.09</v>
      </c>
      <c r="T126" s="59">
        <v>3.37</v>
      </c>
      <c r="U126" s="59">
        <v>3.91</v>
      </c>
      <c r="V126" s="59">
        <v>0.92</v>
      </c>
      <c r="W126" s="59">
        <v>2.7E-2</v>
      </c>
      <c r="X126" s="59">
        <v>0</v>
      </c>
      <c r="Y126" s="59">
        <v>0.89</v>
      </c>
      <c r="Z126" s="97">
        <f t="shared" si="45"/>
        <v>100.79300000000001</v>
      </c>
      <c r="AA126" s="59">
        <v>0</v>
      </c>
      <c r="AB126" s="59">
        <v>1</v>
      </c>
      <c r="AC126" s="59">
        <v>7</v>
      </c>
      <c r="AD126" s="59">
        <v>0</v>
      </c>
      <c r="AE126" s="59">
        <v>3</v>
      </c>
      <c r="AF126" s="59">
        <v>0</v>
      </c>
      <c r="AG126" s="59">
        <v>60</v>
      </c>
      <c r="AH126" s="59">
        <v>0</v>
      </c>
      <c r="AI126" s="59">
        <v>11</v>
      </c>
      <c r="AJ126" s="59">
        <v>0</v>
      </c>
      <c r="AK126" s="59">
        <v>0</v>
      </c>
      <c r="AL126" s="59">
        <v>25</v>
      </c>
      <c r="AM126" s="59">
        <v>431</v>
      </c>
      <c r="AN126" s="59">
        <v>2</v>
      </c>
      <c r="AO126" s="59">
        <v>59</v>
      </c>
      <c r="AP126" s="59">
        <v>0</v>
      </c>
      <c r="AQ126" s="59" t="s">
        <v>72</v>
      </c>
      <c r="AR126" s="59" t="s">
        <v>74</v>
      </c>
      <c r="AS126" s="59" t="s">
        <v>73</v>
      </c>
      <c r="AT126" s="59">
        <v>0</v>
      </c>
      <c r="AU126" s="59" t="s">
        <v>74</v>
      </c>
      <c r="AV126" s="59" t="s">
        <v>74</v>
      </c>
      <c r="AW126" s="59">
        <v>113</v>
      </c>
      <c r="AX126" s="59" t="s">
        <v>75</v>
      </c>
      <c r="AY126" s="59">
        <v>2.5</v>
      </c>
      <c r="AZ126" s="59">
        <v>4.0999999999999996</v>
      </c>
      <c r="BA126" s="59">
        <v>0.4</v>
      </c>
      <c r="BB126" s="59">
        <v>1.4</v>
      </c>
      <c r="BC126" s="59">
        <v>0.2</v>
      </c>
      <c r="BD126" s="59">
        <v>0.37</v>
      </c>
      <c r="BE126" s="59">
        <v>0.2</v>
      </c>
      <c r="BF126" s="59">
        <v>0</v>
      </c>
      <c r="BG126" s="59">
        <v>0.2</v>
      </c>
      <c r="BH126" s="59">
        <v>0</v>
      </c>
      <c r="BI126" s="59">
        <v>0.1</v>
      </c>
      <c r="BJ126" s="59">
        <v>0</v>
      </c>
      <c r="BK126" s="59">
        <v>0.3</v>
      </c>
      <c r="BL126" s="59">
        <v>0.05</v>
      </c>
      <c r="BM126" s="59">
        <v>2</v>
      </c>
      <c r="BN126" s="59">
        <v>0</v>
      </c>
      <c r="BO126" s="59">
        <v>0</v>
      </c>
      <c r="BP126" s="59">
        <v>0.1</v>
      </c>
      <c r="BQ126" s="59">
        <v>6</v>
      </c>
      <c r="BR126" s="59">
        <v>0.7</v>
      </c>
      <c r="BS126" s="59">
        <v>0.3</v>
      </c>
      <c r="BT126" s="60">
        <f>AZ126/(AY126+AZ126)</f>
        <v>0.62121212121212122</v>
      </c>
      <c r="BU126" s="61">
        <f>SUM(AY126:BL126)</f>
        <v>9.8199999999999985</v>
      </c>
      <c r="BV126" s="61">
        <f>F126</f>
        <v>1000</v>
      </c>
      <c r="BW126" s="62">
        <f>100*P126/(P126+T126+U126+V126)</f>
        <v>62.625341841385591</v>
      </c>
      <c r="BX126" s="69">
        <f t="shared" si="33"/>
        <v>0.62121212121212122</v>
      </c>
      <c r="EP126"/>
      <c r="EQ126"/>
      <c r="ER126" s="324">
        <f t="shared" si="36"/>
        <v>0.20903954802259886</v>
      </c>
      <c r="ES126" s="257"/>
      <c r="ET126"/>
      <c r="EU126"/>
      <c r="EV126"/>
      <c r="EW126"/>
      <c r="EX126"/>
      <c r="EY126"/>
      <c r="EZ126"/>
      <c r="FA126"/>
      <c r="FB126"/>
      <c r="FC126"/>
      <c r="FD126"/>
    </row>
    <row r="127" spans="1:160" s="61" customFormat="1" ht="13" customHeight="1" x14ac:dyDescent="0.2">
      <c r="A127" s="57" t="s">
        <v>465</v>
      </c>
      <c r="B127" s="58" t="s">
        <v>464</v>
      </c>
      <c r="C127" s="58">
        <v>0</v>
      </c>
      <c r="D127" s="59">
        <v>10000</v>
      </c>
      <c r="E127" s="59">
        <v>10000</v>
      </c>
      <c r="F127" s="59">
        <v>1000</v>
      </c>
      <c r="G127" s="58"/>
      <c r="H127" s="58"/>
      <c r="I127" s="58"/>
      <c r="J127" s="58"/>
      <c r="K127" s="88"/>
      <c r="L127" s="59"/>
      <c r="M127" s="59"/>
      <c r="N127" s="59"/>
      <c r="O127" s="59">
        <v>69.12</v>
      </c>
      <c r="P127" s="59">
        <v>15.87</v>
      </c>
      <c r="Q127" s="59">
        <v>2.4500000000000002</v>
      </c>
      <c r="R127" s="59">
        <v>6.2E-2</v>
      </c>
      <c r="S127" s="59">
        <v>1.1100000000000001</v>
      </c>
      <c r="T127" s="59">
        <v>2.27</v>
      </c>
      <c r="U127" s="59">
        <v>4.8</v>
      </c>
      <c r="V127" s="59">
        <v>3.17</v>
      </c>
      <c r="W127" s="59">
        <v>0.25700000000000001</v>
      </c>
      <c r="X127" s="59">
        <v>0.06</v>
      </c>
      <c r="Y127" s="59">
        <v>0.37</v>
      </c>
      <c r="Z127" s="97">
        <f t="shared" si="45"/>
        <v>99.539000000000016</v>
      </c>
      <c r="AA127" s="59">
        <v>4</v>
      </c>
      <c r="AB127" s="59">
        <v>2</v>
      </c>
      <c r="AC127" s="59">
        <v>25</v>
      </c>
      <c r="AD127" s="59">
        <v>190</v>
      </c>
      <c r="AE127" s="59">
        <v>4</v>
      </c>
      <c r="AF127" s="59">
        <v>40</v>
      </c>
      <c r="AG127" s="59">
        <v>30</v>
      </c>
      <c r="AH127" s="59">
        <v>50</v>
      </c>
      <c r="AI127" s="59">
        <v>16</v>
      </c>
      <c r="AJ127" s="59">
        <v>1</v>
      </c>
      <c r="AK127" s="59">
        <v>0</v>
      </c>
      <c r="AL127" s="59">
        <v>95</v>
      </c>
      <c r="AM127" s="59">
        <v>452</v>
      </c>
      <c r="AN127" s="59">
        <v>14</v>
      </c>
      <c r="AO127" s="59">
        <v>157</v>
      </c>
      <c r="AP127" s="59">
        <v>4</v>
      </c>
      <c r="AQ127" s="59">
        <v>4</v>
      </c>
      <c r="AR127" s="59" t="s">
        <v>74</v>
      </c>
      <c r="AS127" s="59" t="s">
        <v>73</v>
      </c>
      <c r="AT127" s="59">
        <v>1</v>
      </c>
      <c r="AU127" s="59" t="s">
        <v>74</v>
      </c>
      <c r="AV127" s="59">
        <v>1.8</v>
      </c>
      <c r="AW127" s="59">
        <v>667</v>
      </c>
      <c r="AX127" s="59" t="s">
        <v>75</v>
      </c>
      <c r="AY127" s="59">
        <v>15.6</v>
      </c>
      <c r="AZ127" s="59">
        <v>32.700000000000003</v>
      </c>
      <c r="BA127" s="59">
        <v>3.6</v>
      </c>
      <c r="BB127" s="59">
        <v>13.5</v>
      </c>
      <c r="BC127" s="59">
        <v>2.5</v>
      </c>
      <c r="BD127" s="59">
        <v>0.63</v>
      </c>
      <c r="BE127" s="59">
        <v>2.2999999999999998</v>
      </c>
      <c r="BF127" s="59">
        <v>0.4</v>
      </c>
      <c r="BG127" s="59">
        <v>2.4</v>
      </c>
      <c r="BH127" s="59">
        <v>0.5</v>
      </c>
      <c r="BI127" s="59">
        <v>1.6</v>
      </c>
      <c r="BJ127" s="59">
        <v>0.28000000000000003</v>
      </c>
      <c r="BK127" s="59">
        <v>2</v>
      </c>
      <c r="BL127" s="59">
        <v>0.33</v>
      </c>
      <c r="BM127" s="59">
        <v>4.7</v>
      </c>
      <c r="BN127" s="59">
        <v>0.6</v>
      </c>
      <c r="BO127" s="59">
        <v>0</v>
      </c>
      <c r="BP127" s="59">
        <v>0.3</v>
      </c>
      <c r="BQ127" s="59">
        <v>15</v>
      </c>
      <c r="BR127" s="59">
        <v>5.9</v>
      </c>
      <c r="BS127" s="59">
        <v>1.6</v>
      </c>
      <c r="BT127" s="60">
        <f>AZ127/(AY127+AZ127)</f>
        <v>0.67701863354037262</v>
      </c>
      <c r="BU127" s="61">
        <f>SUM(AY127:BL127)</f>
        <v>78.34</v>
      </c>
      <c r="BV127" s="61">
        <f>F127</f>
        <v>1000</v>
      </c>
      <c r="BW127" s="62">
        <f>100*P127/(P127+T127+U127+V127)</f>
        <v>60.781309842972043</v>
      </c>
      <c r="BX127" s="69">
        <f t="shared" si="33"/>
        <v>0.67701863354037262</v>
      </c>
      <c r="EP127"/>
      <c r="EQ127"/>
      <c r="ER127" s="324">
        <f t="shared" si="36"/>
        <v>4.4585987261146494E-2</v>
      </c>
      <c r="ES127" s="257"/>
      <c r="ET127"/>
      <c r="EU127"/>
      <c r="EV127"/>
      <c r="EW127"/>
      <c r="EX127"/>
      <c r="EY127"/>
      <c r="EZ127"/>
      <c r="FA127"/>
      <c r="FB127"/>
      <c r="FC127"/>
      <c r="FD127"/>
    </row>
    <row r="128" spans="1:160" s="61" customFormat="1" ht="13" customHeight="1" x14ac:dyDescent="0.2">
      <c r="A128" s="63" t="s">
        <v>488</v>
      </c>
      <c r="B128" s="64" t="s">
        <v>464</v>
      </c>
      <c r="C128" s="64">
        <v>0</v>
      </c>
      <c r="D128" s="59">
        <v>10000</v>
      </c>
      <c r="E128" s="59">
        <v>10000</v>
      </c>
      <c r="F128" s="59">
        <v>1000</v>
      </c>
      <c r="G128" s="58"/>
      <c r="H128" s="58"/>
      <c r="I128" s="58"/>
      <c r="J128" s="58"/>
      <c r="K128" s="88"/>
      <c r="L128" s="59"/>
      <c r="M128" s="59"/>
      <c r="N128" s="59"/>
      <c r="O128" s="59">
        <v>71.94</v>
      </c>
      <c r="P128" s="59">
        <v>14.27</v>
      </c>
      <c r="Q128" s="59">
        <v>2.16</v>
      </c>
      <c r="R128" s="59">
        <v>2.1999999999999999E-2</v>
      </c>
      <c r="S128" s="59">
        <v>0.54</v>
      </c>
      <c r="T128" s="59">
        <v>1.58</v>
      </c>
      <c r="U128" s="59">
        <v>2.76</v>
      </c>
      <c r="V128" s="59">
        <v>5.99</v>
      </c>
      <c r="W128" s="59">
        <v>0.40200000000000002</v>
      </c>
      <c r="X128" s="59">
        <v>0.1</v>
      </c>
      <c r="Y128" s="59">
        <v>0.57999999999999996</v>
      </c>
      <c r="Z128" s="97">
        <f t="shared" si="45"/>
        <v>100.34399999999999</v>
      </c>
      <c r="AA128" s="59">
        <v>3</v>
      </c>
      <c r="AB128" s="59">
        <v>1</v>
      </c>
      <c r="AC128" s="59">
        <v>28</v>
      </c>
      <c r="AD128" s="59">
        <v>0</v>
      </c>
      <c r="AE128" s="59">
        <v>2</v>
      </c>
      <c r="AF128" s="59">
        <v>0</v>
      </c>
      <c r="AG128" s="59">
        <v>0</v>
      </c>
      <c r="AH128" s="59">
        <v>70</v>
      </c>
      <c r="AI128" s="59">
        <v>24</v>
      </c>
      <c r="AJ128" s="59">
        <v>0</v>
      </c>
      <c r="AK128" s="59">
        <v>0</v>
      </c>
      <c r="AL128" s="59">
        <v>231</v>
      </c>
      <c r="AM128" s="59">
        <v>236</v>
      </c>
      <c r="AN128" s="59">
        <v>3</v>
      </c>
      <c r="AO128" s="59">
        <v>227</v>
      </c>
      <c r="AP128" s="59">
        <v>7</v>
      </c>
      <c r="AQ128" s="59" t="s">
        <v>72</v>
      </c>
      <c r="AR128" s="59" t="s">
        <v>74</v>
      </c>
      <c r="AS128" s="59" t="s">
        <v>73</v>
      </c>
      <c r="AT128" s="59">
        <v>2</v>
      </c>
      <c r="AU128" s="59" t="s">
        <v>74</v>
      </c>
      <c r="AV128" s="59">
        <v>1</v>
      </c>
      <c r="AW128" s="59">
        <v>934</v>
      </c>
      <c r="AX128" s="59" t="s">
        <v>75</v>
      </c>
      <c r="AY128" s="59">
        <v>106</v>
      </c>
      <c r="AZ128" s="59">
        <v>190</v>
      </c>
      <c r="BA128" s="59">
        <v>20.9</v>
      </c>
      <c r="BB128" s="59">
        <v>66.7</v>
      </c>
      <c r="BC128" s="59">
        <v>9.8000000000000007</v>
      </c>
      <c r="BD128" s="59">
        <v>1.34</v>
      </c>
      <c r="BE128" s="59">
        <v>4.2</v>
      </c>
      <c r="BF128" s="59">
        <v>0.3</v>
      </c>
      <c r="BG128" s="59">
        <v>1.2</v>
      </c>
      <c r="BH128" s="59">
        <v>0.2</v>
      </c>
      <c r="BI128" s="59">
        <v>0.5</v>
      </c>
      <c r="BJ128" s="59">
        <v>0.05</v>
      </c>
      <c r="BK128" s="59">
        <v>0.3</v>
      </c>
      <c r="BL128" s="59">
        <v>0.04</v>
      </c>
      <c r="BM128" s="59">
        <v>5.9</v>
      </c>
      <c r="BN128" s="59">
        <v>0.3</v>
      </c>
      <c r="BO128" s="59">
        <v>0</v>
      </c>
      <c r="BP128" s="59">
        <v>1.5</v>
      </c>
      <c r="BQ128" s="59">
        <v>56</v>
      </c>
      <c r="BR128" s="59">
        <v>61.2</v>
      </c>
      <c r="BS128" s="59">
        <v>3.5</v>
      </c>
      <c r="BT128" s="60">
        <f>AZ128/(AY128+AZ128)</f>
        <v>0.64189189189189189</v>
      </c>
      <c r="BU128" s="61">
        <f>SUM(AY128:BL128)</f>
        <v>401.53</v>
      </c>
      <c r="BV128" s="61">
        <f>F128</f>
        <v>1000</v>
      </c>
      <c r="BW128" s="62">
        <f>100*P128/(P128+T128+U128+V128)</f>
        <v>58.008130081300813</v>
      </c>
      <c r="BX128" s="69">
        <f t="shared" si="33"/>
        <v>0.64189189189189189</v>
      </c>
      <c r="EP128"/>
      <c r="EQ128"/>
      <c r="ER128" s="324">
        <f t="shared" si="36"/>
        <v>1.969429747207525E-2</v>
      </c>
      <c r="ES128" s="257"/>
      <c r="ET128"/>
      <c r="EU128"/>
      <c r="EV128"/>
      <c r="EW128"/>
      <c r="EX128"/>
      <c r="EY128"/>
      <c r="EZ128"/>
      <c r="FA128"/>
      <c r="FB128"/>
      <c r="FC128"/>
      <c r="FD128"/>
    </row>
    <row r="129" spans="1:160" x14ac:dyDescent="0.2">
      <c r="O129" s="291">
        <f>AVERAGE(O124:O128)</f>
        <v>71.765999999999991</v>
      </c>
      <c r="P129" s="291">
        <f t="shared" ref="P129:BW129" si="46">AVERAGE(P124:P128)</f>
        <v>14.778</v>
      </c>
      <c r="Q129" s="291">
        <f t="shared" si="46"/>
        <v>1.8480000000000001</v>
      </c>
      <c r="R129" s="291">
        <f t="shared" si="46"/>
        <v>3.2600000000000004E-2</v>
      </c>
      <c r="S129" s="291">
        <f t="shared" si="46"/>
        <v>0.53</v>
      </c>
      <c r="T129" s="291">
        <f t="shared" si="46"/>
        <v>2.2160000000000002</v>
      </c>
      <c r="U129" s="291">
        <f t="shared" si="46"/>
        <v>3.8079999999999998</v>
      </c>
      <c r="V129" s="291">
        <f t="shared" si="46"/>
        <v>3.8939999999999997</v>
      </c>
      <c r="W129" s="291">
        <f t="shared" si="46"/>
        <v>0.23840000000000003</v>
      </c>
      <c r="X129" s="291">
        <f t="shared" si="46"/>
        <v>6.0000000000000012E-2</v>
      </c>
      <c r="Y129" s="291">
        <f t="shared" si="46"/>
        <v>0.48799999999999999</v>
      </c>
      <c r="Z129" s="291">
        <f t="shared" si="46"/>
        <v>99.659000000000006</v>
      </c>
      <c r="AA129" s="291">
        <f t="shared" si="46"/>
        <v>2.6</v>
      </c>
      <c r="AB129" s="291">
        <f>AVERAGE(AB124:AB128)</f>
        <v>1.6</v>
      </c>
      <c r="AC129" s="291">
        <f t="shared" si="46"/>
        <v>21.8</v>
      </c>
      <c r="AD129" s="291">
        <f t="shared" si="46"/>
        <v>63.333333333333336</v>
      </c>
      <c r="AE129" s="291">
        <f t="shared" si="46"/>
        <v>3.2</v>
      </c>
      <c r="AF129" s="291">
        <f t="shared" si="46"/>
        <v>13.333333333333334</v>
      </c>
      <c r="AG129" s="291">
        <f t="shared" si="46"/>
        <v>30</v>
      </c>
      <c r="AH129" s="291">
        <f t="shared" si="46"/>
        <v>40</v>
      </c>
      <c r="AI129" s="291">
        <f t="shared" si="46"/>
        <v>18</v>
      </c>
      <c r="AJ129" s="291">
        <f t="shared" si="46"/>
        <v>0.5</v>
      </c>
      <c r="AK129" s="291">
        <f t="shared" si="46"/>
        <v>0</v>
      </c>
      <c r="AL129" s="291">
        <f t="shared" si="46"/>
        <v>113.4</v>
      </c>
      <c r="AM129" s="291">
        <f t="shared" si="46"/>
        <v>428.8</v>
      </c>
      <c r="AN129" s="291">
        <f t="shared" si="46"/>
        <v>5.2</v>
      </c>
      <c r="AO129" s="291">
        <f t="shared" si="46"/>
        <v>137.6</v>
      </c>
      <c r="AP129" s="291">
        <f t="shared" si="46"/>
        <v>3.4</v>
      </c>
      <c r="AQ129" s="291">
        <f t="shared" si="46"/>
        <v>4</v>
      </c>
      <c r="AR129" s="291">
        <f t="shared" si="46"/>
        <v>0.5</v>
      </c>
      <c r="AS129" s="291" t="e">
        <f t="shared" si="46"/>
        <v>#DIV/0!</v>
      </c>
      <c r="AT129" s="291">
        <f t="shared" si="46"/>
        <v>1</v>
      </c>
      <c r="AU129" s="291" t="e">
        <f t="shared" si="46"/>
        <v>#DIV/0!</v>
      </c>
      <c r="AV129" s="291">
        <f t="shared" si="46"/>
        <v>1.65</v>
      </c>
      <c r="AW129" s="291">
        <f t="shared" si="46"/>
        <v>821.6</v>
      </c>
      <c r="AX129" s="291">
        <f t="shared" si="46"/>
        <v>9.75</v>
      </c>
      <c r="AY129" s="291">
        <f t="shared" si="46"/>
        <v>35.14</v>
      </c>
      <c r="AZ129" s="291">
        <f t="shared" si="46"/>
        <v>46.239999999999995</v>
      </c>
      <c r="BA129" s="291">
        <f t="shared" si="46"/>
        <v>7.94</v>
      </c>
      <c r="BB129" s="291">
        <f t="shared" si="46"/>
        <v>16.8</v>
      </c>
      <c r="BC129" s="291">
        <f t="shared" si="46"/>
        <v>2.7080000000000002</v>
      </c>
      <c r="BD129" s="291">
        <f t="shared" si="46"/>
        <v>0.76800000000000002</v>
      </c>
      <c r="BE129" s="291">
        <f t="shared" si="46"/>
        <v>1.3800000000000001</v>
      </c>
      <c r="BF129" s="291">
        <f t="shared" si="46"/>
        <v>0.39999999999999997</v>
      </c>
      <c r="BG129" s="291">
        <f t="shared" si="46"/>
        <v>0.8</v>
      </c>
      <c r="BH129" s="291">
        <f t="shared" si="46"/>
        <v>0.3</v>
      </c>
      <c r="BI129" s="291">
        <f t="shared" si="46"/>
        <v>0.46400000000000008</v>
      </c>
      <c r="BJ129" s="291">
        <f t="shared" si="46"/>
        <v>0.22600000000000003</v>
      </c>
      <c r="BK129" s="291">
        <f t="shared" si="46"/>
        <v>0.54600000000000004</v>
      </c>
      <c r="BL129" s="291">
        <f t="shared" si="46"/>
        <v>1.3640000000000001</v>
      </c>
      <c r="BM129" s="291">
        <f t="shared" si="46"/>
        <v>2.68</v>
      </c>
      <c r="BN129" s="291">
        <f t="shared" si="46"/>
        <v>1.7249999999999999</v>
      </c>
      <c r="BO129" s="291">
        <f t="shared" si="46"/>
        <v>0.24</v>
      </c>
      <c r="BP129" s="291">
        <f t="shared" si="46"/>
        <v>12.18</v>
      </c>
      <c r="BQ129" s="291">
        <f t="shared" si="46"/>
        <v>25.666666666666668</v>
      </c>
      <c r="BR129" s="291">
        <f t="shared" si="46"/>
        <v>19.72</v>
      </c>
      <c r="BS129" s="291">
        <f t="shared" si="46"/>
        <v>1.72</v>
      </c>
      <c r="BT129" s="291">
        <f t="shared" si="46"/>
        <v>0.419452796073916</v>
      </c>
      <c r="BU129" s="291">
        <f t="shared" si="46"/>
        <v>115.07599999999999</v>
      </c>
      <c r="BV129" s="291">
        <f t="shared" si="46"/>
        <v>1000</v>
      </c>
      <c r="BW129" s="291">
        <f t="shared" si="46"/>
        <v>59.891777656864022</v>
      </c>
      <c r="BX129" s="69"/>
      <c r="ER129" s="324"/>
      <c r="ES129" s="257"/>
    </row>
    <row r="130" spans="1:160" x14ac:dyDescent="0.2">
      <c r="P130" s="291">
        <f>STDEV(P124:P128)</f>
        <v>1.024387621947864</v>
      </c>
      <c r="Q130" s="291">
        <f t="shared" ref="Q130:BW130" si="47">STDEV(Q124:Q128)</f>
        <v>0.54997272659651086</v>
      </c>
      <c r="R130" s="291">
        <f t="shared" si="47"/>
        <v>1.7882952776317445E-2</v>
      </c>
      <c r="S130" s="291">
        <f t="shared" si="47"/>
        <v>0.36925600875273518</v>
      </c>
      <c r="T130" s="291">
        <f t="shared" si="47"/>
        <v>0.72369192340387523</v>
      </c>
      <c r="U130" s="291">
        <f t="shared" si="47"/>
        <v>0.74737540767675992</v>
      </c>
      <c r="V130" s="291">
        <f t="shared" si="47"/>
        <v>1.9408322956917226</v>
      </c>
      <c r="W130" s="291">
        <f t="shared" si="47"/>
        <v>0.13809163624202589</v>
      </c>
      <c r="X130" s="291">
        <f t="shared" si="47"/>
        <v>3.7416573867739403E-2</v>
      </c>
      <c r="Y130" s="291">
        <f t="shared" si="47"/>
        <v>0.2558710612789184</v>
      </c>
      <c r="Z130" s="291">
        <f t="shared" si="47"/>
        <v>0.97047488375537561</v>
      </c>
      <c r="AA130" s="291">
        <f t="shared" si="47"/>
        <v>1.5165750888103104</v>
      </c>
      <c r="AB130" s="291">
        <f t="shared" si="47"/>
        <v>0.54772255750516596</v>
      </c>
      <c r="AC130" s="291">
        <f t="shared" si="47"/>
        <v>8.7578536183245284</v>
      </c>
      <c r="AD130" s="291">
        <f t="shared" si="47"/>
        <v>109.6965511460289</v>
      </c>
      <c r="AE130" s="291">
        <f t="shared" si="47"/>
        <v>0.83666002653407512</v>
      </c>
      <c r="AF130" s="291">
        <f t="shared" si="47"/>
        <v>23.094010767585029</v>
      </c>
      <c r="AG130" s="291">
        <f t="shared" si="47"/>
        <v>22.360679774997898</v>
      </c>
      <c r="AH130" s="291">
        <f t="shared" si="47"/>
        <v>25.495097567963924</v>
      </c>
      <c r="AI130" s="291">
        <f t="shared" si="47"/>
        <v>4.8476798574163293</v>
      </c>
      <c r="AJ130" s="291">
        <f t="shared" si="47"/>
        <v>0.57735026918962573</v>
      </c>
      <c r="AK130" s="291">
        <f t="shared" si="47"/>
        <v>0</v>
      </c>
      <c r="AL130" s="291">
        <f t="shared" si="47"/>
        <v>74.714791038990398</v>
      </c>
      <c r="AM130" s="291">
        <f t="shared" si="47"/>
        <v>146.89349883504039</v>
      </c>
      <c r="AN130" s="291">
        <f t="shared" si="47"/>
        <v>4.9699094559156709</v>
      </c>
      <c r="AO130" s="291">
        <f t="shared" si="47"/>
        <v>65.922681984276096</v>
      </c>
      <c r="AP130" s="291">
        <f t="shared" si="47"/>
        <v>2.6076809620810595</v>
      </c>
      <c r="AQ130" s="291" t="e">
        <f t="shared" si="47"/>
        <v>#DIV/0!</v>
      </c>
      <c r="AR130" s="291" t="e">
        <f t="shared" si="47"/>
        <v>#DIV/0!</v>
      </c>
      <c r="AS130" s="291" t="e">
        <f t="shared" si="47"/>
        <v>#DIV/0!</v>
      </c>
      <c r="AT130" s="291">
        <f t="shared" si="47"/>
        <v>0.70710678118654757</v>
      </c>
      <c r="AU130" s="291" t="e">
        <f t="shared" si="47"/>
        <v>#DIV/0!</v>
      </c>
      <c r="AV130" s="291">
        <f t="shared" si="47"/>
        <v>0.65574385243020028</v>
      </c>
      <c r="AW130" s="291">
        <f t="shared" si="47"/>
        <v>504.71506813250585</v>
      </c>
      <c r="AX130" s="291">
        <f t="shared" si="47"/>
        <v>7.0710678118655765E-2</v>
      </c>
      <c r="AY130" s="291">
        <f t="shared" si="47"/>
        <v>40.751907930795092</v>
      </c>
      <c r="AZ130" s="291">
        <f t="shared" si="47"/>
        <v>81.401923810190141</v>
      </c>
      <c r="BA130" s="291">
        <f t="shared" si="47"/>
        <v>7.8168407940804299</v>
      </c>
      <c r="BB130" s="291">
        <f t="shared" si="47"/>
        <v>28.3939254066781</v>
      </c>
      <c r="BC130" s="291">
        <f t="shared" si="47"/>
        <v>4.068312918151701</v>
      </c>
      <c r="BD130" s="291">
        <f t="shared" si="47"/>
        <v>0.37090430032556942</v>
      </c>
      <c r="BE130" s="291">
        <f t="shared" si="47"/>
        <v>1.8349386910739005</v>
      </c>
      <c r="BF130" s="291">
        <f t="shared" si="47"/>
        <v>0.27386127875258309</v>
      </c>
      <c r="BG130" s="291">
        <f t="shared" si="47"/>
        <v>1.0074720839804943</v>
      </c>
      <c r="BH130" s="291">
        <f t="shared" si="47"/>
        <v>0.20000000000000007</v>
      </c>
      <c r="BI130" s="291">
        <f t="shared" si="47"/>
        <v>0.66161166857908427</v>
      </c>
      <c r="BJ130" s="291">
        <f t="shared" si="47"/>
        <v>0.20342074623793904</v>
      </c>
      <c r="BK130" s="291">
        <f t="shared" si="47"/>
        <v>0.82132819262460488</v>
      </c>
      <c r="BL130" s="291">
        <f t="shared" si="47"/>
        <v>1.7514651009940221</v>
      </c>
      <c r="BM130" s="291">
        <f t="shared" si="47"/>
        <v>2.5193253065056926</v>
      </c>
      <c r="BN130" s="291">
        <f t="shared" si="47"/>
        <v>2.8605069480775609</v>
      </c>
      <c r="BO130" s="291">
        <f t="shared" si="47"/>
        <v>0.33615472627943221</v>
      </c>
      <c r="BP130" s="291">
        <f t="shared" si="47"/>
        <v>15.918448416852693</v>
      </c>
      <c r="BQ130" s="291">
        <f t="shared" si="47"/>
        <v>26.652079343520899</v>
      </c>
      <c r="BR130" s="291">
        <f t="shared" si="47"/>
        <v>24.043127916309061</v>
      </c>
      <c r="BS130" s="291">
        <f t="shared" si="47"/>
        <v>1.1519548602267369</v>
      </c>
      <c r="BT130" s="291">
        <f t="shared" si="47"/>
        <v>0.31182022388156505</v>
      </c>
      <c r="BU130" s="291">
        <f t="shared" si="47"/>
        <v>161.9559373101215</v>
      </c>
      <c r="BV130" s="291">
        <f t="shared" si="47"/>
        <v>0</v>
      </c>
      <c r="BW130" s="291">
        <f t="shared" si="47"/>
        <v>1.840492132105676</v>
      </c>
      <c r="BX130" s="69"/>
      <c r="EP130" s="323"/>
      <c r="EQ130" s="323"/>
      <c r="ER130" s="324"/>
      <c r="ES130" s="325"/>
      <c r="ET130" s="323"/>
      <c r="EU130" s="323"/>
      <c r="EV130" s="323"/>
      <c r="EW130" s="323"/>
      <c r="EX130" s="323"/>
      <c r="EY130" s="323"/>
      <c r="EZ130" s="323"/>
      <c r="FA130" s="323"/>
      <c r="FB130" s="323"/>
      <c r="FC130" s="323"/>
      <c r="FD130" s="323"/>
    </row>
    <row r="131" spans="1:160" s="153" customFormat="1" x14ac:dyDescent="0.2">
      <c r="A131" s="316" t="s">
        <v>631</v>
      </c>
      <c r="B131" s="317" t="s">
        <v>630</v>
      </c>
      <c r="C131" s="318">
        <f>181-F131/100</f>
        <v>180.97</v>
      </c>
      <c r="D131" s="319"/>
      <c r="E131" s="319"/>
      <c r="F131" s="320">
        <v>3</v>
      </c>
      <c r="G131" s="321"/>
      <c r="H131" s="321"/>
      <c r="I131" s="321"/>
      <c r="J131" s="321"/>
      <c r="K131" s="322"/>
      <c r="L131" s="319"/>
      <c r="M131" s="319"/>
      <c r="N131" s="319"/>
      <c r="O131" s="322">
        <v>88.13</v>
      </c>
      <c r="P131" s="322">
        <v>3.13</v>
      </c>
      <c r="Q131" s="322">
        <v>1.46</v>
      </c>
      <c r="R131" s="322">
        <v>3.6999999999999998E-2</v>
      </c>
      <c r="S131" s="322">
        <v>0.06</v>
      </c>
      <c r="T131" s="322">
        <v>0.21</v>
      </c>
      <c r="U131" s="322">
        <v>0.08</v>
      </c>
      <c r="V131" s="322">
        <v>0.68</v>
      </c>
      <c r="W131" s="322">
        <v>0.48799999999999999</v>
      </c>
      <c r="X131" s="322">
        <v>0.03</v>
      </c>
      <c r="Y131" s="322">
        <v>4.4400000000000004</v>
      </c>
      <c r="Z131" s="322">
        <v>98.75</v>
      </c>
      <c r="AA131" s="322">
        <v>1</v>
      </c>
      <c r="AB131" s="322" t="s">
        <v>68</v>
      </c>
      <c r="AC131" s="322">
        <v>18</v>
      </c>
      <c r="AD131" s="322" t="s">
        <v>69</v>
      </c>
      <c r="AE131" s="322">
        <v>1</v>
      </c>
      <c r="AF131" s="322" t="s">
        <v>69</v>
      </c>
      <c r="AG131" s="322" t="s">
        <v>114</v>
      </c>
      <c r="AH131" s="322">
        <v>50</v>
      </c>
      <c r="AI131" s="322">
        <v>4</v>
      </c>
      <c r="AJ131" s="322">
        <v>1</v>
      </c>
      <c r="AK131" s="322" t="s">
        <v>71</v>
      </c>
      <c r="AL131" s="322">
        <v>28</v>
      </c>
      <c r="AM131" s="322">
        <v>31</v>
      </c>
      <c r="AN131" s="322">
        <v>6</v>
      </c>
      <c r="AO131" s="322">
        <v>402</v>
      </c>
      <c r="AP131" s="322">
        <v>7</v>
      </c>
      <c r="AQ131" s="322">
        <v>2</v>
      </c>
      <c r="AR131" s="322">
        <v>1.7</v>
      </c>
      <c r="AS131" s="322" t="s">
        <v>73</v>
      </c>
      <c r="AT131" s="322">
        <v>1</v>
      </c>
      <c r="AU131" s="322" t="s">
        <v>74</v>
      </c>
      <c r="AV131" s="322">
        <v>1.2</v>
      </c>
      <c r="AW131" s="322">
        <v>164</v>
      </c>
      <c r="AX131" s="33" t="s">
        <v>75</v>
      </c>
      <c r="AY131" s="322">
        <v>7.1</v>
      </c>
      <c r="AZ131" s="322">
        <v>23.3</v>
      </c>
      <c r="BA131" s="322">
        <v>1.43</v>
      </c>
      <c r="BB131" s="322">
        <v>5</v>
      </c>
      <c r="BC131" s="322">
        <v>0.9</v>
      </c>
      <c r="BD131" s="322">
        <v>0.18</v>
      </c>
      <c r="BE131" s="322">
        <v>0.9</v>
      </c>
      <c r="BF131" s="322">
        <v>0.2</v>
      </c>
      <c r="BG131" s="322">
        <v>1.1000000000000001</v>
      </c>
      <c r="BH131" s="322">
        <v>0.2</v>
      </c>
      <c r="BI131" s="322">
        <v>0.7</v>
      </c>
      <c r="BJ131" s="322">
        <v>0.12</v>
      </c>
      <c r="BK131" s="322">
        <v>0.9</v>
      </c>
      <c r="BL131" s="322">
        <v>0.14000000000000001</v>
      </c>
      <c r="BM131" s="322">
        <v>11.5</v>
      </c>
      <c r="BN131" s="322">
        <v>0.6</v>
      </c>
      <c r="BO131" s="322" t="s">
        <v>68</v>
      </c>
      <c r="BP131" s="322">
        <v>0.2</v>
      </c>
      <c r="BQ131" s="322">
        <v>11</v>
      </c>
      <c r="BR131" s="322">
        <v>4.3</v>
      </c>
      <c r="BS131" s="322">
        <v>1.8</v>
      </c>
      <c r="BT131" s="34">
        <f t="shared" ref="BT131:BT138" si="48">AZ131/(AY131+AZ131)</f>
        <v>0.76644736842105265</v>
      </c>
      <c r="BU131" s="282">
        <f t="shared" ref="BU131:BU138" si="49">SUM(AY131:BL131)</f>
        <v>42.17</v>
      </c>
      <c r="BV131" s="282">
        <f t="shared" ref="BV131:BV138" si="50">F131</f>
        <v>3</v>
      </c>
      <c r="BW131" s="79">
        <f t="shared" ref="BW131:BW138" si="51">100*P131/(P131+T131+U131+V131)</f>
        <v>76.341463414634148</v>
      </c>
      <c r="BX131" s="69">
        <f t="shared" ref="BX131:BX138" si="52">AZ131/(AZ131+AY131)</f>
        <v>0.76644736842105265</v>
      </c>
      <c r="EP131"/>
      <c r="EQ131"/>
      <c r="ER131" s="324">
        <f t="shared" si="36"/>
        <v>3.4749034749034749E-2</v>
      </c>
      <c r="ES131" s="257">
        <f t="shared" ref="ES131:ES138" si="53">BX131</f>
        <v>0.76644736842105265</v>
      </c>
      <c r="ET131">
        <f t="shared" ref="ET131:ET138" si="54">BV131</f>
        <v>3</v>
      </c>
      <c r="EU131" s="324">
        <f t="shared" ref="EU131:EU138" si="55">ER131/ES131</f>
        <v>4.5337796410757782E-2</v>
      </c>
      <c r="EV131" s="39">
        <f t="shared" ref="EV131:EV138" si="56">C131</f>
        <v>180.97</v>
      </c>
      <c r="EW131"/>
      <c r="EX131"/>
      <c r="EY131"/>
      <c r="EZ131"/>
      <c r="FA131"/>
      <c r="FB131"/>
      <c r="FC131"/>
      <c r="FD131"/>
    </row>
    <row r="132" spans="1:160" x14ac:dyDescent="0.2">
      <c r="A132" s="313" t="s">
        <v>632</v>
      </c>
      <c r="B132" s="102" t="s">
        <v>630</v>
      </c>
      <c r="C132" s="314">
        <f t="shared" ref="C132:C138" si="57">181-F132/100</f>
        <v>180.55</v>
      </c>
      <c r="F132" s="315">
        <v>44.999999999999993</v>
      </c>
      <c r="O132" s="81">
        <v>64.760000000000005</v>
      </c>
      <c r="P132" s="81">
        <v>19.239999999999998</v>
      </c>
      <c r="Q132" s="81">
        <v>4.26</v>
      </c>
      <c r="R132" s="81">
        <v>0.02</v>
      </c>
      <c r="S132" s="81">
        <v>0.19</v>
      </c>
      <c r="T132" s="81">
        <v>0.04</v>
      </c>
      <c r="U132" s="81">
        <v>0.04</v>
      </c>
      <c r="V132" s="81">
        <v>0.78</v>
      </c>
      <c r="W132" s="81">
        <v>0.67</v>
      </c>
      <c r="X132" s="81">
        <v>0.03</v>
      </c>
      <c r="Y132" s="81">
        <v>9.6999999999999993</v>
      </c>
      <c r="Z132" s="81">
        <v>99.74</v>
      </c>
      <c r="AA132" s="81">
        <v>5</v>
      </c>
      <c r="AB132" s="81" t="s">
        <v>68</v>
      </c>
      <c r="AC132" s="81">
        <v>71</v>
      </c>
      <c r="AD132" s="81">
        <v>30</v>
      </c>
      <c r="AE132" s="81">
        <v>3</v>
      </c>
      <c r="AF132" s="81">
        <v>20</v>
      </c>
      <c r="AG132" s="81">
        <v>10</v>
      </c>
      <c r="AH132" s="81">
        <v>40</v>
      </c>
      <c r="AI132" s="81">
        <v>26</v>
      </c>
      <c r="AJ132" s="81">
        <v>2</v>
      </c>
      <c r="AK132" s="81">
        <v>5</v>
      </c>
      <c r="AL132" s="81">
        <v>72</v>
      </c>
      <c r="AM132" s="81">
        <v>27</v>
      </c>
      <c r="AN132" s="81">
        <v>6</v>
      </c>
      <c r="AO132" s="81">
        <v>336</v>
      </c>
      <c r="AP132" s="81">
        <v>14</v>
      </c>
      <c r="AQ132" s="81">
        <v>2</v>
      </c>
      <c r="AR132" s="81">
        <v>1.4</v>
      </c>
      <c r="AS132" s="81" t="s">
        <v>73</v>
      </c>
      <c r="AT132" s="81">
        <v>2</v>
      </c>
      <c r="AU132" s="81" t="s">
        <v>74</v>
      </c>
      <c r="AV132" s="81">
        <v>4.2</v>
      </c>
      <c r="AW132" s="81">
        <v>159</v>
      </c>
      <c r="AX132" s="33" t="s">
        <v>75</v>
      </c>
      <c r="AY132" s="81">
        <v>18.600000000000001</v>
      </c>
      <c r="AZ132" s="81">
        <v>29.6</v>
      </c>
      <c r="BA132" s="81">
        <v>2.91</v>
      </c>
      <c r="BB132" s="81">
        <v>9.1</v>
      </c>
      <c r="BC132" s="81">
        <v>1.4</v>
      </c>
      <c r="BD132" s="81">
        <v>0.28999999999999998</v>
      </c>
      <c r="BE132" s="81">
        <v>1.1000000000000001</v>
      </c>
      <c r="BF132" s="81">
        <v>0.2</v>
      </c>
      <c r="BG132" s="81">
        <v>1.1000000000000001</v>
      </c>
      <c r="BH132" s="81">
        <v>0.2</v>
      </c>
      <c r="BI132" s="81">
        <v>0.7</v>
      </c>
      <c r="BJ132" s="81">
        <v>0.11</v>
      </c>
      <c r="BK132" s="81">
        <v>0.8</v>
      </c>
      <c r="BL132" s="81">
        <v>0.13</v>
      </c>
      <c r="BM132" s="81">
        <v>9.6</v>
      </c>
      <c r="BN132" s="81">
        <v>0.9</v>
      </c>
      <c r="BO132" s="81" t="s">
        <v>68</v>
      </c>
      <c r="BP132" s="81">
        <v>0.6</v>
      </c>
      <c r="BQ132" s="81">
        <v>14</v>
      </c>
      <c r="BR132" s="81">
        <v>27.2</v>
      </c>
      <c r="BS132" s="81">
        <v>3.3</v>
      </c>
      <c r="BT132" s="34">
        <f t="shared" si="48"/>
        <v>0.61410788381742742</v>
      </c>
      <c r="BU132" s="282">
        <f t="shared" si="49"/>
        <v>66.239999999999995</v>
      </c>
      <c r="BV132" s="282">
        <f t="shared" si="50"/>
        <v>44.999999999999993</v>
      </c>
      <c r="BW132" s="79">
        <f t="shared" si="51"/>
        <v>95.721393034825866</v>
      </c>
      <c r="BX132" s="69">
        <f t="shared" si="52"/>
        <v>0.61410788381742742</v>
      </c>
      <c r="ER132" s="324">
        <f t="shared" si="36"/>
        <v>3.0883919062832804E-2</v>
      </c>
      <c r="ES132" s="257">
        <f t="shared" si="53"/>
        <v>0.61410788381742742</v>
      </c>
      <c r="ET132">
        <f t="shared" si="54"/>
        <v>44.999999999999993</v>
      </c>
      <c r="EU132" s="324">
        <f t="shared" si="55"/>
        <v>5.0290706041504762E-2</v>
      </c>
      <c r="EV132" s="39">
        <f t="shared" si="56"/>
        <v>180.55</v>
      </c>
    </row>
    <row r="133" spans="1:160" x14ac:dyDescent="0.2">
      <c r="A133" s="313" t="s">
        <v>633</v>
      </c>
      <c r="B133" s="102" t="s">
        <v>630</v>
      </c>
      <c r="C133" s="314">
        <f t="shared" si="57"/>
        <v>179.75</v>
      </c>
      <c r="F133" s="315">
        <v>125</v>
      </c>
      <c r="O133" s="81">
        <v>54.75</v>
      </c>
      <c r="P133" s="81">
        <v>27.1</v>
      </c>
      <c r="Q133" s="81">
        <v>4.32</v>
      </c>
      <c r="R133" s="81">
        <v>1.6E-2</v>
      </c>
      <c r="S133" s="81">
        <v>0.23</v>
      </c>
      <c r="T133" s="81">
        <v>0.02</v>
      </c>
      <c r="U133" s="81">
        <v>0.05</v>
      </c>
      <c r="V133" s="81">
        <v>1.1000000000000001</v>
      </c>
      <c r="W133" s="81">
        <v>0.52300000000000002</v>
      </c>
      <c r="X133" s="81">
        <v>0.03</v>
      </c>
      <c r="Y133" s="81">
        <v>12.26</v>
      </c>
      <c r="Z133" s="81">
        <v>100.4</v>
      </c>
      <c r="AA133" s="81">
        <v>7</v>
      </c>
      <c r="AB133" s="81">
        <v>1</v>
      </c>
      <c r="AC133" s="81">
        <v>66</v>
      </c>
      <c r="AD133" s="81" t="s">
        <v>69</v>
      </c>
      <c r="AE133" s="81">
        <v>3</v>
      </c>
      <c r="AF133" s="81" t="s">
        <v>69</v>
      </c>
      <c r="AG133" s="81">
        <v>20</v>
      </c>
      <c r="AH133" s="81">
        <v>40</v>
      </c>
      <c r="AI133" s="81">
        <v>36</v>
      </c>
      <c r="AJ133" s="81">
        <v>2</v>
      </c>
      <c r="AK133" s="81" t="s">
        <v>71</v>
      </c>
      <c r="AL133" s="81">
        <v>66</v>
      </c>
      <c r="AM133" s="81">
        <v>28</v>
      </c>
      <c r="AN133" s="81">
        <v>3</v>
      </c>
      <c r="AO133" s="81">
        <v>201</v>
      </c>
      <c r="AP133" s="81">
        <v>11</v>
      </c>
      <c r="AQ133" s="81">
        <v>3</v>
      </c>
      <c r="AR133" s="81">
        <v>0.8</v>
      </c>
      <c r="AS133" s="81" t="s">
        <v>73</v>
      </c>
      <c r="AT133" s="81">
        <v>3</v>
      </c>
      <c r="AU133" s="81" t="s">
        <v>74</v>
      </c>
      <c r="AV133" s="81">
        <v>2.8</v>
      </c>
      <c r="AW133" s="81">
        <v>162</v>
      </c>
      <c r="AX133" s="33" t="s">
        <v>75</v>
      </c>
      <c r="AY133" s="81">
        <v>22.9</v>
      </c>
      <c r="AZ133" s="81">
        <v>81.2</v>
      </c>
      <c r="BA133" s="81">
        <v>3.98</v>
      </c>
      <c r="BB133" s="81">
        <v>12.3</v>
      </c>
      <c r="BC133" s="81">
        <v>1.8</v>
      </c>
      <c r="BD133" s="81">
        <v>0.39</v>
      </c>
      <c r="BE133" s="81">
        <v>1.2</v>
      </c>
      <c r="BF133" s="81">
        <v>0.2</v>
      </c>
      <c r="BG133" s="81">
        <v>0.8</v>
      </c>
      <c r="BH133" s="81">
        <v>0.2</v>
      </c>
      <c r="BI133" s="81">
        <v>0.5</v>
      </c>
      <c r="BJ133" s="81">
        <v>7.0000000000000007E-2</v>
      </c>
      <c r="BK133" s="81">
        <v>0.5</v>
      </c>
      <c r="BL133" s="81">
        <v>7.0000000000000007E-2</v>
      </c>
      <c r="BM133" s="81">
        <v>6.4</v>
      </c>
      <c r="BN133" s="81">
        <v>0.6</v>
      </c>
      <c r="BO133" s="81">
        <v>1</v>
      </c>
      <c r="BP133" s="81">
        <v>0.5</v>
      </c>
      <c r="BQ133" s="81">
        <v>25</v>
      </c>
      <c r="BR133" s="81">
        <v>58.4</v>
      </c>
      <c r="BS133" s="81">
        <v>3.2</v>
      </c>
      <c r="BT133" s="34">
        <f t="shared" si="48"/>
        <v>0.78001921229586946</v>
      </c>
      <c r="BU133" s="282">
        <f t="shared" si="49"/>
        <v>126.10999999999999</v>
      </c>
      <c r="BV133" s="282">
        <f t="shared" si="50"/>
        <v>125</v>
      </c>
      <c r="BW133" s="79">
        <f t="shared" si="51"/>
        <v>95.861337106473286</v>
      </c>
      <c r="BX133" s="69">
        <f t="shared" si="52"/>
        <v>0.78001921229586946</v>
      </c>
      <c r="ER133" s="324">
        <f t="shared" si="36"/>
        <v>3.0732860520094562E-2</v>
      </c>
      <c r="ES133" s="257">
        <f t="shared" si="53"/>
        <v>0.78001921229586946</v>
      </c>
      <c r="ET133">
        <f t="shared" si="54"/>
        <v>125</v>
      </c>
      <c r="EU133" s="324">
        <f t="shared" si="55"/>
        <v>3.940013276036753E-2</v>
      </c>
      <c r="EV133" s="39">
        <f t="shared" si="56"/>
        <v>179.75</v>
      </c>
    </row>
    <row r="134" spans="1:160" x14ac:dyDescent="0.2">
      <c r="A134" s="313" t="s">
        <v>634</v>
      </c>
      <c r="B134" s="102" t="s">
        <v>630</v>
      </c>
      <c r="C134" s="314">
        <f t="shared" si="57"/>
        <v>178.75</v>
      </c>
      <c r="F134" s="315">
        <v>225</v>
      </c>
      <c r="O134" s="81">
        <v>59.23</v>
      </c>
      <c r="P134" s="81">
        <v>23.03</v>
      </c>
      <c r="Q134" s="81">
        <v>3.43</v>
      </c>
      <c r="R134" s="81">
        <v>2.4E-2</v>
      </c>
      <c r="S134" s="81">
        <v>0.34</v>
      </c>
      <c r="T134" s="81">
        <v>0.02</v>
      </c>
      <c r="U134" s="81">
        <v>0.13</v>
      </c>
      <c r="V134" s="81">
        <v>2.31</v>
      </c>
      <c r="W134" s="81">
        <v>0.48399999999999999</v>
      </c>
      <c r="X134" s="81">
        <v>0.02</v>
      </c>
      <c r="Y134" s="81">
        <v>9.41</v>
      </c>
      <c r="Z134" s="81">
        <v>98.44</v>
      </c>
      <c r="AA134" s="81">
        <v>8</v>
      </c>
      <c r="AB134" s="81">
        <v>1</v>
      </c>
      <c r="AC134" s="81">
        <v>49</v>
      </c>
      <c r="AD134" s="81" t="s">
        <v>69</v>
      </c>
      <c r="AE134" s="81">
        <v>2</v>
      </c>
      <c r="AF134" s="81" t="s">
        <v>69</v>
      </c>
      <c r="AG134" s="81">
        <v>20</v>
      </c>
      <c r="AH134" s="81">
        <v>50</v>
      </c>
      <c r="AI134" s="81">
        <v>27</v>
      </c>
      <c r="AJ134" s="81">
        <v>1</v>
      </c>
      <c r="AK134" s="81" t="s">
        <v>71</v>
      </c>
      <c r="AL134" s="81">
        <v>91</v>
      </c>
      <c r="AM134" s="81">
        <v>65</v>
      </c>
      <c r="AN134" s="81">
        <v>4</v>
      </c>
      <c r="AO134" s="81">
        <v>244</v>
      </c>
      <c r="AP134" s="81">
        <v>7</v>
      </c>
      <c r="AQ134" s="81">
        <v>2</v>
      </c>
      <c r="AR134" s="81">
        <v>0.9</v>
      </c>
      <c r="AS134" s="81" t="s">
        <v>73</v>
      </c>
      <c r="AT134" s="81">
        <v>2</v>
      </c>
      <c r="AU134" s="81" t="s">
        <v>74</v>
      </c>
      <c r="AV134" s="81">
        <v>1.9</v>
      </c>
      <c r="AW134" s="81">
        <v>343</v>
      </c>
      <c r="AX134" s="33" t="s">
        <v>75</v>
      </c>
      <c r="AY134" s="81">
        <v>31.9</v>
      </c>
      <c r="AZ134" s="81">
        <v>337</v>
      </c>
      <c r="BA134" s="81">
        <v>7.11</v>
      </c>
      <c r="BB134" s="81">
        <v>22.6</v>
      </c>
      <c r="BC134" s="81">
        <v>3.3</v>
      </c>
      <c r="BD134" s="81">
        <v>0.62</v>
      </c>
      <c r="BE134" s="81">
        <v>1.6</v>
      </c>
      <c r="BF134" s="81">
        <v>0.2</v>
      </c>
      <c r="BG134" s="81">
        <v>0.8</v>
      </c>
      <c r="BH134" s="81">
        <v>0.2</v>
      </c>
      <c r="BI134" s="81">
        <v>0.5</v>
      </c>
      <c r="BJ134" s="81">
        <v>7.0000000000000007E-2</v>
      </c>
      <c r="BK134" s="81">
        <v>0.5</v>
      </c>
      <c r="BL134" s="81">
        <v>0.08</v>
      </c>
      <c r="BM134" s="81">
        <v>6.9</v>
      </c>
      <c r="BN134" s="81">
        <v>0.4</v>
      </c>
      <c r="BO134" s="81" t="s">
        <v>68</v>
      </c>
      <c r="BP134" s="81">
        <v>0.6</v>
      </c>
      <c r="BQ134" s="81">
        <v>40</v>
      </c>
      <c r="BR134" s="81">
        <v>36.5</v>
      </c>
      <c r="BS134" s="81">
        <v>3</v>
      </c>
      <c r="BT134" s="34">
        <f t="shared" si="48"/>
        <v>0.91352670100298194</v>
      </c>
      <c r="BU134" s="282">
        <f t="shared" si="49"/>
        <v>406.48</v>
      </c>
      <c r="BV134" s="282">
        <f t="shared" si="50"/>
        <v>225</v>
      </c>
      <c r="BW134" s="79">
        <f t="shared" si="51"/>
        <v>90.349156531973335</v>
      </c>
      <c r="BX134" s="69">
        <f t="shared" si="52"/>
        <v>0.91352670100298194</v>
      </c>
      <c r="ER134" s="324">
        <f t="shared" si="36"/>
        <v>2.6701119724375534E-2</v>
      </c>
      <c r="ES134" s="257">
        <f t="shared" si="53"/>
        <v>0.91352670100298194</v>
      </c>
      <c r="ET134">
        <f t="shared" si="54"/>
        <v>225</v>
      </c>
      <c r="EU134" s="324">
        <f t="shared" si="55"/>
        <v>2.9228614440125023E-2</v>
      </c>
      <c r="EV134" s="39">
        <f t="shared" si="56"/>
        <v>178.75</v>
      </c>
    </row>
    <row r="135" spans="1:160" x14ac:dyDescent="0.2">
      <c r="A135" s="313" t="s">
        <v>635</v>
      </c>
      <c r="B135" s="102" t="s">
        <v>630</v>
      </c>
      <c r="C135" s="314">
        <f t="shared" si="57"/>
        <v>177.75</v>
      </c>
      <c r="F135" s="315">
        <v>325</v>
      </c>
      <c r="O135" s="81">
        <v>64.19</v>
      </c>
      <c r="P135" s="81">
        <v>20.57</v>
      </c>
      <c r="Q135" s="81">
        <v>3.01</v>
      </c>
      <c r="R135" s="81">
        <v>3.4000000000000002E-2</v>
      </c>
      <c r="S135" s="81">
        <v>0.52</v>
      </c>
      <c r="T135" s="81">
        <v>0.02</v>
      </c>
      <c r="U135" s="81">
        <v>0.17</v>
      </c>
      <c r="V135" s="81">
        <v>3.59</v>
      </c>
      <c r="W135" s="81">
        <v>0.51600000000000001</v>
      </c>
      <c r="X135" s="81">
        <v>0.03</v>
      </c>
      <c r="Y135" s="81">
        <v>7.36</v>
      </c>
      <c r="Z135" s="81">
        <v>100</v>
      </c>
      <c r="AA135" s="81">
        <v>7</v>
      </c>
      <c r="AB135" s="81">
        <v>1</v>
      </c>
      <c r="AC135" s="81">
        <v>39</v>
      </c>
      <c r="AD135" s="81" t="s">
        <v>69</v>
      </c>
      <c r="AE135" s="81">
        <v>3</v>
      </c>
      <c r="AF135" s="81" t="s">
        <v>69</v>
      </c>
      <c r="AG135" s="81" t="s">
        <v>114</v>
      </c>
      <c r="AH135" s="81">
        <v>60</v>
      </c>
      <c r="AI135" s="81">
        <v>27</v>
      </c>
      <c r="AJ135" s="81">
        <v>1</v>
      </c>
      <c r="AK135" s="81" t="s">
        <v>71</v>
      </c>
      <c r="AL135" s="81">
        <v>142</v>
      </c>
      <c r="AM135" s="81">
        <v>102</v>
      </c>
      <c r="AN135" s="81">
        <v>12</v>
      </c>
      <c r="AO135" s="81">
        <v>264</v>
      </c>
      <c r="AP135" s="81">
        <v>11</v>
      </c>
      <c r="AQ135" s="81">
        <v>10</v>
      </c>
      <c r="AR135" s="81">
        <v>1</v>
      </c>
      <c r="AS135" s="81" t="s">
        <v>73</v>
      </c>
      <c r="AT135" s="81">
        <v>3</v>
      </c>
      <c r="AU135" s="81" t="s">
        <v>74</v>
      </c>
      <c r="AV135" s="81">
        <v>2.4</v>
      </c>
      <c r="AW135" s="81">
        <v>620</v>
      </c>
      <c r="AX135" s="33" t="s">
        <v>75</v>
      </c>
      <c r="AY135" s="81">
        <v>142</v>
      </c>
      <c r="AZ135" s="81">
        <v>314</v>
      </c>
      <c r="BA135" s="81">
        <v>34.1</v>
      </c>
      <c r="BB135" s="81">
        <v>110</v>
      </c>
      <c r="BC135" s="81">
        <v>15.8</v>
      </c>
      <c r="BD135" s="81">
        <v>2.98</v>
      </c>
      <c r="BE135" s="81">
        <v>8.1</v>
      </c>
      <c r="BF135" s="81">
        <v>0.9</v>
      </c>
      <c r="BG135" s="81">
        <v>4</v>
      </c>
      <c r="BH135" s="81">
        <v>0.6</v>
      </c>
      <c r="BI135" s="81">
        <v>1.5</v>
      </c>
      <c r="BJ135" s="81">
        <v>0.2</v>
      </c>
      <c r="BK135" s="81">
        <v>1.3</v>
      </c>
      <c r="BL135" s="81">
        <v>0.18</v>
      </c>
      <c r="BM135" s="81">
        <v>7.8</v>
      </c>
      <c r="BN135" s="81">
        <v>0.7</v>
      </c>
      <c r="BO135" s="81">
        <v>1</v>
      </c>
      <c r="BP135" s="81">
        <v>0.8</v>
      </c>
      <c r="BQ135" s="81">
        <v>45</v>
      </c>
      <c r="BR135" s="81">
        <v>38.700000000000003</v>
      </c>
      <c r="BS135" s="81">
        <v>4.8</v>
      </c>
      <c r="BT135" s="34">
        <f t="shared" si="48"/>
        <v>0.68859649122807021</v>
      </c>
      <c r="BU135" s="282">
        <f t="shared" si="49"/>
        <v>635.66</v>
      </c>
      <c r="BV135" s="282">
        <f t="shared" si="50"/>
        <v>325</v>
      </c>
      <c r="BW135" s="79">
        <f t="shared" si="51"/>
        <v>84.476386036960974</v>
      </c>
      <c r="BX135" s="69">
        <f t="shared" si="52"/>
        <v>0.68859649122807021</v>
      </c>
      <c r="ER135" s="324">
        <f t="shared" si="36"/>
        <v>2.6376349796424146E-2</v>
      </c>
      <c r="ES135" s="257">
        <f t="shared" si="53"/>
        <v>0.68859649122807021</v>
      </c>
      <c r="ET135">
        <f t="shared" si="54"/>
        <v>325</v>
      </c>
      <c r="EU135" s="324">
        <f t="shared" si="55"/>
        <v>3.8304507984615953E-2</v>
      </c>
      <c r="EV135" s="39">
        <f t="shared" si="56"/>
        <v>177.75</v>
      </c>
    </row>
    <row r="136" spans="1:160" x14ac:dyDescent="0.2">
      <c r="A136" s="313" t="s">
        <v>636</v>
      </c>
      <c r="B136" s="102" t="s">
        <v>630</v>
      </c>
      <c r="C136" s="314">
        <f t="shared" si="57"/>
        <v>175.45</v>
      </c>
      <c r="F136" s="315">
        <v>555</v>
      </c>
      <c r="O136" s="81">
        <v>64.44</v>
      </c>
      <c r="P136" s="81">
        <v>19.5</v>
      </c>
      <c r="Q136" s="81">
        <v>2.97</v>
      </c>
      <c r="R136" s="81">
        <v>3.7999999999999999E-2</v>
      </c>
      <c r="S136" s="81">
        <v>0.48</v>
      </c>
      <c r="T136" s="81">
        <v>0.02</v>
      </c>
      <c r="U136" s="81">
        <v>0.19</v>
      </c>
      <c r="V136" s="81">
        <v>4.33</v>
      </c>
      <c r="W136" s="81">
        <v>0.49099999999999999</v>
      </c>
      <c r="X136" s="81">
        <v>0.04</v>
      </c>
      <c r="Y136" s="81">
        <v>6.4</v>
      </c>
      <c r="Z136" s="81">
        <v>98.9</v>
      </c>
      <c r="AA136" s="81">
        <v>5</v>
      </c>
      <c r="AB136" s="81">
        <v>1</v>
      </c>
      <c r="AC136" s="81">
        <v>40</v>
      </c>
      <c r="AD136" s="81" t="s">
        <v>69</v>
      </c>
      <c r="AE136" s="81">
        <v>5</v>
      </c>
      <c r="AF136" s="81" t="s">
        <v>69</v>
      </c>
      <c r="AG136" s="81">
        <v>10</v>
      </c>
      <c r="AH136" s="81">
        <v>60</v>
      </c>
      <c r="AI136" s="81">
        <v>27</v>
      </c>
      <c r="AJ136" s="81">
        <v>1</v>
      </c>
      <c r="AK136" s="81" t="s">
        <v>71</v>
      </c>
      <c r="AL136" s="81">
        <v>144</v>
      </c>
      <c r="AM136" s="81">
        <v>137</v>
      </c>
      <c r="AN136" s="81">
        <v>14</v>
      </c>
      <c r="AO136" s="81">
        <v>280</v>
      </c>
      <c r="AP136" s="81">
        <v>9</v>
      </c>
      <c r="AQ136" s="81" t="s">
        <v>72</v>
      </c>
      <c r="AR136" s="81">
        <v>1.2</v>
      </c>
      <c r="AS136" s="81" t="s">
        <v>73</v>
      </c>
      <c r="AT136" s="81">
        <v>2</v>
      </c>
      <c r="AU136" s="81" t="s">
        <v>74</v>
      </c>
      <c r="AV136" s="81">
        <v>1.9</v>
      </c>
      <c r="AW136" s="81">
        <v>852</v>
      </c>
      <c r="AX136" s="33" t="s">
        <v>75</v>
      </c>
      <c r="AY136" s="81">
        <v>214</v>
      </c>
      <c r="AZ136" s="81">
        <v>373</v>
      </c>
      <c r="BA136" s="81">
        <v>52.4</v>
      </c>
      <c r="BB136" s="81">
        <v>173</v>
      </c>
      <c r="BC136" s="81">
        <v>25.1</v>
      </c>
      <c r="BD136" s="81">
        <v>4.03</v>
      </c>
      <c r="BE136" s="81">
        <v>11.3</v>
      </c>
      <c r="BF136" s="81">
        <v>1</v>
      </c>
      <c r="BG136" s="81">
        <v>4.4000000000000004</v>
      </c>
      <c r="BH136" s="81">
        <v>0.7</v>
      </c>
      <c r="BI136" s="81">
        <v>1.8</v>
      </c>
      <c r="BJ136" s="81">
        <v>0.24</v>
      </c>
      <c r="BK136" s="81">
        <v>1.5</v>
      </c>
      <c r="BL136" s="81">
        <v>0.23</v>
      </c>
      <c r="BM136" s="81">
        <v>8.5</v>
      </c>
      <c r="BN136" s="81">
        <v>0.4</v>
      </c>
      <c r="BO136" s="81">
        <v>2</v>
      </c>
      <c r="BP136" s="81">
        <v>0.9</v>
      </c>
      <c r="BQ136" s="81">
        <v>53</v>
      </c>
      <c r="BR136" s="81">
        <v>54.6</v>
      </c>
      <c r="BS136" s="81">
        <v>4.9000000000000004</v>
      </c>
      <c r="BT136" s="34">
        <f t="shared" si="48"/>
        <v>0.63543441226575814</v>
      </c>
      <c r="BU136" s="282">
        <f t="shared" si="49"/>
        <v>862.69999999999993</v>
      </c>
      <c r="BV136" s="282">
        <f t="shared" si="50"/>
        <v>555</v>
      </c>
      <c r="BW136" s="79">
        <f t="shared" si="51"/>
        <v>81.114808652246253</v>
      </c>
      <c r="BX136" s="69">
        <f t="shared" si="52"/>
        <v>0.63543441226575814</v>
      </c>
      <c r="ER136" s="324">
        <f t="shared" ref="ER136:ER138" si="58">BD136/(BD136+BB136)</f>
        <v>2.2764503191549455E-2</v>
      </c>
      <c r="ES136" s="257">
        <f t="shared" si="53"/>
        <v>0.63543441226575814</v>
      </c>
      <c r="ET136">
        <f t="shared" si="54"/>
        <v>555</v>
      </c>
      <c r="EU136" s="324">
        <f t="shared" si="55"/>
        <v>3.5825102877853968E-2</v>
      </c>
      <c r="EV136" s="39">
        <f t="shared" si="56"/>
        <v>175.45</v>
      </c>
    </row>
    <row r="137" spans="1:160" x14ac:dyDescent="0.2">
      <c r="A137" s="313" t="s">
        <v>637</v>
      </c>
      <c r="B137" s="102" t="s">
        <v>630</v>
      </c>
      <c r="C137" s="314">
        <f t="shared" si="57"/>
        <v>172.99875</v>
      </c>
      <c r="F137" s="315">
        <v>800.125</v>
      </c>
      <c r="O137" s="81">
        <v>64.52028</v>
      </c>
      <c r="P137" s="81">
        <v>18.73724</v>
      </c>
      <c r="Q137" s="81">
        <v>3.2429400000000004</v>
      </c>
      <c r="R137" s="81">
        <v>4.224E-2</v>
      </c>
      <c r="S137" s="81">
        <v>0.55208000000000002</v>
      </c>
      <c r="T137" s="81">
        <v>6.6439999999999999E-2</v>
      </c>
      <c r="U137" s="81">
        <v>0.28258000000000005</v>
      </c>
      <c r="V137" s="81">
        <v>4.6798999999999999</v>
      </c>
      <c r="W137" s="81">
        <v>0.53782600000000003</v>
      </c>
      <c r="X137" s="81">
        <v>4.9880000000000008E-2</v>
      </c>
      <c r="Y137" s="81">
        <v>5.8925200000000011</v>
      </c>
      <c r="Z137" s="81">
        <v>98.605919999999998</v>
      </c>
      <c r="AA137" s="81">
        <v>4.99</v>
      </c>
      <c r="AB137" s="81">
        <v>1.33</v>
      </c>
      <c r="AC137" s="81">
        <v>41.248000000000005</v>
      </c>
      <c r="AD137" s="81" t="s">
        <v>69</v>
      </c>
      <c r="AE137" s="81">
        <v>4.99</v>
      </c>
      <c r="AF137" s="81" t="s">
        <v>69</v>
      </c>
      <c r="AG137" s="81">
        <v>9.98</v>
      </c>
      <c r="AH137" s="81">
        <v>69.84</v>
      </c>
      <c r="AI137" s="81">
        <v>25.617999999999999</v>
      </c>
      <c r="AJ137" s="81">
        <v>1.33</v>
      </c>
      <c r="AK137" s="81" t="s">
        <v>71</v>
      </c>
      <c r="AL137" s="81">
        <v>172.596</v>
      </c>
      <c r="AM137" s="81">
        <v>149.34200000000001</v>
      </c>
      <c r="AN137" s="81">
        <v>13.308</v>
      </c>
      <c r="AO137" s="81">
        <v>292.38800000000003</v>
      </c>
      <c r="AP137" s="81">
        <v>9.9780000000000015</v>
      </c>
      <c r="AQ137" s="81" t="s">
        <v>72</v>
      </c>
      <c r="AR137" s="81">
        <v>1.2308000000000001</v>
      </c>
      <c r="AS137" s="81" t="s">
        <v>73</v>
      </c>
      <c r="AT137" s="81">
        <v>2.3280000000000003</v>
      </c>
      <c r="AU137" s="81" t="s">
        <v>74</v>
      </c>
      <c r="AV137" s="81">
        <v>1.9958</v>
      </c>
      <c r="AW137" s="81">
        <v>831.70399999999995</v>
      </c>
      <c r="AX137" s="33" t="s">
        <v>75</v>
      </c>
      <c r="AY137" s="81">
        <v>179.708</v>
      </c>
      <c r="AZ137" s="81">
        <v>324.77800000000002</v>
      </c>
      <c r="BA137" s="81">
        <v>43.331200000000003</v>
      </c>
      <c r="BB137" s="81">
        <v>143.3716</v>
      </c>
      <c r="BC137" s="81">
        <v>20.534600000000005</v>
      </c>
      <c r="BD137" s="81">
        <v>3.3214200000000007</v>
      </c>
      <c r="BE137" s="81">
        <v>9.5842000000000009</v>
      </c>
      <c r="BF137" s="81">
        <v>0.86520000000000008</v>
      </c>
      <c r="BG137" s="81">
        <v>3.7936000000000005</v>
      </c>
      <c r="BH137" s="81">
        <v>0.59899999999999998</v>
      </c>
      <c r="BI137" s="81">
        <v>1.5972000000000002</v>
      </c>
      <c r="BJ137" s="81">
        <v>0.21628000000000003</v>
      </c>
      <c r="BK137" s="81">
        <v>1.3974000000000002</v>
      </c>
      <c r="BL137" s="81">
        <v>0.21958</v>
      </c>
      <c r="BM137" s="81">
        <v>8.7154000000000007</v>
      </c>
      <c r="BN137" s="81">
        <v>0.46560000000000001</v>
      </c>
      <c r="BO137" s="81">
        <v>1.996</v>
      </c>
      <c r="BP137" s="81">
        <v>1.0642</v>
      </c>
      <c r="BQ137" s="81">
        <v>49.574000000000005</v>
      </c>
      <c r="BR137" s="81">
        <v>50.606400000000008</v>
      </c>
      <c r="BS137" s="81">
        <v>4.5914000000000001</v>
      </c>
      <c r="BT137" s="34">
        <f t="shared" si="48"/>
        <v>0.64378000578806949</v>
      </c>
      <c r="BU137" s="282">
        <f t="shared" si="49"/>
        <v>733.31727999999976</v>
      </c>
      <c r="BV137" s="282">
        <f t="shared" si="50"/>
        <v>800.125</v>
      </c>
      <c r="BW137" s="79">
        <f t="shared" si="51"/>
        <v>78.839997711031145</v>
      </c>
      <c r="BX137" s="69">
        <f t="shared" si="52"/>
        <v>0.64378000578806949</v>
      </c>
      <c r="ER137" s="324">
        <f t="shared" si="58"/>
        <v>2.2641977102932375E-2</v>
      </c>
      <c r="ES137" s="257">
        <f t="shared" si="53"/>
        <v>0.64378000578806949</v>
      </c>
      <c r="ET137">
        <f t="shared" si="54"/>
        <v>800.125</v>
      </c>
      <c r="EU137" s="324">
        <f t="shared" si="55"/>
        <v>3.5170363943216418E-2</v>
      </c>
      <c r="EV137" s="39">
        <f t="shared" si="56"/>
        <v>172.99875</v>
      </c>
    </row>
    <row r="138" spans="1:160" x14ac:dyDescent="0.2">
      <c r="A138" s="313" t="s">
        <v>638</v>
      </c>
      <c r="B138" s="102" t="s">
        <v>630</v>
      </c>
      <c r="C138" s="314">
        <f t="shared" si="57"/>
        <v>168.05</v>
      </c>
      <c r="F138" s="315">
        <v>1295</v>
      </c>
      <c r="O138" s="81">
        <v>65.069999999999993</v>
      </c>
      <c r="P138" s="81">
        <v>17.32</v>
      </c>
      <c r="Q138" s="81">
        <v>3.81</v>
      </c>
      <c r="R138" s="81">
        <v>5.0999999999999997E-2</v>
      </c>
      <c r="S138" s="81">
        <v>0.7</v>
      </c>
      <c r="T138" s="81">
        <v>0.16</v>
      </c>
      <c r="U138" s="81">
        <v>0.47</v>
      </c>
      <c r="V138" s="81">
        <v>5.41</v>
      </c>
      <c r="W138" s="81">
        <v>0.63500000000000001</v>
      </c>
      <c r="X138" s="81">
        <v>7.0000000000000007E-2</v>
      </c>
      <c r="Y138" s="81">
        <v>4.91</v>
      </c>
      <c r="Z138" s="81">
        <v>98.61</v>
      </c>
      <c r="AA138" s="81">
        <v>5</v>
      </c>
      <c r="AB138" s="81">
        <v>2</v>
      </c>
      <c r="AC138" s="81">
        <v>44</v>
      </c>
      <c r="AD138" s="81" t="s">
        <v>69</v>
      </c>
      <c r="AE138" s="81">
        <v>5</v>
      </c>
      <c r="AF138" s="81" t="s">
        <v>69</v>
      </c>
      <c r="AG138" s="81">
        <v>10</v>
      </c>
      <c r="AH138" s="81">
        <v>90</v>
      </c>
      <c r="AI138" s="81">
        <v>23</v>
      </c>
      <c r="AJ138" s="81">
        <v>2</v>
      </c>
      <c r="AK138" s="81" t="s">
        <v>71</v>
      </c>
      <c r="AL138" s="81">
        <v>231</v>
      </c>
      <c r="AM138" s="81">
        <v>175</v>
      </c>
      <c r="AN138" s="81">
        <v>12</v>
      </c>
      <c r="AO138" s="81">
        <v>319</v>
      </c>
      <c r="AP138" s="81">
        <v>12</v>
      </c>
      <c r="AQ138" s="81">
        <v>2</v>
      </c>
      <c r="AR138" s="81">
        <v>1.3</v>
      </c>
      <c r="AS138" s="81" t="s">
        <v>73</v>
      </c>
      <c r="AT138" s="81">
        <v>3</v>
      </c>
      <c r="AU138" s="81" t="s">
        <v>74</v>
      </c>
      <c r="AV138" s="81">
        <v>2.2000000000000002</v>
      </c>
      <c r="AW138" s="81">
        <v>796</v>
      </c>
      <c r="AX138" s="33" t="s">
        <v>75</v>
      </c>
      <c r="AY138" s="81">
        <v>112</v>
      </c>
      <c r="AZ138" s="81">
        <v>230</v>
      </c>
      <c r="BA138" s="81">
        <v>25.4</v>
      </c>
      <c r="BB138" s="81">
        <v>84.8</v>
      </c>
      <c r="BC138" s="81">
        <v>11.5</v>
      </c>
      <c r="BD138" s="81">
        <v>1.92</v>
      </c>
      <c r="BE138" s="81">
        <v>6.2</v>
      </c>
      <c r="BF138" s="81">
        <v>0.6</v>
      </c>
      <c r="BG138" s="81">
        <v>2.6</v>
      </c>
      <c r="BH138" s="81">
        <v>0.4</v>
      </c>
      <c r="BI138" s="81">
        <v>1.2</v>
      </c>
      <c r="BJ138" s="81">
        <v>0.17</v>
      </c>
      <c r="BK138" s="81">
        <v>1.2</v>
      </c>
      <c r="BL138" s="81">
        <v>0.2</v>
      </c>
      <c r="BM138" s="81">
        <v>9.1999999999999993</v>
      </c>
      <c r="BN138" s="81">
        <v>0.6</v>
      </c>
      <c r="BO138" s="81">
        <v>2</v>
      </c>
      <c r="BP138" s="81">
        <v>1.4</v>
      </c>
      <c r="BQ138" s="81">
        <v>43</v>
      </c>
      <c r="BR138" s="81">
        <v>42.9</v>
      </c>
      <c r="BS138" s="81">
        <v>4</v>
      </c>
      <c r="BT138" s="34">
        <f t="shared" si="48"/>
        <v>0.67251461988304095</v>
      </c>
      <c r="BU138" s="282">
        <f t="shared" si="49"/>
        <v>478.19</v>
      </c>
      <c r="BV138" s="282">
        <f t="shared" si="50"/>
        <v>1295</v>
      </c>
      <c r="BW138" s="79">
        <f t="shared" si="51"/>
        <v>74.143835616438352</v>
      </c>
      <c r="BX138" s="69">
        <f t="shared" si="52"/>
        <v>0.67251461988304095</v>
      </c>
      <c r="ER138" s="324">
        <f t="shared" si="58"/>
        <v>2.2140221402214021E-2</v>
      </c>
      <c r="ES138" s="257">
        <f t="shared" si="53"/>
        <v>0.67251461988304095</v>
      </c>
      <c r="ET138">
        <f t="shared" si="54"/>
        <v>1295</v>
      </c>
      <c r="EU138" s="324">
        <f t="shared" si="55"/>
        <v>3.2921546606770415E-2</v>
      </c>
      <c r="EV138" s="39">
        <f t="shared" si="56"/>
        <v>168.05</v>
      </c>
    </row>
    <row r="139" spans="1:160" x14ac:dyDescent="0.2">
      <c r="A139" s="313"/>
    </row>
    <row r="142" spans="1:160" x14ac:dyDescent="0.2">
      <c r="A142" t="s">
        <v>642</v>
      </c>
      <c r="AN142" s="55">
        <v>1.56</v>
      </c>
      <c r="AX142"/>
      <c r="AY142" s="327">
        <v>0.23499999999999999</v>
      </c>
      <c r="AZ142" s="327">
        <v>0.60320000000000007</v>
      </c>
      <c r="BA142" s="327">
        <v>8.9099999999999999E-2</v>
      </c>
      <c r="BB142" s="327">
        <v>0.45239999999999997</v>
      </c>
      <c r="BC142" s="327">
        <v>0.14709999999999998</v>
      </c>
      <c r="BD142" s="327">
        <v>5.6000000000000001E-2</v>
      </c>
      <c r="BE142" s="327">
        <v>0.17599999999999999</v>
      </c>
      <c r="BF142" s="327">
        <v>3.6299999999999999E-2</v>
      </c>
      <c r="BG142" s="327">
        <v>0.2427</v>
      </c>
      <c r="BH142" s="327">
        <v>5.5600000000000004E-2</v>
      </c>
      <c r="BI142" s="327">
        <v>0.15890000000000001</v>
      </c>
      <c r="BJ142" s="327">
        <v>2.4199999999999999E-2</v>
      </c>
      <c r="BK142" s="327">
        <v>0.16250000000000001</v>
      </c>
      <c r="BL142" s="327">
        <v>2.4300000000000002E-2</v>
      </c>
    </row>
  </sheetData>
  <sheetProtection formatCells="0" formatColumns="0" formatRows="0" insertColumns="0" insertRows="0" insertHyperlinks="0" deleteColumns="0" deleteRows="0" sort="0" autoFilter="0" pivotTables="0"/>
  <pageMargins left="0.51" right="0.51" top="0.51" bottom="0.51" header="0.3" footer="0.3"/>
  <pageSetup orientation="landscape"/>
  <headerFooter>
    <oddHeader>&amp;12&amp;BFinal Report
Activation Laboratories</oddHeader>
    <oddFooter>&amp;C&amp;"Arial,Normal"Page &amp;P of &amp;N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139"/>
  <sheetViews>
    <sheetView zoomScale="130" zoomScaleNormal="130" zoomScalePageLayoutView="150" workbookViewId="0">
      <pane xSplit="1" ySplit="6" topLeftCell="EN7" activePane="bottomRight" state="frozen"/>
      <selection activeCell="BF110" sqref="BF110"/>
      <selection pane="topRight"/>
      <selection pane="bottomLeft"/>
      <selection pane="bottomRight" activeCell="ER7" sqref="ER7"/>
    </sheetView>
  </sheetViews>
  <sheetFormatPr baseColWidth="10" defaultColWidth="8.83203125" defaultRowHeight="15" x14ac:dyDescent="0.2"/>
  <cols>
    <col min="1" max="1" width="17.1640625" style="80" customWidth="1"/>
    <col min="2" max="2" width="7.33203125" style="56" customWidth="1"/>
    <col min="3" max="3" width="7.83203125" style="56" customWidth="1"/>
    <col min="4" max="6" width="9.5" style="80" customWidth="1"/>
    <col min="7" max="7" width="9.5" style="56" customWidth="1"/>
    <col min="8" max="10" width="7.33203125" style="56" customWidth="1"/>
    <col min="11" max="11" width="7.5" style="81" customWidth="1"/>
    <col min="12" max="14" width="5" style="80" customWidth="1"/>
    <col min="15" max="15" width="7.6640625" style="55" customWidth="1"/>
    <col min="16" max="16" width="7.5" style="55" bestFit="1" customWidth="1"/>
    <col min="17" max="17" width="8" style="55" bestFit="1" customWidth="1"/>
    <col min="18" max="30" width="7.5" style="55" bestFit="1" customWidth="1"/>
    <col min="31" max="31" width="7.1640625" style="55" bestFit="1" customWidth="1"/>
    <col min="32" max="32" width="7.5" style="55" bestFit="1" customWidth="1"/>
    <col min="33" max="36" width="7.1640625" style="55" bestFit="1" customWidth="1"/>
    <col min="37" max="37" width="7.5" style="55" bestFit="1" customWidth="1"/>
    <col min="38" max="38" width="7.1640625" style="55" bestFit="1" customWidth="1"/>
    <col min="39" max="41" width="7.5" style="55" bestFit="1" customWidth="1"/>
    <col min="42" max="42" width="7.1640625" style="55" bestFit="1" customWidth="1"/>
    <col min="43" max="43" width="7.5" style="55" bestFit="1" customWidth="1"/>
    <col min="44" max="44" width="7.1640625" style="55" bestFit="1" customWidth="1"/>
    <col min="45" max="45" width="7.5" style="55" bestFit="1" customWidth="1"/>
    <col min="46" max="46" width="7.1640625" style="55" bestFit="1" customWidth="1"/>
    <col min="47" max="47" width="7.5" style="55" bestFit="1" customWidth="1"/>
    <col min="48" max="48" width="7.1640625" style="55" bestFit="1" customWidth="1"/>
    <col min="49" max="49" width="7.5" style="55" bestFit="1" customWidth="1"/>
    <col min="50" max="71" width="7" style="55" bestFit="1" customWidth="1"/>
    <col min="72" max="73" width="8.83203125" style="35"/>
    <col min="74" max="74" width="11.1640625" style="35" customWidth="1"/>
    <col min="75" max="90" width="8.83203125" style="35"/>
    <col min="91" max="91" width="10.5" style="35" customWidth="1"/>
    <col min="92" max="102" width="8.83203125" style="35"/>
    <col min="103" max="103" width="10.6640625" style="35" customWidth="1"/>
    <col min="104" max="112" width="8.83203125" style="35"/>
    <col min="113" max="113" width="10.1640625" style="35" customWidth="1"/>
    <col min="114" max="127" width="8.83203125" style="35"/>
    <col min="128" max="128" width="10.6640625" style="35" customWidth="1"/>
    <col min="129" max="145" width="8.83203125" style="35"/>
    <col min="150" max="150" width="13.5" customWidth="1"/>
    <col min="161" max="16384" width="8.83203125" style="35"/>
  </cols>
  <sheetData>
    <row r="1" spans="1:160" x14ac:dyDescent="0.2">
      <c r="A1" s="30" t="s">
        <v>416</v>
      </c>
      <c r="B1" s="31"/>
      <c r="C1" s="31"/>
      <c r="D1" s="30"/>
      <c r="E1" s="30"/>
      <c r="F1" s="30"/>
      <c r="G1" s="31"/>
      <c r="H1" s="31"/>
      <c r="I1" s="31"/>
      <c r="J1" s="31"/>
      <c r="K1" s="87"/>
      <c r="L1" s="30"/>
      <c r="M1" s="30"/>
      <c r="N1" s="30"/>
    </row>
    <row r="2" spans="1:160" ht="17" x14ac:dyDescent="0.25">
      <c r="A2" s="30" t="s">
        <v>1</v>
      </c>
      <c r="B2" s="31"/>
      <c r="C2" s="31"/>
      <c r="D2" s="33"/>
      <c r="E2" s="33"/>
      <c r="F2" s="33"/>
      <c r="G2" s="31"/>
      <c r="H2" s="31"/>
      <c r="I2" s="31"/>
      <c r="J2" s="31"/>
      <c r="K2" s="87"/>
      <c r="L2" s="33"/>
      <c r="M2" s="33"/>
      <c r="N2" s="33"/>
      <c r="BY2" s="105" t="s">
        <v>546</v>
      </c>
      <c r="BZ2" s="105" t="s">
        <v>547</v>
      </c>
      <c r="CA2" s="56" t="s">
        <v>548</v>
      </c>
      <c r="CB2" s="56" t="s">
        <v>549</v>
      </c>
      <c r="CC2" s="56" t="s">
        <v>551</v>
      </c>
      <c r="CD2" s="56" t="s">
        <v>550</v>
      </c>
      <c r="CE2" s="56" t="s">
        <v>562</v>
      </c>
      <c r="CF2" s="56" t="s">
        <v>563</v>
      </c>
      <c r="CG2" s="56" t="s">
        <v>552</v>
      </c>
      <c r="CH2" s="56" t="s">
        <v>553</v>
      </c>
      <c r="CI2" s="56" t="s">
        <v>554</v>
      </c>
      <c r="CJ2" s="56" t="s">
        <v>555</v>
      </c>
      <c r="CK2" s="102" t="s">
        <v>557</v>
      </c>
      <c r="CL2" s="102" t="s">
        <v>556</v>
      </c>
      <c r="CM2" s="56" t="s">
        <v>558</v>
      </c>
      <c r="CN2" s="56" t="s">
        <v>559</v>
      </c>
      <c r="CO2" s="56" t="s">
        <v>560</v>
      </c>
      <c r="CP2" s="102" t="s">
        <v>568</v>
      </c>
      <c r="CQ2" s="56" t="s">
        <v>561</v>
      </c>
      <c r="CR2" s="102" t="s">
        <v>605</v>
      </c>
      <c r="CS2" s="102" t="s">
        <v>608</v>
      </c>
      <c r="CT2" s="102" t="s">
        <v>597</v>
      </c>
      <c r="CU2" s="102" t="s">
        <v>598</v>
      </c>
      <c r="CV2" s="102" t="s">
        <v>599</v>
      </c>
      <c r="CW2" s="102" t="s">
        <v>600</v>
      </c>
      <c r="CX2" s="102" t="s">
        <v>601</v>
      </c>
      <c r="CY2" s="177"/>
      <c r="CZ2" s="56" t="str">
        <f>CA2</f>
        <v>quartz</v>
      </c>
      <c r="DA2" s="56" t="str">
        <f t="shared" ref="DA2:DU3" si="0">CB2</f>
        <v>orthoclase</v>
      </c>
      <c r="DB2" s="56" t="str">
        <f t="shared" si="0"/>
        <v>albite</v>
      </c>
      <c r="DC2" s="56" t="str">
        <f t="shared" si="0"/>
        <v>anorthite</v>
      </c>
      <c r="DD2" s="56" t="str">
        <f t="shared" si="0"/>
        <v>epidote</v>
      </c>
      <c r="DE2" s="56" t="str">
        <f t="shared" si="0"/>
        <v>amphibole</v>
      </c>
      <c r="DF2" s="56" t="str">
        <f t="shared" si="0"/>
        <v>hematite</v>
      </c>
      <c r="DG2" s="56" t="str">
        <f t="shared" si="0"/>
        <v>goethite</v>
      </c>
      <c r="DH2" s="56" t="str">
        <f t="shared" si="0"/>
        <v>gibbsite</v>
      </c>
      <c r="DI2" s="56" t="str">
        <f t="shared" si="0"/>
        <v>dolomite</v>
      </c>
      <c r="DJ2" s="56" t="str">
        <f t="shared" si="0"/>
        <v>kaolin pc</v>
      </c>
      <c r="DK2" s="56" t="str">
        <f t="shared" si="0"/>
        <v>kaolin wc</v>
      </c>
      <c r="DL2" s="56" t="str">
        <f t="shared" si="0"/>
        <v>HIV</v>
      </c>
      <c r="DM2" s="56" t="str">
        <f t="shared" si="0"/>
        <v>biotite wc</v>
      </c>
      <c r="DN2" s="56" t="str">
        <f t="shared" si="0"/>
        <v>biotite pc</v>
      </c>
      <c r="DO2" s="56" t="str">
        <f t="shared" si="0"/>
        <v>phengite</v>
      </c>
      <c r="DP2" s="56" t="str">
        <f t="shared" si="0"/>
        <v>smectite</v>
      </c>
      <c r="DQ2" s="56" t="str">
        <f t="shared" si="0"/>
        <v>sillimanite</v>
      </c>
      <c r="DR2" s="56" t="str">
        <f t="shared" si="0"/>
        <v>microcline</v>
      </c>
      <c r="DS2" s="56" t="str">
        <f t="shared" si="0"/>
        <v xml:space="preserve">mineral C </v>
      </c>
      <c r="DT2" s="56" t="str">
        <f t="shared" si="0"/>
        <v>mineral D</v>
      </c>
      <c r="DU2" s="56" t="str">
        <f t="shared" si="0"/>
        <v>mineral E</v>
      </c>
      <c r="DV2" s="56" t="str">
        <f>CW2</f>
        <v>mineral F</v>
      </c>
      <c r="DW2" s="56" t="str">
        <f>CX2</f>
        <v>mineral G</v>
      </c>
      <c r="DX2" s="109"/>
      <c r="DY2" s="31" t="s">
        <v>3</v>
      </c>
      <c r="DZ2" s="31" t="s">
        <v>4</v>
      </c>
      <c r="EA2" s="31" t="s">
        <v>596</v>
      </c>
      <c r="EB2" s="31" t="s">
        <v>588</v>
      </c>
      <c r="EC2" s="31" t="s">
        <v>6</v>
      </c>
      <c r="ED2" s="31" t="s">
        <v>7</v>
      </c>
      <c r="EE2" s="31" t="s">
        <v>8</v>
      </c>
      <c r="EF2" s="31" t="s">
        <v>9</v>
      </c>
      <c r="EG2" s="31" t="s">
        <v>10</v>
      </c>
      <c r="EH2" s="31" t="s">
        <v>11</v>
      </c>
      <c r="EI2" s="31" t="s">
        <v>12</v>
      </c>
      <c r="EJ2" s="31" t="s">
        <v>570</v>
      </c>
      <c r="EK2" s="102" t="s">
        <v>571</v>
      </c>
      <c r="EL2" s="102" t="s">
        <v>14</v>
      </c>
      <c r="EM2" s="102" t="s">
        <v>467</v>
      </c>
      <c r="EN2" s="102" t="s">
        <v>603</v>
      </c>
      <c r="EO2" s="262" t="s">
        <v>5</v>
      </c>
      <c r="EP2" s="262" t="s">
        <v>5</v>
      </c>
    </row>
    <row r="3" spans="1:160" x14ac:dyDescent="0.2">
      <c r="A3" s="30" t="s">
        <v>2</v>
      </c>
      <c r="B3" s="31"/>
      <c r="C3" s="31"/>
      <c r="D3" s="30" t="s">
        <v>426</v>
      </c>
      <c r="E3" s="30" t="s">
        <v>426</v>
      </c>
      <c r="F3" s="30" t="s">
        <v>426</v>
      </c>
      <c r="G3" s="31"/>
      <c r="H3" s="31" t="s">
        <v>615</v>
      </c>
      <c r="I3" s="31"/>
      <c r="J3" s="31"/>
      <c r="K3" s="87"/>
      <c r="L3" s="30" t="s">
        <v>470</v>
      </c>
      <c r="M3" s="30" t="s">
        <v>505</v>
      </c>
      <c r="N3" s="30" t="s">
        <v>420</v>
      </c>
      <c r="O3" s="33" t="s">
        <v>3</v>
      </c>
      <c r="P3" s="33" t="s">
        <v>4</v>
      </c>
      <c r="Q3" s="33" t="s">
        <v>5</v>
      </c>
      <c r="R3" s="33" t="s">
        <v>6</v>
      </c>
      <c r="S3" s="33" t="s">
        <v>7</v>
      </c>
      <c r="T3" s="33" t="s">
        <v>8</v>
      </c>
      <c r="U3" s="33" t="s">
        <v>9</v>
      </c>
      <c r="V3" s="33" t="s">
        <v>10</v>
      </c>
      <c r="W3" s="33" t="s">
        <v>11</v>
      </c>
      <c r="X3" s="33" t="s">
        <v>12</v>
      </c>
      <c r="Y3" s="33" t="s">
        <v>13</v>
      </c>
      <c r="Z3" s="33" t="s">
        <v>14</v>
      </c>
      <c r="AA3" s="33" t="s">
        <v>15</v>
      </c>
      <c r="AB3" s="33" t="s">
        <v>16</v>
      </c>
      <c r="AC3" s="33" t="s">
        <v>17</v>
      </c>
      <c r="AD3" s="33" t="s">
        <v>18</v>
      </c>
      <c r="AE3" s="33" t="s">
        <v>19</v>
      </c>
      <c r="AF3" s="33" t="s">
        <v>20</v>
      </c>
      <c r="AG3" s="33" t="s">
        <v>21</v>
      </c>
      <c r="AH3" s="33" t="s">
        <v>22</v>
      </c>
      <c r="AI3" s="33" t="s">
        <v>23</v>
      </c>
      <c r="AJ3" s="33" t="s">
        <v>24</v>
      </c>
      <c r="AK3" s="33" t="s">
        <v>25</v>
      </c>
      <c r="AL3" s="33" t="s">
        <v>26</v>
      </c>
      <c r="AM3" s="33" t="s">
        <v>27</v>
      </c>
      <c r="AN3" s="33" t="s">
        <v>28</v>
      </c>
      <c r="AO3" s="33" t="s">
        <v>29</v>
      </c>
      <c r="AP3" s="33" t="s">
        <v>30</v>
      </c>
      <c r="AQ3" s="33" t="s">
        <v>31</v>
      </c>
      <c r="AR3" s="33" t="s">
        <v>32</v>
      </c>
      <c r="AS3" s="33" t="s">
        <v>33</v>
      </c>
      <c r="AT3" s="33" t="s">
        <v>34</v>
      </c>
      <c r="AU3" s="33" t="s">
        <v>35</v>
      </c>
      <c r="AV3" s="33" t="s">
        <v>36</v>
      </c>
      <c r="AW3" s="33" t="s">
        <v>37</v>
      </c>
      <c r="AX3" s="33" t="s">
        <v>38</v>
      </c>
      <c r="AY3" s="33" t="s">
        <v>39</v>
      </c>
      <c r="AZ3" s="33" t="s">
        <v>40</v>
      </c>
      <c r="BA3" s="33" t="s">
        <v>41</v>
      </c>
      <c r="BB3" s="33" t="s">
        <v>42</v>
      </c>
      <c r="BC3" s="33" t="s">
        <v>43</v>
      </c>
      <c r="BD3" s="33" t="s">
        <v>44</v>
      </c>
      <c r="BE3" s="33" t="s">
        <v>45</v>
      </c>
      <c r="BF3" s="33" t="s">
        <v>46</v>
      </c>
      <c r="BG3" s="33" t="s">
        <v>47</v>
      </c>
      <c r="BH3" s="33" t="s">
        <v>48</v>
      </c>
      <c r="BI3" s="33" t="s">
        <v>49</v>
      </c>
      <c r="BJ3" s="33" t="s">
        <v>50</v>
      </c>
      <c r="BK3" s="33" t="s">
        <v>51</v>
      </c>
      <c r="BL3" s="33" t="s">
        <v>52</v>
      </c>
      <c r="BM3" s="33" t="s">
        <v>53</v>
      </c>
      <c r="BN3" s="33" t="s">
        <v>54</v>
      </c>
      <c r="BO3" s="33" t="s">
        <v>55</v>
      </c>
      <c r="BP3" s="33" t="s">
        <v>56</v>
      </c>
      <c r="BQ3" s="33" t="s">
        <v>57</v>
      </c>
      <c r="BR3" s="33" t="s">
        <v>58</v>
      </c>
      <c r="BS3" s="33" t="s">
        <v>59</v>
      </c>
      <c r="BT3" s="33" t="s">
        <v>471</v>
      </c>
      <c r="BU3" s="33" t="s">
        <v>441</v>
      </c>
      <c r="BV3" s="35" t="str">
        <f>F3</f>
        <v>Depth</v>
      </c>
      <c r="BY3" s="106">
        <f>65.38+16</f>
        <v>81.38</v>
      </c>
      <c r="BZ3" s="106">
        <f>DZ4</f>
        <v>101.97999999999999</v>
      </c>
      <c r="CA3" s="34">
        <f>DY4</f>
        <v>60.05</v>
      </c>
      <c r="CB3" s="34">
        <f>0.5*EG4+0.5*DZ4+3*DY4</f>
        <v>278.22999999999996</v>
      </c>
      <c r="CC3" s="34">
        <f>0.5*EF4+0.5*DZ4+3*DY4</f>
        <v>262.13</v>
      </c>
      <c r="CD3" s="104">
        <f>EE4+DZ4+2*DY4</f>
        <v>278.15800000000002</v>
      </c>
      <c r="CE3" s="34">
        <f>EE4+1.125*EA4+0.375*DZ4+DY4*3+0.5*EJ4</f>
        <v>463.12624999999997</v>
      </c>
      <c r="CF3" s="34">
        <f>2*EE4+2*EB4+2*ED4+0.5*DZ4+7*DY4+EJ4</f>
        <v>827.69599999999991</v>
      </c>
      <c r="CG3" s="34">
        <f>EA4</f>
        <v>159.69400000000002</v>
      </c>
      <c r="CH3" s="34">
        <f>0.05*DZ4+0.45*EA4+0.5*EJ4</f>
        <v>85.961300000000008</v>
      </c>
      <c r="CI3" s="34">
        <f>0.5*DZ4+1.5*EJ4</f>
        <v>77.989999999999995</v>
      </c>
      <c r="CJ3" s="104">
        <f>EE4+ED4+2*EK4</f>
        <v>184.37799999999999</v>
      </c>
      <c r="CK3" s="34">
        <f>DZ4*1.95/2+EA4*0.05/2+2*DY4+EJ4*2</f>
        <v>259.52284999999995</v>
      </c>
      <c r="CL3" s="34">
        <f>DZ4+DY4*2+2*EJ4</f>
        <v>258.08</v>
      </c>
      <c r="CM3" s="34">
        <f>EG4*0.5*0.41+EE4*0.08+DY4*3.24+DZ4*0.5*0.76+DZ4*0.5*1.56+EA4*0.5*0.24+ED4*0.2+DZ4*0.5*1.45+EJ4*0.5*3.79+EJ4</f>
        <v>489.92071999999996</v>
      </c>
      <c r="CN3" s="34">
        <f>0.5*EG4+0.39*EB4+0.23*ED4+0.03*EH4+2.62*0.5*DZ4+3.47*DY4+EJ4</f>
        <v>447.11530000000005</v>
      </c>
      <c r="CO3" s="34">
        <f>0.47*0.5*EG4+0.01*EE4+0.87*EB4+0.56*ED4+0.11*EH4+0.5*2.03*DZ4+2.8*DY4+EJ4</f>
        <v>407.03577999999993</v>
      </c>
      <c r="CP3" s="34">
        <f>0.5*EG4+0.25*ED4+0.25*EB4+DZ4+3.5*DY4+EJ4</f>
        <v>405.52</v>
      </c>
      <c r="CQ3" s="34">
        <f>0.35*0.5*EG4+1.21*ED4+0.09*EH4+0.3*0.5*EA4+0.63*EB4+1.4*0.5*DZ4+3*DY4+EJ4</f>
        <v>411.78959999999995</v>
      </c>
      <c r="CR3" s="34">
        <f>DZ4+DY4</f>
        <v>162.02999999999997</v>
      </c>
      <c r="CS3" s="34">
        <f>0.5*EG4+0.5*DZ4+3*DY4</f>
        <v>278.22999999999996</v>
      </c>
      <c r="CT3" s="34"/>
      <c r="CU3" s="34"/>
      <c r="CV3" s="34"/>
      <c r="CW3" s="34"/>
      <c r="CX3" s="34"/>
      <c r="CY3" s="178" t="s">
        <v>592</v>
      </c>
      <c r="CZ3" s="34">
        <f>CA3</f>
        <v>60.05</v>
      </c>
      <c r="DA3" s="34">
        <f>CB3</f>
        <v>278.22999999999996</v>
      </c>
      <c r="DB3" s="34">
        <f>CC3</f>
        <v>262.13</v>
      </c>
      <c r="DC3" s="34">
        <f t="shared" si="0"/>
        <v>278.15800000000002</v>
      </c>
      <c r="DD3" s="34">
        <f t="shared" si="0"/>
        <v>463.12624999999997</v>
      </c>
      <c r="DE3" s="34">
        <f t="shared" si="0"/>
        <v>827.69599999999991</v>
      </c>
      <c r="DF3" s="34">
        <f t="shared" si="0"/>
        <v>159.69400000000002</v>
      </c>
      <c r="DG3" s="34">
        <f t="shared" si="0"/>
        <v>85.961300000000008</v>
      </c>
      <c r="DH3" s="34">
        <f t="shared" si="0"/>
        <v>77.989999999999995</v>
      </c>
      <c r="DI3" s="34">
        <f t="shared" si="0"/>
        <v>184.37799999999999</v>
      </c>
      <c r="DJ3" s="34">
        <f t="shared" si="0"/>
        <v>259.52284999999995</v>
      </c>
      <c r="DK3" s="34">
        <f t="shared" si="0"/>
        <v>258.08</v>
      </c>
      <c r="DL3" s="34">
        <f t="shared" si="0"/>
        <v>489.92071999999996</v>
      </c>
      <c r="DM3" s="34">
        <f t="shared" si="0"/>
        <v>447.11530000000005</v>
      </c>
      <c r="DN3" s="34">
        <f t="shared" si="0"/>
        <v>407.03577999999993</v>
      </c>
      <c r="DO3" s="34">
        <f t="shared" si="0"/>
        <v>405.52</v>
      </c>
      <c r="DP3" s="34">
        <f t="shared" si="0"/>
        <v>411.78959999999995</v>
      </c>
      <c r="DQ3" s="34">
        <f t="shared" si="0"/>
        <v>162.02999999999997</v>
      </c>
      <c r="DR3" s="34">
        <f>CS3</f>
        <v>278.22999999999996</v>
      </c>
      <c r="DS3" s="34"/>
      <c r="DT3" s="34"/>
      <c r="DU3" s="34"/>
      <c r="DV3" s="34"/>
      <c r="DW3" s="34"/>
      <c r="DX3" s="110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263"/>
    </row>
    <row r="4" spans="1:160" ht="129" x14ac:dyDescent="0.25">
      <c r="A4" s="30" t="s">
        <v>60</v>
      </c>
      <c r="B4" s="31"/>
      <c r="C4" s="31"/>
      <c r="D4" s="30" t="s">
        <v>425</v>
      </c>
      <c r="E4" s="30" t="s">
        <v>425</v>
      </c>
      <c r="F4" s="30" t="s">
        <v>425</v>
      </c>
      <c r="G4" s="31"/>
      <c r="H4" s="31" t="s">
        <v>614</v>
      </c>
      <c r="I4" s="31"/>
      <c r="J4" s="31"/>
      <c r="K4" s="87"/>
      <c r="L4" s="30"/>
      <c r="M4" s="30"/>
      <c r="N4" s="30"/>
      <c r="O4" s="33" t="s">
        <v>61</v>
      </c>
      <c r="P4" s="33" t="s">
        <v>61</v>
      </c>
      <c r="Q4" s="33" t="s">
        <v>61</v>
      </c>
      <c r="R4" s="33" t="s">
        <v>61</v>
      </c>
      <c r="S4" s="33" t="s">
        <v>61</v>
      </c>
      <c r="T4" s="33" t="s">
        <v>61</v>
      </c>
      <c r="U4" s="33" t="s">
        <v>61</v>
      </c>
      <c r="V4" s="33" t="s">
        <v>61</v>
      </c>
      <c r="W4" s="33" t="s">
        <v>61</v>
      </c>
      <c r="X4" s="33" t="s">
        <v>61</v>
      </c>
      <c r="Y4" s="33" t="s">
        <v>61</v>
      </c>
      <c r="Z4" s="33" t="s">
        <v>61</v>
      </c>
      <c r="AA4" s="33" t="s">
        <v>62</v>
      </c>
      <c r="AB4" s="33" t="s">
        <v>62</v>
      </c>
      <c r="AC4" s="33" t="s">
        <v>62</v>
      </c>
      <c r="AD4" s="33" t="s">
        <v>62</v>
      </c>
      <c r="AE4" s="33" t="s">
        <v>62</v>
      </c>
      <c r="AF4" s="33" t="s">
        <v>62</v>
      </c>
      <c r="AG4" s="33" t="s">
        <v>62</v>
      </c>
      <c r="AH4" s="33" t="s">
        <v>62</v>
      </c>
      <c r="AI4" s="33" t="s">
        <v>62</v>
      </c>
      <c r="AJ4" s="33" t="s">
        <v>62</v>
      </c>
      <c r="AK4" s="33" t="s">
        <v>62</v>
      </c>
      <c r="AL4" s="33" t="s">
        <v>62</v>
      </c>
      <c r="AM4" s="33" t="s">
        <v>62</v>
      </c>
      <c r="AN4" s="33" t="s">
        <v>62</v>
      </c>
      <c r="AO4" s="33" t="s">
        <v>62</v>
      </c>
      <c r="AP4" s="33" t="s">
        <v>62</v>
      </c>
      <c r="AQ4" s="33" t="s">
        <v>62</v>
      </c>
      <c r="AR4" s="33" t="s">
        <v>62</v>
      </c>
      <c r="AS4" s="33" t="s">
        <v>62</v>
      </c>
      <c r="AT4" s="33" t="s">
        <v>62</v>
      </c>
      <c r="AU4" s="33" t="s">
        <v>62</v>
      </c>
      <c r="AV4" s="33" t="s">
        <v>62</v>
      </c>
      <c r="AW4" s="33" t="s">
        <v>62</v>
      </c>
      <c r="AX4" s="33" t="s">
        <v>62</v>
      </c>
      <c r="AY4" s="33" t="s">
        <v>62</v>
      </c>
      <c r="AZ4" s="33" t="s">
        <v>62</v>
      </c>
      <c r="BA4" s="33" t="s">
        <v>62</v>
      </c>
      <c r="BB4" s="33" t="s">
        <v>62</v>
      </c>
      <c r="BC4" s="33" t="s">
        <v>62</v>
      </c>
      <c r="BD4" s="33" t="s">
        <v>62</v>
      </c>
      <c r="BE4" s="33" t="s">
        <v>62</v>
      </c>
      <c r="BF4" s="33" t="s">
        <v>62</v>
      </c>
      <c r="BG4" s="33" t="s">
        <v>62</v>
      </c>
      <c r="BH4" s="33" t="s">
        <v>62</v>
      </c>
      <c r="BI4" s="33" t="s">
        <v>62</v>
      </c>
      <c r="BJ4" s="33" t="s">
        <v>62</v>
      </c>
      <c r="BK4" s="33" t="s">
        <v>62</v>
      </c>
      <c r="BL4" s="33" t="s">
        <v>62</v>
      </c>
      <c r="BM4" s="33" t="s">
        <v>62</v>
      </c>
      <c r="BN4" s="33" t="s">
        <v>62</v>
      </c>
      <c r="BO4" s="33" t="s">
        <v>62</v>
      </c>
      <c r="BP4" s="33" t="s">
        <v>62</v>
      </c>
      <c r="BQ4" s="33" t="s">
        <v>62</v>
      </c>
      <c r="BR4" s="33" t="s">
        <v>62</v>
      </c>
      <c r="BS4" s="33" t="s">
        <v>62</v>
      </c>
      <c r="BU4" s="33" t="s">
        <v>62</v>
      </c>
      <c r="BV4" s="35" t="str">
        <f>F4</f>
        <v>cm</v>
      </c>
      <c r="BY4" s="107" t="s">
        <v>580</v>
      </c>
      <c r="BZ4" s="107" t="s">
        <v>587</v>
      </c>
      <c r="CA4" s="101" t="s">
        <v>581</v>
      </c>
      <c r="CB4" s="101" t="s">
        <v>582</v>
      </c>
      <c r="CC4" s="101" t="s">
        <v>583</v>
      </c>
      <c r="CD4" s="101" t="s">
        <v>584</v>
      </c>
      <c r="CE4" s="101" t="s">
        <v>586</v>
      </c>
      <c r="CF4" s="101" t="s">
        <v>585</v>
      </c>
      <c r="CG4" s="101" t="s">
        <v>575</v>
      </c>
      <c r="CH4" s="101" t="s">
        <v>574</v>
      </c>
      <c r="CI4" s="101" t="s">
        <v>569</v>
      </c>
      <c r="CJ4" s="101" t="s">
        <v>572</v>
      </c>
      <c r="CK4" s="101" t="s">
        <v>576</v>
      </c>
      <c r="CL4" s="101" t="s">
        <v>573</v>
      </c>
      <c r="CM4" s="101" t="s">
        <v>604</v>
      </c>
      <c r="CN4" s="101" t="s">
        <v>590</v>
      </c>
      <c r="CO4" s="101" t="s">
        <v>578</v>
      </c>
      <c r="CP4" s="101" t="s">
        <v>577</v>
      </c>
      <c r="CQ4" s="101" t="s">
        <v>579</v>
      </c>
      <c r="CR4" s="101" t="s">
        <v>606</v>
      </c>
      <c r="CS4" s="101" t="s">
        <v>582</v>
      </c>
      <c r="CT4" s="100"/>
      <c r="CU4" s="100"/>
      <c r="CV4" s="100"/>
      <c r="CW4" s="100"/>
      <c r="CX4" s="100"/>
      <c r="CY4" s="179" t="s">
        <v>589</v>
      </c>
      <c r="CZ4" s="101" t="s">
        <v>581</v>
      </c>
      <c r="DA4" s="101" t="s">
        <v>582</v>
      </c>
      <c r="DB4" s="101" t="s">
        <v>583</v>
      </c>
      <c r="DC4" s="101" t="s">
        <v>584</v>
      </c>
      <c r="DD4" s="101" t="s">
        <v>586</v>
      </c>
      <c r="DE4" s="101" t="s">
        <v>585</v>
      </c>
      <c r="DF4" s="101" t="s">
        <v>575</v>
      </c>
      <c r="DG4" s="101" t="s">
        <v>574</v>
      </c>
      <c r="DH4" s="101" t="s">
        <v>569</v>
      </c>
      <c r="DI4" s="101" t="s">
        <v>572</v>
      </c>
      <c r="DJ4" s="101" t="s">
        <v>576</v>
      </c>
      <c r="DK4" s="101" t="s">
        <v>573</v>
      </c>
      <c r="DL4" s="101" t="s">
        <v>604</v>
      </c>
      <c r="DM4" s="101" t="s">
        <v>590</v>
      </c>
      <c r="DN4" s="101" t="s">
        <v>578</v>
      </c>
      <c r="DO4" s="101" t="s">
        <v>577</v>
      </c>
      <c r="DP4" s="101" t="s">
        <v>579</v>
      </c>
      <c r="DQ4" s="101" t="s">
        <v>606</v>
      </c>
      <c r="DR4" s="34" t="str">
        <f>CS4</f>
        <v>KAlSi3O8</v>
      </c>
      <c r="DS4" s="100"/>
      <c r="DT4" s="100"/>
      <c r="DU4" s="100"/>
      <c r="DV4" s="100"/>
      <c r="DW4" s="100"/>
      <c r="DX4" s="111" t="s">
        <v>591</v>
      </c>
      <c r="DY4" s="100">
        <f>28.05+2*16</f>
        <v>60.05</v>
      </c>
      <c r="DZ4" s="100">
        <f>2*26.99+3*16</f>
        <v>101.97999999999999</v>
      </c>
      <c r="EA4" s="100">
        <f>2*55.847+3*16</f>
        <v>159.69400000000002</v>
      </c>
      <c r="EB4" s="100">
        <v>72.8</v>
      </c>
      <c r="EC4" s="100">
        <f>54.94+16</f>
        <v>70.94</v>
      </c>
      <c r="ED4" s="100">
        <f>24.3+16</f>
        <v>40.299999999999997</v>
      </c>
      <c r="EE4" s="100">
        <f>56.078</f>
        <v>56.078000000000003</v>
      </c>
      <c r="EF4" s="101">
        <f>2*22.99+16</f>
        <v>61.98</v>
      </c>
      <c r="EG4" s="100">
        <f>2*39.09+16</f>
        <v>94.18</v>
      </c>
      <c r="EH4" s="100">
        <f>47.9+2*16</f>
        <v>79.900000000000006</v>
      </c>
      <c r="EI4" s="100">
        <f>2*30.97+5*16</f>
        <v>141.94</v>
      </c>
      <c r="EJ4" s="100">
        <f>1+1+16</f>
        <v>18</v>
      </c>
      <c r="EK4" s="100">
        <f>12+2*16</f>
        <v>44</v>
      </c>
      <c r="EL4" s="100"/>
      <c r="EM4" s="100"/>
      <c r="EN4" s="100"/>
      <c r="EO4" s="264"/>
      <c r="EQ4" s="312" t="s">
        <v>629</v>
      </c>
    </row>
    <row r="5" spans="1:160" ht="14" customHeight="1" x14ac:dyDescent="0.25">
      <c r="A5" s="30" t="s">
        <v>63</v>
      </c>
      <c r="B5" s="31"/>
      <c r="C5" s="31"/>
      <c r="D5" s="30">
        <v>1</v>
      </c>
      <c r="E5" s="30">
        <v>1</v>
      </c>
      <c r="F5" s="30">
        <v>1</v>
      </c>
      <c r="G5" s="31"/>
      <c r="H5" s="31"/>
      <c r="I5" s="31"/>
      <c r="J5" s="31"/>
      <c r="K5" s="87"/>
      <c r="L5" s="30"/>
      <c r="M5" s="30"/>
      <c r="N5" s="30"/>
      <c r="O5" s="33">
        <v>0.01</v>
      </c>
      <c r="P5" s="33">
        <v>0.01</v>
      </c>
      <c r="Q5" s="33">
        <v>0.01</v>
      </c>
      <c r="R5" s="33">
        <v>1E-3</v>
      </c>
      <c r="S5" s="33">
        <v>0.01</v>
      </c>
      <c r="T5" s="33">
        <v>0.01</v>
      </c>
      <c r="U5" s="33">
        <v>0.01</v>
      </c>
      <c r="V5" s="33">
        <v>0.01</v>
      </c>
      <c r="W5" s="33">
        <v>1E-3</v>
      </c>
      <c r="X5" s="33">
        <v>0.01</v>
      </c>
      <c r="Y5" s="33"/>
      <c r="Z5" s="33">
        <v>0.01</v>
      </c>
      <c r="AA5" s="33">
        <v>1</v>
      </c>
      <c r="AB5" s="33">
        <v>1</v>
      </c>
      <c r="AC5" s="33">
        <v>5</v>
      </c>
      <c r="AD5" s="33">
        <v>20</v>
      </c>
      <c r="AE5" s="33">
        <v>1</v>
      </c>
      <c r="AF5" s="33">
        <v>20</v>
      </c>
      <c r="AG5" s="33">
        <v>10</v>
      </c>
      <c r="AH5" s="33">
        <v>30</v>
      </c>
      <c r="AI5" s="33">
        <v>1</v>
      </c>
      <c r="AJ5" s="33">
        <v>1</v>
      </c>
      <c r="AK5" s="33">
        <v>5</v>
      </c>
      <c r="AL5" s="33">
        <v>2</v>
      </c>
      <c r="AM5" s="33">
        <v>2</v>
      </c>
      <c r="AN5" s="33">
        <v>2</v>
      </c>
      <c r="AO5" s="33">
        <v>4</v>
      </c>
      <c r="AP5" s="33">
        <v>1</v>
      </c>
      <c r="AQ5" s="33">
        <v>2</v>
      </c>
      <c r="AR5" s="33">
        <v>0.5</v>
      </c>
      <c r="AS5" s="33">
        <v>0.2</v>
      </c>
      <c r="AT5" s="33">
        <v>1</v>
      </c>
      <c r="AU5" s="33">
        <v>0.5</v>
      </c>
      <c r="AV5" s="33">
        <v>0.5</v>
      </c>
      <c r="AW5" s="33">
        <v>3</v>
      </c>
      <c r="AX5" s="33">
        <v>0.4</v>
      </c>
      <c r="AY5" s="33">
        <v>0.1</v>
      </c>
      <c r="AZ5" s="33">
        <v>0.1</v>
      </c>
      <c r="BA5" s="33">
        <v>0.05</v>
      </c>
      <c r="BB5" s="33">
        <v>0.1</v>
      </c>
      <c r="BC5" s="33">
        <v>0.1</v>
      </c>
      <c r="BD5" s="33">
        <v>0.05</v>
      </c>
      <c r="BE5" s="33">
        <v>0.1</v>
      </c>
      <c r="BF5" s="33">
        <v>0.1</v>
      </c>
      <c r="BG5" s="33">
        <v>0.1</v>
      </c>
      <c r="BH5" s="33">
        <v>0.1</v>
      </c>
      <c r="BI5" s="33">
        <v>0.1</v>
      </c>
      <c r="BJ5" s="33">
        <v>0.05</v>
      </c>
      <c r="BK5" s="33">
        <v>0.1</v>
      </c>
      <c r="BL5" s="33">
        <v>0.04</v>
      </c>
      <c r="BM5" s="33">
        <v>0.2</v>
      </c>
      <c r="BN5" s="33">
        <v>0.1</v>
      </c>
      <c r="BO5" s="33">
        <v>1</v>
      </c>
      <c r="BP5" s="33">
        <v>0.1</v>
      </c>
      <c r="BQ5" s="33">
        <v>5</v>
      </c>
      <c r="BR5" s="33">
        <v>0.1</v>
      </c>
      <c r="BS5" s="33">
        <v>0.1</v>
      </c>
      <c r="BY5" s="105" t="s">
        <v>546</v>
      </c>
      <c r="BZ5" s="105" t="s">
        <v>547</v>
      </c>
      <c r="CA5" s="56" t="str">
        <f>CA2</f>
        <v>quartz</v>
      </c>
      <c r="CB5" s="56" t="str">
        <f t="shared" ref="CB5:CX5" si="1">CB2</f>
        <v>orthoclase</v>
      </c>
      <c r="CC5" s="56" t="str">
        <f t="shared" si="1"/>
        <v>albite</v>
      </c>
      <c r="CD5" s="56" t="str">
        <f t="shared" si="1"/>
        <v>anorthite</v>
      </c>
      <c r="CE5" s="56" t="str">
        <f t="shared" si="1"/>
        <v>epidote</v>
      </c>
      <c r="CF5" s="56" t="str">
        <f t="shared" si="1"/>
        <v>amphibole</v>
      </c>
      <c r="CG5" s="56" t="str">
        <f t="shared" si="1"/>
        <v>hematite</v>
      </c>
      <c r="CH5" s="56" t="str">
        <f t="shared" si="1"/>
        <v>goethite</v>
      </c>
      <c r="CI5" s="56" t="str">
        <f t="shared" si="1"/>
        <v>gibbsite</v>
      </c>
      <c r="CJ5" s="56" t="str">
        <f t="shared" si="1"/>
        <v>dolomite</v>
      </c>
      <c r="CK5" s="56" t="str">
        <f t="shared" si="1"/>
        <v>kaolin pc</v>
      </c>
      <c r="CL5" s="56" t="str">
        <f t="shared" si="1"/>
        <v>kaolin wc</v>
      </c>
      <c r="CM5" s="56" t="str">
        <f t="shared" si="1"/>
        <v>HIV</v>
      </c>
      <c r="CN5" s="56" t="str">
        <f t="shared" si="1"/>
        <v>biotite wc</v>
      </c>
      <c r="CO5" s="56" t="str">
        <f t="shared" si="1"/>
        <v>biotite pc</v>
      </c>
      <c r="CP5" s="56" t="str">
        <f t="shared" si="1"/>
        <v>phengite</v>
      </c>
      <c r="CQ5" s="56" t="str">
        <f t="shared" si="1"/>
        <v>smectite</v>
      </c>
      <c r="CR5" s="56" t="str">
        <f t="shared" si="1"/>
        <v>sillimanite</v>
      </c>
      <c r="CS5" s="56" t="str">
        <f t="shared" si="1"/>
        <v>microcline</v>
      </c>
      <c r="CT5" s="56" t="str">
        <f t="shared" si="1"/>
        <v xml:space="preserve">mineral C </v>
      </c>
      <c r="CU5" s="56" t="str">
        <f t="shared" si="1"/>
        <v>mineral D</v>
      </c>
      <c r="CV5" s="56" t="str">
        <f t="shared" si="1"/>
        <v>mineral E</v>
      </c>
      <c r="CW5" s="56" t="str">
        <f t="shared" si="1"/>
        <v>mineral F</v>
      </c>
      <c r="CX5" s="56" t="str">
        <f t="shared" si="1"/>
        <v>mineral G</v>
      </c>
      <c r="CY5" s="177" t="s">
        <v>595</v>
      </c>
      <c r="CZ5" s="56" t="str">
        <f>CZ2</f>
        <v>quartz</v>
      </c>
      <c r="DA5" s="56" t="str">
        <f t="shared" ref="DA5:DW5" si="2">DA2</f>
        <v>orthoclase</v>
      </c>
      <c r="DB5" s="56" t="str">
        <f t="shared" si="2"/>
        <v>albite</v>
      </c>
      <c r="DC5" s="56" t="str">
        <f t="shared" si="2"/>
        <v>anorthite</v>
      </c>
      <c r="DD5" s="56" t="str">
        <f t="shared" si="2"/>
        <v>epidote</v>
      </c>
      <c r="DE5" s="56" t="str">
        <f t="shared" si="2"/>
        <v>amphibole</v>
      </c>
      <c r="DF5" s="56" t="str">
        <f t="shared" si="2"/>
        <v>hematite</v>
      </c>
      <c r="DG5" s="56" t="str">
        <f t="shared" si="2"/>
        <v>goethite</v>
      </c>
      <c r="DH5" s="56" t="str">
        <f t="shared" si="2"/>
        <v>gibbsite</v>
      </c>
      <c r="DI5" s="56" t="str">
        <f t="shared" si="2"/>
        <v>dolomite</v>
      </c>
      <c r="DJ5" s="56" t="str">
        <f t="shared" si="2"/>
        <v>kaolin pc</v>
      </c>
      <c r="DK5" s="56" t="str">
        <f t="shared" si="2"/>
        <v>kaolin wc</v>
      </c>
      <c r="DL5" s="56" t="str">
        <f t="shared" si="2"/>
        <v>HIV</v>
      </c>
      <c r="DM5" s="56" t="str">
        <f t="shared" si="2"/>
        <v>biotite wc</v>
      </c>
      <c r="DN5" s="56" t="str">
        <f t="shared" si="2"/>
        <v>biotite pc</v>
      </c>
      <c r="DO5" s="56" t="str">
        <f t="shared" si="2"/>
        <v>phengite</v>
      </c>
      <c r="DP5" s="56" t="str">
        <f t="shared" si="2"/>
        <v>smectite</v>
      </c>
      <c r="DQ5" s="56" t="str">
        <f t="shared" si="2"/>
        <v>sillimanite</v>
      </c>
      <c r="DR5" s="56" t="str">
        <f t="shared" si="2"/>
        <v>microcline</v>
      </c>
      <c r="DS5" s="56" t="str">
        <f t="shared" si="2"/>
        <v xml:space="preserve">mineral C </v>
      </c>
      <c r="DT5" s="56" t="str">
        <f t="shared" si="2"/>
        <v>mineral D</v>
      </c>
      <c r="DU5" s="56" t="str">
        <f t="shared" si="2"/>
        <v>mineral E</v>
      </c>
      <c r="DV5" s="56" t="str">
        <f t="shared" si="2"/>
        <v>mineral F</v>
      </c>
      <c r="DW5" s="56" t="str">
        <f t="shared" si="2"/>
        <v>mineral G</v>
      </c>
      <c r="DX5" s="109" t="s">
        <v>593</v>
      </c>
      <c r="DY5" s="31" t="s">
        <v>3</v>
      </c>
      <c r="DZ5" s="31" t="s">
        <v>4</v>
      </c>
      <c r="EA5" s="31" t="s">
        <v>596</v>
      </c>
      <c r="EB5" s="31" t="s">
        <v>588</v>
      </c>
      <c r="EC5" s="31" t="s">
        <v>6</v>
      </c>
      <c r="ED5" s="31" t="s">
        <v>7</v>
      </c>
      <c r="EE5" s="31" t="s">
        <v>8</v>
      </c>
      <c r="EF5" s="31" t="s">
        <v>9</v>
      </c>
      <c r="EG5" s="31" t="s">
        <v>10</v>
      </c>
      <c r="EH5" s="31" t="s">
        <v>11</v>
      </c>
      <c r="EI5" s="31" t="s">
        <v>12</v>
      </c>
      <c r="EJ5" s="31" t="s">
        <v>570</v>
      </c>
      <c r="EK5" s="102" t="s">
        <v>571</v>
      </c>
      <c r="EL5" s="102" t="s">
        <v>14</v>
      </c>
      <c r="EM5" s="102" t="s">
        <v>619</v>
      </c>
      <c r="EN5" s="102" t="s">
        <v>603</v>
      </c>
      <c r="EO5" s="262" t="s">
        <v>5</v>
      </c>
      <c r="EP5" s="262" t="s">
        <v>5</v>
      </c>
    </row>
    <row r="6" spans="1:160" s="279" customFormat="1" ht="24" customHeight="1" x14ac:dyDescent="0.2">
      <c r="A6" s="277" t="s">
        <v>64</v>
      </c>
      <c r="B6" s="277" t="s">
        <v>463</v>
      </c>
      <c r="C6" s="277" t="s">
        <v>618</v>
      </c>
      <c r="D6" s="277" t="s">
        <v>423</v>
      </c>
      <c r="E6" s="277" t="s">
        <v>424</v>
      </c>
      <c r="F6" s="277" t="s">
        <v>427</v>
      </c>
      <c r="G6" s="277" t="s">
        <v>531</v>
      </c>
      <c r="H6" s="277" t="s">
        <v>613</v>
      </c>
      <c r="I6" s="277" t="s">
        <v>611</v>
      </c>
      <c r="J6" s="277" t="s">
        <v>612</v>
      </c>
      <c r="K6" s="278" t="s">
        <v>617</v>
      </c>
      <c r="L6" s="277"/>
      <c r="M6" s="277"/>
      <c r="N6" s="277"/>
      <c r="O6" s="277" t="s">
        <v>65</v>
      </c>
      <c r="P6" s="277" t="s">
        <v>65</v>
      </c>
      <c r="Q6" s="277" t="s">
        <v>65</v>
      </c>
      <c r="R6" s="277" t="s">
        <v>65</v>
      </c>
      <c r="S6" s="277" t="s">
        <v>65</v>
      </c>
      <c r="T6" s="277" t="s">
        <v>65</v>
      </c>
      <c r="U6" s="277" t="s">
        <v>65</v>
      </c>
      <c r="V6" s="277" t="s">
        <v>65</v>
      </c>
      <c r="W6" s="277" t="s">
        <v>65</v>
      </c>
      <c r="X6" s="277" t="s">
        <v>65</v>
      </c>
      <c r="Y6" s="277" t="s">
        <v>65</v>
      </c>
      <c r="Z6" s="277" t="s">
        <v>65</v>
      </c>
      <c r="AA6" s="277" t="s">
        <v>65</v>
      </c>
      <c r="AB6" s="277" t="s">
        <v>65</v>
      </c>
      <c r="AC6" s="277" t="s">
        <v>65</v>
      </c>
      <c r="AD6" s="277" t="s">
        <v>66</v>
      </c>
      <c r="AE6" s="277" t="s">
        <v>66</v>
      </c>
      <c r="AF6" s="277" t="s">
        <v>66</v>
      </c>
      <c r="AG6" s="277" t="s">
        <v>66</v>
      </c>
      <c r="AH6" s="277" t="s">
        <v>66</v>
      </c>
      <c r="AI6" s="277" t="s">
        <v>66</v>
      </c>
      <c r="AJ6" s="277" t="s">
        <v>66</v>
      </c>
      <c r="AK6" s="277" t="s">
        <v>66</v>
      </c>
      <c r="AL6" s="277" t="s">
        <v>66</v>
      </c>
      <c r="AM6" s="277" t="s">
        <v>65</v>
      </c>
      <c r="AN6" s="277" t="s">
        <v>65</v>
      </c>
      <c r="AO6" s="277" t="s">
        <v>65</v>
      </c>
      <c r="AP6" s="277" t="s">
        <v>66</v>
      </c>
      <c r="AQ6" s="277" t="s">
        <v>66</v>
      </c>
      <c r="AR6" s="277" t="s">
        <v>66</v>
      </c>
      <c r="AS6" s="277" t="s">
        <v>66</v>
      </c>
      <c r="AT6" s="277" t="s">
        <v>66</v>
      </c>
      <c r="AU6" s="277" t="s">
        <v>66</v>
      </c>
      <c r="AV6" s="277" t="s">
        <v>66</v>
      </c>
      <c r="AW6" s="277" t="s">
        <v>65</v>
      </c>
      <c r="AX6" s="277" t="s">
        <v>66</v>
      </c>
      <c r="AY6" s="277" t="s">
        <v>66</v>
      </c>
      <c r="AZ6" s="277" t="s">
        <v>66</v>
      </c>
      <c r="BA6" s="277" t="s">
        <v>66</v>
      </c>
      <c r="BB6" s="277" t="s">
        <v>66</v>
      </c>
      <c r="BC6" s="277" t="s">
        <v>66</v>
      </c>
      <c r="BD6" s="277" t="s">
        <v>66</v>
      </c>
      <c r="BE6" s="277" t="s">
        <v>66</v>
      </c>
      <c r="BF6" s="277" t="s">
        <v>66</v>
      </c>
      <c r="BG6" s="277" t="s">
        <v>66</v>
      </c>
      <c r="BH6" s="277" t="s">
        <v>66</v>
      </c>
      <c r="BI6" s="277" t="s">
        <v>66</v>
      </c>
      <c r="BJ6" s="277" t="s">
        <v>66</v>
      </c>
      <c r="BK6" s="277" t="s">
        <v>66</v>
      </c>
      <c r="BL6" s="277" t="s">
        <v>66</v>
      </c>
      <c r="BM6" s="277" t="s">
        <v>66</v>
      </c>
      <c r="BN6" s="277" t="s">
        <v>66</v>
      </c>
      <c r="BO6" s="277" t="s">
        <v>66</v>
      </c>
      <c r="BP6" s="277" t="s">
        <v>66</v>
      </c>
      <c r="BQ6" s="277" t="s">
        <v>66</v>
      </c>
      <c r="BR6" s="277" t="s">
        <v>66</v>
      </c>
      <c r="BS6" s="277" t="s">
        <v>66</v>
      </c>
      <c r="BV6" s="279" t="str">
        <f>F6</f>
        <v>Average (cm)</v>
      </c>
      <c r="BW6" s="279" t="s">
        <v>489</v>
      </c>
      <c r="BX6" s="311" t="s">
        <v>643</v>
      </c>
      <c r="BY6" s="105" t="s">
        <v>567</v>
      </c>
      <c r="BZ6" s="105" t="s">
        <v>567</v>
      </c>
      <c r="CA6" s="102" t="s">
        <v>567</v>
      </c>
      <c r="CB6" s="102" t="s">
        <v>567</v>
      </c>
      <c r="CC6" s="102" t="s">
        <v>567</v>
      </c>
      <c r="CD6" s="102" t="s">
        <v>567</v>
      </c>
      <c r="CE6" s="102" t="s">
        <v>567</v>
      </c>
      <c r="CF6" s="102" t="s">
        <v>567</v>
      </c>
      <c r="CG6" s="102" t="s">
        <v>567</v>
      </c>
      <c r="CH6" s="102" t="s">
        <v>567</v>
      </c>
      <c r="CI6" s="102" t="s">
        <v>567</v>
      </c>
      <c r="CJ6" s="102" t="s">
        <v>567</v>
      </c>
      <c r="CK6" s="102" t="s">
        <v>567</v>
      </c>
      <c r="CL6" s="102" t="s">
        <v>567</v>
      </c>
      <c r="CM6" s="102" t="s">
        <v>567</v>
      </c>
      <c r="CN6" s="102" t="s">
        <v>567</v>
      </c>
      <c r="CO6" s="102" t="s">
        <v>567</v>
      </c>
      <c r="CP6" s="102" t="s">
        <v>567</v>
      </c>
      <c r="CQ6" s="102" t="s">
        <v>567</v>
      </c>
      <c r="CR6" s="102" t="s">
        <v>567</v>
      </c>
      <c r="CS6" s="102" t="s">
        <v>567</v>
      </c>
      <c r="CT6" s="102" t="s">
        <v>567</v>
      </c>
      <c r="CU6" s="102" t="s">
        <v>567</v>
      </c>
      <c r="CV6" s="102" t="s">
        <v>567</v>
      </c>
      <c r="CW6" s="102" t="s">
        <v>567</v>
      </c>
      <c r="CX6" s="102" t="s">
        <v>567</v>
      </c>
      <c r="CY6" s="177" t="s">
        <v>567</v>
      </c>
      <c r="CZ6" s="102" t="s">
        <v>567</v>
      </c>
      <c r="DA6" s="102" t="s">
        <v>567</v>
      </c>
      <c r="DB6" s="102" t="s">
        <v>567</v>
      </c>
      <c r="DC6" s="102" t="s">
        <v>567</v>
      </c>
      <c r="DD6" s="102" t="s">
        <v>567</v>
      </c>
      <c r="DE6" s="102" t="s">
        <v>567</v>
      </c>
      <c r="DF6" s="102" t="s">
        <v>567</v>
      </c>
      <c r="DG6" s="102" t="s">
        <v>567</v>
      </c>
      <c r="DH6" s="102" t="s">
        <v>567</v>
      </c>
      <c r="DI6" s="102" t="s">
        <v>567</v>
      </c>
      <c r="DJ6" s="102" t="s">
        <v>567</v>
      </c>
      <c r="DK6" s="102" t="s">
        <v>567</v>
      </c>
      <c r="DL6" s="102" t="s">
        <v>567</v>
      </c>
      <c r="DM6" s="102" t="s">
        <v>567</v>
      </c>
      <c r="DN6" s="102" t="s">
        <v>567</v>
      </c>
      <c r="DO6" s="102" t="s">
        <v>567</v>
      </c>
      <c r="DP6" s="102" t="s">
        <v>567</v>
      </c>
      <c r="DQ6" s="102" t="s">
        <v>567</v>
      </c>
      <c r="DR6" s="102" t="s">
        <v>567</v>
      </c>
      <c r="DS6" s="102" t="s">
        <v>567</v>
      </c>
      <c r="DT6" s="102" t="s">
        <v>567</v>
      </c>
      <c r="DU6" s="102" t="s">
        <v>567</v>
      </c>
      <c r="DV6" s="102" t="s">
        <v>567</v>
      </c>
      <c r="DW6" s="102" t="s">
        <v>567</v>
      </c>
      <c r="DX6" s="109" t="s">
        <v>594</v>
      </c>
      <c r="DY6" s="31" t="s">
        <v>61</v>
      </c>
      <c r="DZ6" s="31" t="s">
        <v>61</v>
      </c>
      <c r="EA6" s="31" t="s">
        <v>61</v>
      </c>
      <c r="EB6" s="31" t="s">
        <v>61</v>
      </c>
      <c r="EC6" s="31" t="s">
        <v>61</v>
      </c>
      <c r="ED6" s="31" t="s">
        <v>61</v>
      </c>
      <c r="EE6" s="31" t="s">
        <v>61</v>
      </c>
      <c r="EF6" s="31" t="s">
        <v>61</v>
      </c>
      <c r="EG6" s="31" t="s">
        <v>61</v>
      </c>
      <c r="EH6" s="31" t="s">
        <v>61</v>
      </c>
      <c r="EI6" s="31" t="s">
        <v>61</v>
      </c>
      <c r="EJ6" s="31" t="s">
        <v>61</v>
      </c>
      <c r="EK6" s="102" t="s">
        <v>61</v>
      </c>
      <c r="EL6" s="56"/>
      <c r="EM6" s="56"/>
      <c r="EN6" s="56"/>
      <c r="EO6" s="265"/>
      <c r="EP6" s="102" t="s">
        <v>61</v>
      </c>
      <c r="EQ6" t="s">
        <v>628</v>
      </c>
      <c r="ER6" s="260" t="s">
        <v>644</v>
      </c>
      <c r="ES6" s="260" t="s">
        <v>648</v>
      </c>
      <c r="ET6" t="str">
        <f>BV6</f>
        <v>Average (cm)</v>
      </c>
      <c r="EU6" s="260" t="s">
        <v>645</v>
      </c>
      <c r="EV6" s="326" t="s">
        <v>641</v>
      </c>
      <c r="EW6"/>
      <c r="EX6" s="260" t="s">
        <v>657</v>
      </c>
      <c r="EY6"/>
      <c r="EZ6" s="260" t="s">
        <v>662</v>
      </c>
      <c r="FA6"/>
      <c r="FB6"/>
      <c r="FC6"/>
      <c r="FD6"/>
    </row>
    <row r="7" spans="1:160" s="48" customFormat="1" ht="13" customHeight="1" x14ac:dyDescent="0.2">
      <c r="A7" s="65" t="s">
        <v>67</v>
      </c>
      <c r="B7" s="66" t="s">
        <v>421</v>
      </c>
      <c r="C7" s="274">
        <f>184.7-F7/100</f>
        <v>184.63499999999999</v>
      </c>
      <c r="D7" s="67">
        <v>0</v>
      </c>
      <c r="E7" s="67">
        <v>13</v>
      </c>
      <c r="F7" s="67">
        <f t="shared" ref="F7:F38" si="3">AVERAGE(D7:E7)</f>
        <v>6.5</v>
      </c>
      <c r="G7" s="82" t="s">
        <v>511</v>
      </c>
      <c r="H7" s="84" t="s">
        <v>616</v>
      </c>
      <c r="I7" s="85">
        <v>12.54</v>
      </c>
      <c r="J7" s="85">
        <v>20.85</v>
      </c>
      <c r="K7" s="89">
        <f>L7*L7/(N7*M7*M7*M7)</f>
        <v>3.8878467222757226E-4</v>
      </c>
      <c r="L7" s="67">
        <v>127</v>
      </c>
      <c r="M7" s="67">
        <v>87</v>
      </c>
      <c r="N7" s="67">
        <v>63</v>
      </c>
      <c r="O7" s="68">
        <v>77.02</v>
      </c>
      <c r="P7" s="68">
        <v>9.65</v>
      </c>
      <c r="Q7" s="68">
        <v>4.25</v>
      </c>
      <c r="R7" s="68">
        <v>3.5999999999999997E-2</v>
      </c>
      <c r="S7" s="68">
        <v>0.1</v>
      </c>
      <c r="T7" s="68">
        <v>0.12</v>
      </c>
      <c r="U7" s="68">
        <v>0.06</v>
      </c>
      <c r="V7" s="68">
        <v>0.28000000000000003</v>
      </c>
      <c r="W7" s="68">
        <v>0.58799999999999997</v>
      </c>
      <c r="X7" s="68">
        <v>0.09</v>
      </c>
      <c r="Y7" s="68">
        <v>7.26</v>
      </c>
      <c r="Z7" s="68">
        <v>99.46</v>
      </c>
      <c r="AA7" s="68">
        <v>8</v>
      </c>
      <c r="AB7" s="68">
        <v>0</v>
      </c>
      <c r="AC7" s="68">
        <v>61</v>
      </c>
      <c r="AD7" s="68">
        <v>40</v>
      </c>
      <c r="AE7" s="68">
        <v>9</v>
      </c>
      <c r="AF7" s="68">
        <v>0</v>
      </c>
      <c r="AG7" s="68">
        <v>30</v>
      </c>
      <c r="AH7" s="68">
        <v>0</v>
      </c>
      <c r="AI7" s="68">
        <v>12</v>
      </c>
      <c r="AJ7" s="68">
        <v>1</v>
      </c>
      <c r="AK7" s="68">
        <v>0</v>
      </c>
      <c r="AL7" s="68">
        <v>15</v>
      </c>
      <c r="AM7" s="68">
        <v>33</v>
      </c>
      <c r="AN7" s="68">
        <f>'O.G.Chem Results'!AN7/'O.G.Chem Results'!$AN$142</f>
        <v>4.4871794871794872</v>
      </c>
      <c r="AO7" s="68">
        <v>452</v>
      </c>
      <c r="AP7" s="68">
        <v>6</v>
      </c>
      <c r="AQ7" s="68" t="s">
        <v>72</v>
      </c>
      <c r="AR7" s="68">
        <v>1.2</v>
      </c>
      <c r="AS7" s="68" t="s">
        <v>73</v>
      </c>
      <c r="AT7" s="68">
        <v>12</v>
      </c>
      <c r="AU7" s="68" t="s">
        <v>74</v>
      </c>
      <c r="AV7" s="68">
        <v>1</v>
      </c>
      <c r="AW7" s="68">
        <v>131</v>
      </c>
      <c r="AX7" s="68" t="s">
        <v>75</v>
      </c>
      <c r="AY7" s="68">
        <f>'O.G.Chem Results'!AY7/'O.G.Chem Results'!AY$142</f>
        <v>33.61702127659575</v>
      </c>
      <c r="AZ7" s="68">
        <f>'O.G.Chem Results'!AZ7/'O.G.Chem Results'!AZ$142</f>
        <v>25.364721485411138</v>
      </c>
      <c r="BA7" s="68">
        <f>'O.G.Chem Results'!BA7/'O.G.Chem Results'!BA$142</f>
        <v>18.518518518518519</v>
      </c>
      <c r="BB7" s="68">
        <f>'O.G.Chem Results'!BB7/'O.G.Chem Results'!BB$142</f>
        <v>11.936339522546421</v>
      </c>
      <c r="BC7" s="68">
        <f>'O.G.Chem Results'!BC7/'O.G.Chem Results'!BC$142</f>
        <v>8.1577158395649221</v>
      </c>
      <c r="BD7" s="68">
        <f>'O.G.Chem Results'!BD7/'O.G.Chem Results'!BD$142</f>
        <v>4.8214285714285721</v>
      </c>
      <c r="BE7" s="68">
        <f>'O.G.Chem Results'!BE7/'O.G.Chem Results'!BE$142</f>
        <v>6.2500000000000009</v>
      </c>
      <c r="BF7" s="68">
        <f>'O.G.Chem Results'!BF7/'O.G.Chem Results'!BF$142</f>
        <v>5.5096418732782375</v>
      </c>
      <c r="BG7" s="68">
        <f>'O.G.Chem Results'!BG7/'O.G.Chem Results'!BG$142</f>
        <v>4.9443757725587139</v>
      </c>
      <c r="BH7" s="68">
        <f>'O.G.Chem Results'!BH7/'O.G.Chem Results'!BH$142</f>
        <v>5.3956834532374094</v>
      </c>
      <c r="BI7" s="68">
        <f>'O.G.Chem Results'!BI7/'O.G.Chem Results'!BI$142</f>
        <v>5.0346129641283826</v>
      </c>
      <c r="BJ7" s="68">
        <f>'O.G.Chem Results'!BJ7/'O.G.Chem Results'!BJ$142</f>
        <v>4.9586776859504136</v>
      </c>
      <c r="BK7" s="68">
        <f>'O.G.Chem Results'!BK7/'O.G.Chem Results'!BK$142</f>
        <v>5.5384615384615383</v>
      </c>
      <c r="BL7" s="68">
        <f>'O.G.Chem Results'!BL7/'O.G.Chem Results'!BL$142</f>
        <v>6.9958847736625511</v>
      </c>
      <c r="BM7" s="68">
        <v>9.8000000000000007</v>
      </c>
      <c r="BN7" s="68">
        <v>0.7</v>
      </c>
      <c r="BO7" s="68">
        <v>0</v>
      </c>
      <c r="BP7" s="68">
        <v>0.2</v>
      </c>
      <c r="BQ7" s="68">
        <v>12</v>
      </c>
      <c r="BR7" s="68">
        <v>4.8</v>
      </c>
      <c r="BS7" s="68">
        <v>1.8</v>
      </c>
      <c r="BT7" s="69">
        <f t="shared" ref="BT7:BT38" si="4">AZ7/(AY7+AZ7)</f>
        <v>0.43004360837146766</v>
      </c>
      <c r="BU7" s="117">
        <f t="shared" ref="BU7:BU38" si="5">SUM(AY7:BL7)</f>
        <v>147.04308327534258</v>
      </c>
      <c r="BV7" s="48">
        <f t="shared" ref="BV7:BV38" si="6">F7</f>
        <v>6.5</v>
      </c>
      <c r="BW7" s="70">
        <f t="shared" ref="BW7:BW35" si="7">100*P7/(P7+T7+U7+V7)</f>
        <v>95.450049455984185</v>
      </c>
      <c r="BX7" s="69">
        <f>AZ7/BA7</f>
        <v>1.3696949602122015</v>
      </c>
      <c r="BY7" s="69">
        <v>10.37</v>
      </c>
      <c r="BZ7" s="69">
        <v>1.97</v>
      </c>
      <c r="CA7" s="69">
        <v>60.55</v>
      </c>
      <c r="CB7" s="69">
        <v>1.0395999999999999</v>
      </c>
      <c r="CC7" s="69">
        <v>9.0399999999999994E-2</v>
      </c>
      <c r="CD7" s="69">
        <v>0</v>
      </c>
      <c r="CE7" s="69">
        <v>0</v>
      </c>
      <c r="CF7" s="69">
        <v>0</v>
      </c>
      <c r="CG7" s="69">
        <v>1.2</v>
      </c>
      <c r="CH7" s="69">
        <v>0.27</v>
      </c>
      <c r="CI7" s="69">
        <v>0.14000000000000001</v>
      </c>
      <c r="CJ7" s="69">
        <v>0.03</v>
      </c>
      <c r="CK7" s="69">
        <v>8.2899999999999991</v>
      </c>
      <c r="CL7" s="69">
        <v>13.78</v>
      </c>
      <c r="CM7" s="69">
        <v>1.62</v>
      </c>
      <c r="CN7" s="69">
        <v>0</v>
      </c>
      <c r="CO7" s="69">
        <v>0.02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117">
        <v>99.36999999999999</v>
      </c>
      <c r="CZ7" s="283">
        <v>0.69573710214868423</v>
      </c>
      <c r="DA7" s="283">
        <v>1.1945306216247268E-2</v>
      </c>
      <c r="DB7" s="283">
        <v>1.0387222796736754E-3</v>
      </c>
      <c r="DC7" s="283">
        <v>0</v>
      </c>
      <c r="DD7" s="283">
        <v>0</v>
      </c>
      <c r="DE7" s="283">
        <v>0</v>
      </c>
      <c r="DF7" s="283">
        <v>1.3788348845225781E-2</v>
      </c>
      <c r="DG7" s="283">
        <v>3.1023784901758012E-3</v>
      </c>
      <c r="DH7" s="283">
        <v>1.6086406986096746E-3</v>
      </c>
      <c r="DI7" s="283">
        <v>3.4470872113064456E-4</v>
      </c>
      <c r="DJ7" s="283">
        <v>9.5254509939101437E-2</v>
      </c>
      <c r="DK7" s="283">
        <v>0.15833620590600939</v>
      </c>
      <c r="DL7" s="283">
        <v>1.8614270941054806E-2</v>
      </c>
      <c r="DM7" s="283">
        <v>0</v>
      </c>
      <c r="DN7" s="283">
        <v>2.2980581408709637E-4</v>
      </c>
      <c r="DO7" s="283">
        <v>0</v>
      </c>
      <c r="DP7" s="283">
        <v>0</v>
      </c>
      <c r="DQ7" s="283">
        <v>0</v>
      </c>
      <c r="DR7" s="283">
        <v>0</v>
      </c>
      <c r="DS7" s="283">
        <v>0</v>
      </c>
      <c r="DT7" s="283">
        <v>0</v>
      </c>
      <c r="DU7" s="283">
        <v>0</v>
      </c>
      <c r="DV7" s="283">
        <v>0</v>
      </c>
      <c r="DW7" s="283">
        <v>0</v>
      </c>
      <c r="DX7" s="69">
        <v>0.99999999999999978</v>
      </c>
      <c r="DY7" s="70">
        <v>82.943701598290289</v>
      </c>
      <c r="DZ7" s="70">
        <v>11.005021800828969</v>
      </c>
      <c r="EA7" s="70">
        <v>1.857532754345401</v>
      </c>
      <c r="EB7" s="70">
        <v>3.5758480596030989E-3</v>
      </c>
      <c r="EC7" s="70">
        <v>0</v>
      </c>
      <c r="ED7" s="70">
        <v>3.9432075899351902E-2</v>
      </c>
      <c r="EE7" s="70">
        <v>2.7561094716876056E-2</v>
      </c>
      <c r="EF7" s="70">
        <v>1.2280167644713387E-2</v>
      </c>
      <c r="EG7" s="70">
        <v>0.27677754123377918</v>
      </c>
      <c r="EH7" s="70">
        <v>4.9621271624118409E-4</v>
      </c>
      <c r="EI7" s="70">
        <v>0</v>
      </c>
      <c r="EJ7" s="70">
        <v>3.8171686356796157</v>
      </c>
      <c r="EK7" s="70">
        <v>1.6452270585154805E-2</v>
      </c>
      <c r="EL7" s="70">
        <v>99.999999999999986</v>
      </c>
      <c r="EM7" s="69">
        <v>97.203419410154751</v>
      </c>
      <c r="EN7" s="69" t="s">
        <v>67</v>
      </c>
      <c r="EO7" s="287">
        <v>1.8614304287303683E-2</v>
      </c>
      <c r="EP7" s="257">
        <f>EO7*100</f>
        <v>1.8614304287303682</v>
      </c>
      <c r="EQ7" s="257">
        <f>100*(DJ7+DH7+DG7+DF7+DK7+DP7)/(DJ7+DH7+DG7+DF7+DO7+DN7+DM7+DE7+DC7+DR7+DB7+DA7+DK7+DP7)</f>
        <v>95.368505839710025</v>
      </c>
      <c r="ER7" s="324">
        <f>BD7*2/(BC7+BE7)</f>
        <v>0.66928423979441387</v>
      </c>
      <c r="ES7" s="257">
        <f>3*AZ7/(2*AY7+BB7)</f>
        <v>0.96114433783379172</v>
      </c>
      <c r="ET7">
        <f t="shared" ref="ET7:ET70" si="8">BV7</f>
        <v>6.5</v>
      </c>
      <c r="EU7" s="324">
        <f>ER7/ES7</f>
        <v>0.69634103167359185</v>
      </c>
      <c r="EV7" s="39">
        <f>C7</f>
        <v>184.63499999999999</v>
      </c>
      <c r="EW7"/>
      <c r="EX7">
        <f>AN7/BH7</f>
        <v>0.83162393162393178</v>
      </c>
      <c r="EY7"/>
      <c r="EZ7" s="324">
        <f>AVERAGE(ER7:ER15)</f>
        <v>0.76068671906872742</v>
      </c>
      <c r="FA7" s="260" t="s">
        <v>663</v>
      </c>
      <c r="FB7"/>
      <c r="FC7"/>
      <c r="FD7"/>
    </row>
    <row r="8" spans="1:160" s="48" customFormat="1" ht="13" customHeight="1" x14ac:dyDescent="0.2">
      <c r="A8" s="65" t="s">
        <v>76</v>
      </c>
      <c r="B8" s="66" t="s">
        <v>421</v>
      </c>
      <c r="C8" s="274">
        <f t="shared" ref="C8:C15" si="9">184.7-F8/100</f>
        <v>184.23499999999999</v>
      </c>
      <c r="D8" s="67">
        <v>13</v>
      </c>
      <c r="E8" s="67">
        <v>80</v>
      </c>
      <c r="F8" s="67">
        <f t="shared" si="3"/>
        <v>46.5</v>
      </c>
      <c r="G8" s="82" t="s">
        <v>512</v>
      </c>
      <c r="H8" s="84" t="s">
        <v>610</v>
      </c>
      <c r="I8" s="85">
        <v>4</v>
      </c>
      <c r="J8" s="85">
        <v>6</v>
      </c>
      <c r="K8" s="89">
        <f t="shared" ref="K8:K25" si="10">H8*I8/J8</f>
        <v>6.666666666666667</v>
      </c>
      <c r="L8" s="67">
        <v>142</v>
      </c>
      <c r="M8" s="67">
        <v>79</v>
      </c>
      <c r="N8" s="67">
        <v>62</v>
      </c>
      <c r="O8" s="68">
        <v>52.35</v>
      </c>
      <c r="P8" s="68">
        <v>24.28</v>
      </c>
      <c r="Q8" s="68">
        <v>9.65</v>
      </c>
      <c r="R8" s="68">
        <v>2.5000000000000001E-2</v>
      </c>
      <c r="S8" s="68">
        <v>0.16</v>
      </c>
      <c r="T8" s="68">
        <v>0.05</v>
      </c>
      <c r="U8" s="68">
        <v>0.03</v>
      </c>
      <c r="V8" s="68">
        <v>0.14000000000000001</v>
      </c>
      <c r="W8" s="68">
        <v>0.85199999999999998</v>
      </c>
      <c r="X8" s="68">
        <v>0.04</v>
      </c>
      <c r="Y8" s="68">
        <v>11.96</v>
      </c>
      <c r="Z8" s="68">
        <v>99.52</v>
      </c>
      <c r="AA8" s="68">
        <v>22</v>
      </c>
      <c r="AB8" s="68">
        <v>2</v>
      </c>
      <c r="AC8" s="68">
        <v>141</v>
      </c>
      <c r="AD8" s="68">
        <v>40</v>
      </c>
      <c r="AE8" s="68">
        <v>6</v>
      </c>
      <c r="AF8" s="68">
        <v>20</v>
      </c>
      <c r="AG8" s="68">
        <v>60</v>
      </c>
      <c r="AH8" s="68">
        <v>50</v>
      </c>
      <c r="AI8" s="68">
        <v>31</v>
      </c>
      <c r="AJ8" s="68">
        <v>2</v>
      </c>
      <c r="AK8" s="68">
        <v>5</v>
      </c>
      <c r="AL8" s="68">
        <v>17</v>
      </c>
      <c r="AM8" s="68">
        <v>16</v>
      </c>
      <c r="AN8" s="68">
        <f>'O.G.Chem Results'!AN8/'O.G.Chem Results'!$AN$142</f>
        <v>4.4871794871794872</v>
      </c>
      <c r="AO8" s="68">
        <v>138</v>
      </c>
      <c r="AP8" s="68">
        <v>11</v>
      </c>
      <c r="AQ8" s="68" t="s">
        <v>72</v>
      </c>
      <c r="AR8" s="68" t="s">
        <v>74</v>
      </c>
      <c r="AS8" s="68" t="s">
        <v>73</v>
      </c>
      <c r="AT8" s="68">
        <v>23</v>
      </c>
      <c r="AU8" s="68" t="s">
        <v>74</v>
      </c>
      <c r="AV8" s="68">
        <v>1.4</v>
      </c>
      <c r="AW8" s="68">
        <v>54</v>
      </c>
      <c r="AX8" s="68">
        <v>0.7</v>
      </c>
      <c r="AY8" s="68">
        <f>'O.G.Chem Results'!AY8/'O.G.Chem Results'!AY$142</f>
        <v>48.510638297872347</v>
      </c>
      <c r="AZ8" s="68">
        <f>'O.G.Chem Results'!AZ8/'O.G.Chem Results'!AZ$142</f>
        <v>41.279840848806359</v>
      </c>
      <c r="BA8" s="68">
        <f>'O.G.Chem Results'!BA8/'O.G.Chem Results'!BA$142</f>
        <v>27.946127946127948</v>
      </c>
      <c r="BB8" s="68">
        <f>'O.G.Chem Results'!BB8/'O.G.Chem Results'!BB$142</f>
        <v>19.672855879752433</v>
      </c>
      <c r="BC8" s="68">
        <f>'O.G.Chem Results'!BC8/'O.G.Chem Results'!BC$142</f>
        <v>11.556764106050307</v>
      </c>
      <c r="BD8" s="68">
        <f>'O.G.Chem Results'!BD8/'O.G.Chem Results'!BD$142</f>
        <v>7.8571428571428568</v>
      </c>
      <c r="BE8" s="68">
        <f>'O.G.Chem Results'!BE8/'O.G.Chem Results'!BE$142</f>
        <v>7.9545454545454541</v>
      </c>
      <c r="BF8" s="68">
        <f>'O.G.Chem Results'!BF8/'O.G.Chem Results'!BF$142</f>
        <v>5.5096418732782375</v>
      </c>
      <c r="BG8" s="68">
        <f>'O.G.Chem Results'!BG8/'O.G.Chem Results'!BG$142</f>
        <v>5.7684384013184999</v>
      </c>
      <c r="BH8" s="68">
        <f>'O.G.Chem Results'!BH8/'O.G.Chem Results'!BH$142</f>
        <v>5.3956834532374094</v>
      </c>
      <c r="BI8" s="68">
        <f>'O.G.Chem Results'!BI8/'O.G.Chem Results'!BI$142</f>
        <v>5.6639395846444298</v>
      </c>
      <c r="BJ8" s="68">
        <f>'O.G.Chem Results'!BJ8/'O.G.Chem Results'!BJ$142</f>
        <v>5.7851239669421499</v>
      </c>
      <c r="BK8" s="68">
        <f>'O.G.Chem Results'!BK8/'O.G.Chem Results'!BK$142</f>
        <v>5.5384615384615383</v>
      </c>
      <c r="BL8" s="68">
        <f>'O.G.Chem Results'!BL8/'O.G.Chem Results'!BL$142</f>
        <v>6.5843621399176948</v>
      </c>
      <c r="BM8" s="68">
        <v>3.2</v>
      </c>
      <c r="BN8" s="68">
        <v>0.7</v>
      </c>
      <c r="BO8" s="68">
        <v>2</v>
      </c>
      <c r="BP8" s="68">
        <v>0.2</v>
      </c>
      <c r="BQ8" s="68">
        <v>12</v>
      </c>
      <c r="BR8" s="68">
        <v>9</v>
      </c>
      <c r="BS8" s="68">
        <v>1.6</v>
      </c>
      <c r="BT8" s="69">
        <f t="shared" si="4"/>
        <v>0.45973516614576698</v>
      </c>
      <c r="BU8" s="117">
        <f t="shared" si="5"/>
        <v>205.02356634809766</v>
      </c>
      <c r="BV8" s="48">
        <f t="shared" si="6"/>
        <v>46.5</v>
      </c>
      <c r="BW8" s="70">
        <f t="shared" si="7"/>
        <v>99.102040816326522</v>
      </c>
      <c r="BX8" s="69">
        <f t="shared" ref="BX8:BX71" si="11">AZ8/BA8</f>
        <v>1.477122015915119</v>
      </c>
      <c r="BY8" s="69">
        <v>8.59</v>
      </c>
      <c r="BZ8" s="69">
        <v>0.63</v>
      </c>
      <c r="CA8" s="69">
        <v>19.95</v>
      </c>
      <c r="CB8" s="69">
        <v>1.2420000000000002</v>
      </c>
      <c r="CC8" s="69">
        <v>0.10800000000000001</v>
      </c>
      <c r="CD8" s="69">
        <v>0</v>
      </c>
      <c r="CE8" s="69">
        <v>0</v>
      </c>
      <c r="CF8" s="69">
        <v>0</v>
      </c>
      <c r="CG8" s="69">
        <v>2.1800000000000002</v>
      </c>
      <c r="CH8" s="69">
        <v>0.48</v>
      </c>
      <c r="CI8" s="69">
        <v>0.15</v>
      </c>
      <c r="CJ8" s="69">
        <v>0</v>
      </c>
      <c r="CK8" s="69">
        <v>25.96</v>
      </c>
      <c r="CL8" s="69">
        <v>38.17</v>
      </c>
      <c r="CM8" s="69">
        <v>2.4500000000000002</v>
      </c>
      <c r="CN8" s="69">
        <v>0</v>
      </c>
      <c r="CO8" s="69">
        <v>0.1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117">
        <v>100.01</v>
      </c>
      <c r="CZ8" s="283">
        <v>0.21973785659213568</v>
      </c>
      <c r="DA8" s="283">
        <v>1.3679920696111908E-2</v>
      </c>
      <c r="DB8" s="283">
        <v>1.1895583214010354E-3</v>
      </c>
      <c r="DC8" s="283">
        <v>0</v>
      </c>
      <c r="DD8" s="283">
        <v>0</v>
      </c>
      <c r="DE8" s="283">
        <v>0</v>
      </c>
      <c r="DF8" s="283">
        <v>2.4011455006057936E-2</v>
      </c>
      <c r="DG8" s="283">
        <v>5.2869258728934897E-3</v>
      </c>
      <c r="DH8" s="283">
        <v>1.6521643352792157E-3</v>
      </c>
      <c r="DI8" s="283">
        <v>0</v>
      </c>
      <c r="DJ8" s="283">
        <v>0.28593457429232294</v>
      </c>
      <c r="DK8" s="283">
        <v>0.42042075118405109</v>
      </c>
      <c r="DL8" s="283">
        <v>2.6985350809560524E-2</v>
      </c>
      <c r="DM8" s="283">
        <v>0</v>
      </c>
      <c r="DN8" s="283">
        <v>1.1014428901861438E-3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v>0</v>
      </c>
      <c r="DV8" s="283">
        <v>0</v>
      </c>
      <c r="DW8" s="283">
        <v>0</v>
      </c>
      <c r="DX8" s="69">
        <v>0.99999999999999989</v>
      </c>
      <c r="DY8" s="70">
        <v>56.855404981987832</v>
      </c>
      <c r="DZ8" s="70">
        <v>29.067903123349716</v>
      </c>
      <c r="EA8" s="70">
        <v>3.388542865864816</v>
      </c>
      <c r="EB8" s="70">
        <v>1.7138784922747972E-2</v>
      </c>
      <c r="EC8" s="70">
        <v>0</v>
      </c>
      <c r="ED8" s="70">
        <v>5.050225482120408E-2</v>
      </c>
      <c r="EE8" s="70">
        <v>2.486243147479247E-2</v>
      </c>
      <c r="EF8" s="70">
        <v>1.40634083776058E-2</v>
      </c>
      <c r="EG8" s="70">
        <v>0.34386402315127118</v>
      </c>
      <c r="EH8" s="70">
        <v>2.3783121871610454E-3</v>
      </c>
      <c r="EI8" s="70">
        <v>0</v>
      </c>
      <c r="EJ8" s="70">
        <v>10.235339813862856</v>
      </c>
      <c r="EK8" s="70">
        <v>0</v>
      </c>
      <c r="EL8" s="70">
        <v>100</v>
      </c>
      <c r="EM8" s="69">
        <v>98.70023478503191</v>
      </c>
      <c r="EN8" s="69" t="s">
        <v>76</v>
      </c>
      <c r="EO8" s="287">
        <v>3.4072241414306113E-2</v>
      </c>
      <c r="EP8" s="257">
        <f t="shared" ref="EP8:EP71" si="12">EO8*100</f>
        <v>3.4072241414306115</v>
      </c>
      <c r="EQ8" s="257">
        <f t="shared" ref="EQ8:EQ71" si="13">100*(DJ8+DH8+DG8+DF8+DK8+DP8)/(DJ8+DH8+DG8+DF8+DO8+DN8+DM8+DE8+DC8+DR8+DB8+DA8+DK8+DP8)</f>
        <v>97.879806989325928</v>
      </c>
      <c r="ER8" s="324">
        <f t="shared" ref="ER8:ER71" si="14">BD8*2/(BC8+BE8)</f>
        <v>0.80539369566569929</v>
      </c>
      <c r="ES8" s="257">
        <f t="shared" ref="ES8:ES71" si="15">3*AZ8/(2*AY8+BB8)</f>
        <v>1.0612317853463824</v>
      </c>
      <c r="ET8">
        <f t="shared" si="8"/>
        <v>46.5</v>
      </c>
      <c r="EU8" s="324">
        <f t="shared" ref="EU8:EU71" si="16">ER8/ES8</f>
        <v>0.75892345742624134</v>
      </c>
      <c r="EV8" s="39">
        <f t="shared" ref="EV8:EV71" si="17">C8</f>
        <v>184.23499999999999</v>
      </c>
      <c r="EW8"/>
      <c r="EX8">
        <f t="shared" ref="EX8:EX71" si="18">AN8/BH8</f>
        <v>0.83162393162393178</v>
      </c>
      <c r="EY8"/>
      <c r="EZ8"/>
      <c r="FA8"/>
      <c r="FB8"/>
      <c r="FC8"/>
      <c r="FD8"/>
    </row>
    <row r="9" spans="1:160" s="48" customFormat="1" ht="13" customHeight="1" x14ac:dyDescent="0.2">
      <c r="A9" s="65" t="s">
        <v>77</v>
      </c>
      <c r="B9" s="66" t="s">
        <v>421</v>
      </c>
      <c r="C9" s="274">
        <f t="shared" si="9"/>
        <v>183.73499999999999</v>
      </c>
      <c r="D9" s="67">
        <v>80</v>
      </c>
      <c r="E9" s="67">
        <v>113</v>
      </c>
      <c r="F9" s="67">
        <f t="shared" si="3"/>
        <v>96.5</v>
      </c>
      <c r="G9" s="82" t="s">
        <v>512</v>
      </c>
      <c r="H9" s="84">
        <v>10</v>
      </c>
      <c r="I9" s="85">
        <v>4</v>
      </c>
      <c r="J9" s="85">
        <v>6</v>
      </c>
      <c r="K9" s="89">
        <f t="shared" si="10"/>
        <v>6.666666666666667</v>
      </c>
      <c r="L9" s="67">
        <v>142</v>
      </c>
      <c r="M9" s="67">
        <v>79</v>
      </c>
      <c r="N9" s="67">
        <v>62</v>
      </c>
      <c r="O9" s="68">
        <v>48.23</v>
      </c>
      <c r="P9" s="68">
        <v>25.46</v>
      </c>
      <c r="Q9" s="68">
        <v>11.92</v>
      </c>
      <c r="R9" s="68">
        <v>3.2000000000000001E-2</v>
      </c>
      <c r="S9" s="68">
        <v>0.19</v>
      </c>
      <c r="T9" s="68">
        <v>0.03</v>
      </c>
      <c r="U9" s="68">
        <v>0.04</v>
      </c>
      <c r="V9" s="68">
        <v>0.13</v>
      </c>
      <c r="W9" s="68">
        <v>1.079</v>
      </c>
      <c r="X9" s="68">
        <v>7.0000000000000007E-2</v>
      </c>
      <c r="Y9" s="68">
        <v>12.44</v>
      </c>
      <c r="Z9" s="68">
        <v>99.62</v>
      </c>
      <c r="AA9" s="68">
        <v>35</v>
      </c>
      <c r="AB9" s="68">
        <v>2</v>
      </c>
      <c r="AC9" s="68">
        <v>163</v>
      </c>
      <c r="AD9" s="68">
        <v>40</v>
      </c>
      <c r="AE9" s="68">
        <v>5</v>
      </c>
      <c r="AF9" s="68">
        <v>0</v>
      </c>
      <c r="AG9" s="68">
        <v>60</v>
      </c>
      <c r="AH9" s="68">
        <v>40</v>
      </c>
      <c r="AI9" s="68">
        <v>30</v>
      </c>
      <c r="AJ9" s="68">
        <v>2</v>
      </c>
      <c r="AK9" s="68">
        <v>0</v>
      </c>
      <c r="AL9" s="68">
        <v>14</v>
      </c>
      <c r="AM9" s="68">
        <v>10</v>
      </c>
      <c r="AN9" s="68">
        <f>'O.G.Chem Results'!AN9/'O.G.Chem Results'!$AN$142</f>
        <v>6.4102564102564097</v>
      </c>
      <c r="AO9" s="68">
        <v>144</v>
      </c>
      <c r="AP9" s="68">
        <v>8</v>
      </c>
      <c r="AQ9" s="68" t="s">
        <v>72</v>
      </c>
      <c r="AR9" s="68" t="s">
        <v>74</v>
      </c>
      <c r="AS9" s="68" t="s">
        <v>73</v>
      </c>
      <c r="AT9" s="68">
        <v>15</v>
      </c>
      <c r="AU9" s="68">
        <v>1.4</v>
      </c>
      <c r="AV9" s="68">
        <v>1.2</v>
      </c>
      <c r="AW9" s="68">
        <v>45</v>
      </c>
      <c r="AX9" s="68" t="s">
        <v>75</v>
      </c>
      <c r="AY9" s="68">
        <f>'O.G.Chem Results'!AY9/'O.G.Chem Results'!AY$142</f>
        <v>51.914893617021278</v>
      </c>
      <c r="AZ9" s="68">
        <f>'O.G.Chem Results'!AZ9/'O.G.Chem Results'!AZ$142</f>
        <v>52.553050397877975</v>
      </c>
      <c r="BA9" s="68">
        <f>'O.G.Chem Results'!BA9/'O.G.Chem Results'!BA$142</f>
        <v>37.149270482603818</v>
      </c>
      <c r="BB9" s="68">
        <f>'O.G.Chem Results'!BB9/'O.G.Chem Results'!BB$142</f>
        <v>28.293545534924849</v>
      </c>
      <c r="BC9" s="68">
        <f>'O.G.Chem Results'!BC9/'O.G.Chem Results'!BC$142</f>
        <v>16.995241332426922</v>
      </c>
      <c r="BD9" s="68">
        <f>'O.G.Chem Results'!BD9/'O.G.Chem Results'!BD$142</f>
        <v>11.607142857142858</v>
      </c>
      <c r="BE9" s="68">
        <f>'O.G.Chem Results'!BE9/'O.G.Chem Results'!BE$142</f>
        <v>11.931818181818183</v>
      </c>
      <c r="BF9" s="68">
        <f>'O.G.Chem Results'!BF9/'O.G.Chem Results'!BF$142</f>
        <v>8.2644628099173545</v>
      </c>
      <c r="BG9" s="68">
        <f>'O.G.Chem Results'!BG9/'O.G.Chem Results'!BG$142</f>
        <v>7.8285949732179638</v>
      </c>
      <c r="BH9" s="68">
        <f>'O.G.Chem Results'!BH9/'O.G.Chem Results'!BH$142</f>
        <v>7.1942446043165464</v>
      </c>
      <c r="BI9" s="68">
        <f>'O.G.Chem Results'!BI9/'O.G.Chem Results'!BI$142</f>
        <v>6.9225928256765261</v>
      </c>
      <c r="BJ9" s="68">
        <f>'O.G.Chem Results'!BJ9/'O.G.Chem Results'!BJ$142</f>
        <v>7.4380165289256199</v>
      </c>
      <c r="BK9" s="68">
        <f>'O.G.Chem Results'!BK9/'O.G.Chem Results'!BK$142</f>
        <v>8</v>
      </c>
      <c r="BL9" s="68">
        <f>'O.G.Chem Results'!BL9/'O.G.Chem Results'!BL$142</f>
        <v>8.2304526748971192</v>
      </c>
      <c r="BM9" s="68">
        <v>3.6</v>
      </c>
      <c r="BN9" s="68">
        <v>0.5</v>
      </c>
      <c r="BO9" s="68">
        <v>2</v>
      </c>
      <c r="BP9" s="68">
        <v>0.2</v>
      </c>
      <c r="BQ9" s="68">
        <v>15</v>
      </c>
      <c r="BR9" s="68">
        <v>6.6</v>
      </c>
      <c r="BS9" s="68">
        <v>1.7</v>
      </c>
      <c r="BT9" s="69">
        <f t="shared" si="4"/>
        <v>0.50305431865666705</v>
      </c>
      <c r="BU9" s="117">
        <f t="shared" si="5"/>
        <v>264.32332682076702</v>
      </c>
      <c r="BV9" s="48">
        <f t="shared" si="6"/>
        <v>96.5</v>
      </c>
      <c r="BW9" s="70">
        <f t="shared" si="7"/>
        <v>99.220576773187844</v>
      </c>
      <c r="BX9" s="69">
        <f t="shared" si="11"/>
        <v>1.4146455560274704</v>
      </c>
      <c r="BY9" s="69">
        <v>9.92</v>
      </c>
      <c r="BZ9" s="69">
        <v>0.05</v>
      </c>
      <c r="CA9" s="69">
        <v>12.84</v>
      </c>
      <c r="CB9" s="69">
        <v>0.92</v>
      </c>
      <c r="CC9" s="69">
        <v>0.08</v>
      </c>
      <c r="CD9" s="69">
        <v>0</v>
      </c>
      <c r="CE9" s="69">
        <v>0</v>
      </c>
      <c r="CF9" s="69">
        <v>0</v>
      </c>
      <c r="CG9" s="69">
        <v>1.85</v>
      </c>
      <c r="CH9" s="69">
        <v>2.0299999999999998</v>
      </c>
      <c r="CI9" s="69">
        <v>0</v>
      </c>
      <c r="CJ9" s="69">
        <v>0</v>
      </c>
      <c r="CK9" s="69">
        <v>27.14</v>
      </c>
      <c r="CL9" s="69">
        <v>42.54</v>
      </c>
      <c r="CM9" s="69">
        <v>2.48</v>
      </c>
      <c r="CN9" s="69">
        <v>0</v>
      </c>
      <c r="CO9" s="69">
        <v>0.16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117">
        <v>100.01</v>
      </c>
      <c r="CZ9" s="283">
        <v>0.14260328742780984</v>
      </c>
      <c r="DA9" s="283">
        <v>1.0217681030653044E-2</v>
      </c>
      <c r="DB9" s="283">
        <v>8.8849400266548197E-4</v>
      </c>
      <c r="DC9" s="283">
        <v>0</v>
      </c>
      <c r="DD9" s="283">
        <v>0</v>
      </c>
      <c r="DE9" s="283">
        <v>0</v>
      </c>
      <c r="DF9" s="283">
        <v>2.0546423811639271E-2</v>
      </c>
      <c r="DG9" s="283">
        <v>2.2545535317636603E-2</v>
      </c>
      <c r="DH9" s="283">
        <v>0</v>
      </c>
      <c r="DI9" s="283">
        <v>0</v>
      </c>
      <c r="DJ9" s="283">
        <v>0.30142159040426475</v>
      </c>
      <c r="DK9" s="283">
        <v>0.47245668591737</v>
      </c>
      <c r="DL9" s="283">
        <v>2.754331408262994E-2</v>
      </c>
      <c r="DM9" s="283">
        <v>0</v>
      </c>
      <c r="DN9" s="283">
        <v>1.7769880053309639E-3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v>0</v>
      </c>
      <c r="DV9" s="283">
        <v>0</v>
      </c>
      <c r="DW9" s="283">
        <v>0</v>
      </c>
      <c r="DX9" s="69">
        <v>0.99999999999999978</v>
      </c>
      <c r="DY9" s="70">
        <v>52.085384571241697</v>
      </c>
      <c r="DZ9" s="70">
        <v>31.681567616614142</v>
      </c>
      <c r="EA9" s="70">
        <v>4.5108392662280981</v>
      </c>
      <c r="EB9" s="70">
        <v>2.7650471490649291E-2</v>
      </c>
      <c r="EC9" s="70">
        <v>0</v>
      </c>
      <c r="ED9" s="70">
        <v>5.5165739479221695E-2</v>
      </c>
      <c r="EE9" s="70">
        <v>2.546643352023201E-2</v>
      </c>
      <c r="EF9" s="70">
        <v>1.0504112136193218E-2</v>
      </c>
      <c r="EG9" s="70">
        <v>0.29113821399054868</v>
      </c>
      <c r="EH9" s="70">
        <v>3.8369962411790551E-3</v>
      </c>
      <c r="EI9" s="70">
        <v>0</v>
      </c>
      <c r="EJ9" s="70">
        <v>11.308446579058023</v>
      </c>
      <c r="EK9" s="70">
        <v>0</v>
      </c>
      <c r="EL9" s="70">
        <v>99.999999999999972</v>
      </c>
      <c r="EM9" s="69">
        <v>98.978062211002353</v>
      </c>
      <c r="EN9" s="69" t="s">
        <v>77</v>
      </c>
      <c r="EO9" s="287">
        <v>4.5409782801529054E-2</v>
      </c>
      <c r="EP9" s="257">
        <f t="shared" si="12"/>
        <v>4.5409782801529053</v>
      </c>
      <c r="EQ9" s="257">
        <f t="shared" si="13"/>
        <v>98.447537473233382</v>
      </c>
      <c r="ER9" s="324">
        <f t="shared" si="14"/>
        <v>0.80251107800479549</v>
      </c>
      <c r="ES9" s="257">
        <f t="shared" si="15"/>
        <v>1.1932725877367838</v>
      </c>
      <c r="ET9">
        <f t="shared" si="8"/>
        <v>96.5</v>
      </c>
      <c r="EU9" s="324">
        <f t="shared" si="16"/>
        <v>0.67252955129630121</v>
      </c>
      <c r="EV9" s="39">
        <f t="shared" si="17"/>
        <v>183.73499999999999</v>
      </c>
      <c r="EW9"/>
      <c r="EX9">
        <f t="shared" si="18"/>
        <v>0.89102564102564097</v>
      </c>
      <c r="EY9"/>
      <c r="EZ9"/>
      <c r="FA9"/>
      <c r="FB9"/>
      <c r="FC9"/>
      <c r="FD9"/>
    </row>
    <row r="10" spans="1:160" s="48" customFormat="1" ht="13" customHeight="1" x14ac:dyDescent="0.2">
      <c r="A10" s="65" t="s">
        <v>78</v>
      </c>
      <c r="B10" s="66" t="s">
        <v>421</v>
      </c>
      <c r="C10" s="274">
        <f t="shared" si="9"/>
        <v>183.23499999999999</v>
      </c>
      <c r="D10" s="67">
        <v>113</v>
      </c>
      <c r="E10" s="67">
        <v>180</v>
      </c>
      <c r="F10" s="67">
        <f t="shared" si="3"/>
        <v>146.5</v>
      </c>
      <c r="G10" s="82" t="s">
        <v>507</v>
      </c>
      <c r="H10" s="84">
        <v>2.5</v>
      </c>
      <c r="I10" s="85">
        <v>4</v>
      </c>
      <c r="J10" s="85">
        <v>6</v>
      </c>
      <c r="K10" s="89">
        <f t="shared" si="10"/>
        <v>1.6666666666666667</v>
      </c>
      <c r="L10" s="67">
        <v>140</v>
      </c>
      <c r="M10" s="67">
        <v>81</v>
      </c>
      <c r="N10" s="67">
        <v>54</v>
      </c>
      <c r="O10" s="68">
        <v>49.28</v>
      </c>
      <c r="P10" s="68">
        <v>23.68</v>
      </c>
      <c r="Q10" s="68">
        <v>12.09</v>
      </c>
      <c r="R10" s="68">
        <v>3.5000000000000003E-2</v>
      </c>
      <c r="S10" s="68">
        <v>0.16</v>
      </c>
      <c r="T10" s="68">
        <v>0.02</v>
      </c>
      <c r="U10" s="68">
        <v>0.04</v>
      </c>
      <c r="V10" s="68">
        <v>0.11</v>
      </c>
      <c r="W10" s="68">
        <v>1.0820000000000001</v>
      </c>
      <c r="X10" s="68">
        <v>7.0000000000000007E-2</v>
      </c>
      <c r="Y10" s="68">
        <v>12.79</v>
      </c>
      <c r="Z10" s="68">
        <v>99.35</v>
      </c>
      <c r="AA10" s="68">
        <v>37</v>
      </c>
      <c r="AB10" s="68">
        <v>2</v>
      </c>
      <c r="AC10" s="68">
        <v>171</v>
      </c>
      <c r="AD10" s="68">
        <v>30</v>
      </c>
      <c r="AE10" s="68">
        <v>6</v>
      </c>
      <c r="AF10" s="68">
        <v>0</v>
      </c>
      <c r="AG10" s="68">
        <v>50</v>
      </c>
      <c r="AH10" s="68">
        <v>40</v>
      </c>
      <c r="AI10" s="68">
        <v>29</v>
      </c>
      <c r="AJ10" s="68">
        <v>2</v>
      </c>
      <c r="AK10" s="68">
        <v>0</v>
      </c>
      <c r="AL10" s="68">
        <v>11</v>
      </c>
      <c r="AM10" s="68">
        <v>3</v>
      </c>
      <c r="AN10" s="68">
        <f>'O.G.Chem Results'!AN10/'O.G.Chem Results'!AN$142</f>
        <v>5.7692307692307692</v>
      </c>
      <c r="AO10" s="68">
        <v>117</v>
      </c>
      <c r="AP10" s="68">
        <v>6</v>
      </c>
      <c r="AQ10" s="68" t="s">
        <v>72</v>
      </c>
      <c r="AR10" s="68" t="s">
        <v>74</v>
      </c>
      <c r="AS10" s="68" t="s">
        <v>73</v>
      </c>
      <c r="AT10" s="68">
        <v>11</v>
      </c>
      <c r="AU10" s="68">
        <v>0.6</v>
      </c>
      <c r="AV10" s="68">
        <v>0.7</v>
      </c>
      <c r="AW10" s="68">
        <v>32</v>
      </c>
      <c r="AX10" s="68" t="s">
        <v>75</v>
      </c>
      <c r="AY10" s="68">
        <f>'O.G.Chem Results'!AY10/'O.G.Chem Results'!AY$142</f>
        <v>51.48936170212766</v>
      </c>
      <c r="AZ10" s="68">
        <f>'O.G.Chem Results'!AZ10/'O.G.Chem Results'!AZ$142</f>
        <v>66.312997347480092</v>
      </c>
      <c r="BA10" s="68">
        <f>'O.G.Chem Results'!BA10/'O.G.Chem Results'!BA$142</f>
        <v>40.9652076318743</v>
      </c>
      <c r="BB10" s="68">
        <f>'O.G.Chem Results'!BB10/'O.G.Chem Results'!BB$142</f>
        <v>32.051282051282051</v>
      </c>
      <c r="BC10" s="68">
        <f>'O.G.Chem Results'!BC10/'O.G.Chem Results'!BC$142</f>
        <v>21.074099252209386</v>
      </c>
      <c r="BD10" s="68">
        <f>'O.G.Chem Results'!BD10/'O.G.Chem Results'!BD$142</f>
        <v>14.285714285714286</v>
      </c>
      <c r="BE10" s="68">
        <f>'O.G.Chem Results'!BE10/'O.G.Chem Results'!BE$142</f>
        <v>14.204545454545455</v>
      </c>
      <c r="BF10" s="68">
        <f>'O.G.Chem Results'!BF10/'O.G.Chem Results'!BF$142</f>
        <v>11.019283746556475</v>
      </c>
      <c r="BG10" s="68">
        <f>'O.G.Chem Results'!BG10/'O.G.Chem Results'!BG$142</f>
        <v>9.8887515451174277</v>
      </c>
      <c r="BH10" s="68">
        <f>'O.G.Chem Results'!BH10/'O.G.Chem Results'!BH$142</f>
        <v>8.9928057553956826</v>
      </c>
      <c r="BI10" s="68">
        <f>'O.G.Chem Results'!BI10/'O.G.Chem Results'!BI$142</f>
        <v>8.8105726872246688</v>
      </c>
      <c r="BJ10" s="68">
        <f>'O.G.Chem Results'!BJ10/'O.G.Chem Results'!BJ$142</f>
        <v>9.0909090909090917</v>
      </c>
      <c r="BK10" s="68">
        <f>'O.G.Chem Results'!BK10/'O.G.Chem Results'!BK$142</f>
        <v>9.2307692307692299</v>
      </c>
      <c r="BL10" s="68">
        <f>'O.G.Chem Results'!BL10/'O.G.Chem Results'!BL$142</f>
        <v>9.8765432098765427</v>
      </c>
      <c r="BM10" s="68">
        <v>3</v>
      </c>
      <c r="BN10" s="68">
        <v>0.4</v>
      </c>
      <c r="BO10" s="68">
        <v>1</v>
      </c>
      <c r="BP10" s="68">
        <v>0</v>
      </c>
      <c r="BQ10" s="68">
        <v>11</v>
      </c>
      <c r="BR10" s="68">
        <v>4.3</v>
      </c>
      <c r="BS10" s="68">
        <v>1.5</v>
      </c>
      <c r="BT10" s="69">
        <f t="shared" si="4"/>
        <v>0.56291739726158641</v>
      </c>
      <c r="BU10" s="117">
        <f t="shared" si="5"/>
        <v>307.29284299108235</v>
      </c>
      <c r="BV10" s="48">
        <f t="shared" si="6"/>
        <v>146.5</v>
      </c>
      <c r="BW10" s="70">
        <f t="shared" si="7"/>
        <v>99.28721174004194</v>
      </c>
      <c r="BX10" s="69">
        <f t="shared" si="11"/>
        <v>1.6187638530576647</v>
      </c>
      <c r="BY10" s="69">
        <v>9.8699999999999992</v>
      </c>
      <c r="BZ10" s="69">
        <v>0.61</v>
      </c>
      <c r="CA10" s="69">
        <v>16.43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2.1800000000000002</v>
      </c>
      <c r="CH10" s="69">
        <v>6.38</v>
      </c>
      <c r="CI10" s="69">
        <v>0.04</v>
      </c>
      <c r="CJ10" s="69">
        <v>0</v>
      </c>
      <c r="CK10" s="69">
        <v>1.33</v>
      </c>
      <c r="CL10" s="69">
        <v>55.77</v>
      </c>
      <c r="CM10" s="69">
        <v>5.37</v>
      </c>
      <c r="CN10" s="69">
        <v>0</v>
      </c>
      <c r="CO10" s="69">
        <v>2.0299999999999998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117">
        <v>100.01</v>
      </c>
      <c r="CZ10" s="283">
        <v>0.18351390595331174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v>2.434938009605719E-2</v>
      </c>
      <c r="DG10" s="283">
        <v>7.1261029822405897E-2</v>
      </c>
      <c r="DH10" s="283">
        <v>4.4677761644141629E-4</v>
      </c>
      <c r="DI10" s="283">
        <v>0</v>
      </c>
      <c r="DJ10" s="283">
        <v>1.4855355746677092E-2</v>
      </c>
      <c r="DK10" s="283">
        <v>0.62291969172344464</v>
      </c>
      <c r="DL10" s="283">
        <v>5.9979895007260135E-2</v>
      </c>
      <c r="DM10" s="283">
        <v>0</v>
      </c>
      <c r="DN10" s="283">
        <v>2.2673964034401875E-2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v>0</v>
      </c>
      <c r="DV10" s="283">
        <v>0</v>
      </c>
      <c r="DW10" s="283">
        <v>0</v>
      </c>
      <c r="DX10" s="69">
        <v>0.99999999999999989</v>
      </c>
      <c r="DY10" s="70">
        <v>51.345624187343262</v>
      </c>
      <c r="DZ10" s="70">
        <v>28.565717621703612</v>
      </c>
      <c r="EA10" s="70">
        <v>8.6497128171199051</v>
      </c>
      <c r="EB10" s="70">
        <v>0.35281374676272376</v>
      </c>
      <c r="EC10" s="70">
        <v>0</v>
      </c>
      <c r="ED10" s="70">
        <v>0.22439201548786467</v>
      </c>
      <c r="EE10" s="70">
        <v>5.8047860130885226E-2</v>
      </c>
      <c r="EF10" s="70">
        <v>0</v>
      </c>
      <c r="EG10" s="70">
        <v>0.35965821915833307</v>
      </c>
      <c r="EH10" s="70">
        <v>4.8959202038297012E-2</v>
      </c>
      <c r="EI10" s="70">
        <v>0</v>
      </c>
      <c r="EJ10" s="70">
        <v>10.395074330255122</v>
      </c>
      <c r="EK10" s="70">
        <v>0</v>
      </c>
      <c r="EL10" s="70">
        <v>100</v>
      </c>
      <c r="EM10" s="69">
        <v>98.558810430408514</v>
      </c>
      <c r="EN10" s="69" t="s">
        <v>78</v>
      </c>
      <c r="EO10" s="287">
        <v>9.0342798010912731E-2</v>
      </c>
      <c r="EP10" s="257">
        <f t="shared" si="12"/>
        <v>9.034279801091273</v>
      </c>
      <c r="EQ10" s="257">
        <f t="shared" si="13"/>
        <v>97.00280525616418</v>
      </c>
      <c r="ER10" s="324">
        <f t="shared" si="14"/>
        <v>0.80987886039618673</v>
      </c>
      <c r="ES10" s="257">
        <f t="shared" si="15"/>
        <v>1.4732947049161367</v>
      </c>
      <c r="ET10">
        <f t="shared" si="8"/>
        <v>146.5</v>
      </c>
      <c r="EU10" s="324">
        <f t="shared" si="16"/>
        <v>0.54970594660644412</v>
      </c>
      <c r="EV10" s="39">
        <f t="shared" si="17"/>
        <v>183.23499999999999</v>
      </c>
      <c r="EW10"/>
      <c r="EX10">
        <f t="shared" si="18"/>
        <v>0.64153846153846161</v>
      </c>
      <c r="EY10"/>
      <c r="EZ10"/>
      <c r="FA10"/>
      <c r="FB10"/>
      <c r="FC10"/>
      <c r="FD10"/>
    </row>
    <row r="11" spans="1:160" s="48" customFormat="1" ht="13" customHeight="1" x14ac:dyDescent="0.2">
      <c r="A11" s="65" t="s">
        <v>80</v>
      </c>
      <c r="B11" s="66" t="s">
        <v>421</v>
      </c>
      <c r="C11" s="274">
        <f t="shared" si="9"/>
        <v>181.7</v>
      </c>
      <c r="D11" s="67">
        <v>200</v>
      </c>
      <c r="E11" s="67">
        <v>400</v>
      </c>
      <c r="F11" s="67">
        <f t="shared" si="3"/>
        <v>300</v>
      </c>
      <c r="G11" s="82" t="s">
        <v>513</v>
      </c>
      <c r="H11" s="84">
        <v>7.5</v>
      </c>
      <c r="I11" s="85">
        <v>4</v>
      </c>
      <c r="J11" s="85">
        <v>6</v>
      </c>
      <c r="K11" s="89">
        <f t="shared" si="10"/>
        <v>5</v>
      </c>
      <c r="L11" s="67">
        <v>132</v>
      </c>
      <c r="M11" s="67">
        <v>86</v>
      </c>
      <c r="N11" s="67">
        <v>40</v>
      </c>
      <c r="O11" s="68">
        <v>58.34</v>
      </c>
      <c r="P11" s="68">
        <v>19.72</v>
      </c>
      <c r="Q11" s="68">
        <v>7.78</v>
      </c>
      <c r="R11" s="68">
        <v>0.17100000000000001</v>
      </c>
      <c r="S11" s="68">
        <v>1.8</v>
      </c>
      <c r="T11" s="68">
        <v>0.03</v>
      </c>
      <c r="U11" s="68">
        <v>0.05</v>
      </c>
      <c r="V11" s="68">
        <v>1.45</v>
      </c>
      <c r="W11" s="68">
        <v>0.89700000000000002</v>
      </c>
      <c r="X11" s="68">
        <v>0.09</v>
      </c>
      <c r="Y11" s="68">
        <v>8.86</v>
      </c>
      <c r="Z11" s="68">
        <v>99.19</v>
      </c>
      <c r="AA11" s="68">
        <v>20</v>
      </c>
      <c r="AB11" s="68">
        <v>3</v>
      </c>
      <c r="AC11" s="68">
        <v>123</v>
      </c>
      <c r="AD11" s="68">
        <v>50</v>
      </c>
      <c r="AE11" s="68">
        <v>45</v>
      </c>
      <c r="AF11" s="68">
        <v>60</v>
      </c>
      <c r="AG11" s="68">
        <v>50</v>
      </c>
      <c r="AH11" s="68">
        <v>110</v>
      </c>
      <c r="AI11" s="68">
        <v>26</v>
      </c>
      <c r="AJ11" s="68">
        <v>2</v>
      </c>
      <c r="AK11" s="68">
        <v>0</v>
      </c>
      <c r="AL11" s="68">
        <v>116</v>
      </c>
      <c r="AM11" s="68">
        <v>31</v>
      </c>
      <c r="AN11" s="68">
        <f>'O.G.Chem Results'!AN11/'O.G.Chem Results'!$AN$142</f>
        <v>19.871794871794872</v>
      </c>
      <c r="AO11" s="68">
        <v>270</v>
      </c>
      <c r="AP11" s="68">
        <v>12</v>
      </c>
      <c r="AQ11" s="68" t="s">
        <v>72</v>
      </c>
      <c r="AR11" s="68">
        <v>0.5</v>
      </c>
      <c r="AS11" s="68" t="s">
        <v>73</v>
      </c>
      <c r="AT11" s="68">
        <v>17</v>
      </c>
      <c r="AU11" s="68">
        <v>1.9</v>
      </c>
      <c r="AV11" s="68">
        <v>2.5</v>
      </c>
      <c r="AW11" s="68">
        <v>449</v>
      </c>
      <c r="AX11" s="68">
        <v>0.4</v>
      </c>
      <c r="AY11" s="68">
        <f>'O.G.Chem Results'!AY11/'O.G.Chem Results'!AY$142</f>
        <v>168.08510638297872</v>
      </c>
      <c r="AZ11" s="68">
        <f>'O.G.Chem Results'!AZ11/'O.G.Chem Results'!AZ$142</f>
        <v>145.2254641909814</v>
      </c>
      <c r="BA11" s="68">
        <f>'O.G.Chem Results'!BA11/'O.G.Chem Results'!BA$142</f>
        <v>121.21212121212122</v>
      </c>
      <c r="BB11" s="68">
        <f>'O.G.Chem Results'!BB11/'O.G.Chem Results'!BB$142</f>
        <v>96.595932802829367</v>
      </c>
      <c r="BC11" s="68">
        <f>'O.G.Chem Results'!BC11/'O.G.Chem Results'!BC$142</f>
        <v>60.503059143439849</v>
      </c>
      <c r="BD11" s="68">
        <f>'O.G.Chem Results'!BD11/'O.G.Chem Results'!BD$142</f>
        <v>38.571428571428577</v>
      </c>
      <c r="BE11" s="68">
        <f>'O.G.Chem Results'!BE11/'O.G.Chem Results'!BE$142</f>
        <v>40.909090909090914</v>
      </c>
      <c r="BF11" s="68">
        <f>'O.G.Chem Results'!BF11/'O.G.Chem Results'!BF$142</f>
        <v>27.548209366391184</v>
      </c>
      <c r="BG11" s="68">
        <f>'O.G.Chem Results'!BG11/'O.G.Chem Results'!BG$142</f>
        <v>24.309847548413682</v>
      </c>
      <c r="BH11" s="68">
        <f>'O.G.Chem Results'!BH11/'O.G.Chem Results'!BH$142</f>
        <v>19.784172661870503</v>
      </c>
      <c r="BI11" s="68">
        <f>'O.G.Chem Results'!BI11/'O.G.Chem Results'!BI$142</f>
        <v>20.767778477029577</v>
      </c>
      <c r="BJ11" s="68">
        <f>'O.G.Chem Results'!BJ11/'O.G.Chem Results'!BJ$142</f>
        <v>20.24793388429752</v>
      </c>
      <c r="BK11" s="68">
        <f>'O.G.Chem Results'!BK11/'O.G.Chem Results'!BK$142</f>
        <v>20.923076923076923</v>
      </c>
      <c r="BL11" s="68">
        <f>'O.G.Chem Results'!BL11/'O.G.Chem Results'!BL$142</f>
        <v>22.222222222222221</v>
      </c>
      <c r="BM11" s="68">
        <v>6.4</v>
      </c>
      <c r="BN11" s="68">
        <v>0.7</v>
      </c>
      <c r="BO11" s="68">
        <v>3</v>
      </c>
      <c r="BP11" s="68">
        <v>0.6</v>
      </c>
      <c r="BQ11" s="68">
        <v>12</v>
      </c>
      <c r="BR11" s="68">
        <v>10.199999999999999</v>
      </c>
      <c r="BS11" s="68">
        <v>2.4</v>
      </c>
      <c r="BT11" s="69">
        <f t="shared" si="4"/>
        <v>0.46351919734128294</v>
      </c>
      <c r="BU11" s="117">
        <f t="shared" si="5"/>
        <v>826.90544429617148</v>
      </c>
      <c r="BV11" s="48">
        <f t="shared" si="6"/>
        <v>300</v>
      </c>
      <c r="BW11" s="70">
        <f t="shared" si="7"/>
        <v>92.8</v>
      </c>
      <c r="BX11" s="69">
        <f t="shared" si="11"/>
        <v>1.1981100795755966</v>
      </c>
      <c r="BY11" s="69">
        <v>8.6199999999999992</v>
      </c>
      <c r="BZ11" s="69">
        <v>0</v>
      </c>
      <c r="CA11" s="69">
        <v>33.590000000000003</v>
      </c>
      <c r="CB11" s="69">
        <v>0.36800000000000005</v>
      </c>
      <c r="CC11" s="69">
        <v>3.2000000000000001E-2</v>
      </c>
      <c r="CD11" s="69">
        <v>0</v>
      </c>
      <c r="CE11" s="69">
        <v>0</v>
      </c>
      <c r="CF11" s="69">
        <v>0</v>
      </c>
      <c r="CG11" s="69">
        <v>0</v>
      </c>
      <c r="CH11" s="69">
        <v>0.57999999999999996</v>
      </c>
      <c r="CI11" s="69">
        <v>0.14000000000000001</v>
      </c>
      <c r="CJ11" s="69">
        <v>0</v>
      </c>
      <c r="CK11" s="69">
        <v>24.36</v>
      </c>
      <c r="CL11" s="69">
        <v>13.29</v>
      </c>
      <c r="CM11" s="69">
        <v>0</v>
      </c>
      <c r="CN11" s="69">
        <v>0</v>
      </c>
      <c r="CO11" s="69">
        <v>19.03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117">
        <v>100.00999999999999</v>
      </c>
      <c r="CZ11" s="283">
        <v>0.36754568333515708</v>
      </c>
      <c r="DA11" s="283">
        <v>4.026698763540869E-3</v>
      </c>
      <c r="DB11" s="283">
        <v>3.501477185687712E-4</v>
      </c>
      <c r="DC11" s="283">
        <v>0</v>
      </c>
      <c r="DD11" s="283">
        <v>0</v>
      </c>
      <c r="DE11" s="283">
        <v>0</v>
      </c>
      <c r="DF11" s="283">
        <v>0</v>
      </c>
      <c r="DG11" s="283">
        <v>6.3464273990589777E-3</v>
      </c>
      <c r="DH11" s="283">
        <v>1.531896268738374E-3</v>
      </c>
      <c r="DI11" s="283">
        <v>0</v>
      </c>
      <c r="DJ11" s="283">
        <v>0.26654995076047705</v>
      </c>
      <c r="DK11" s="283">
        <v>0.14542072436809278</v>
      </c>
      <c r="DL11" s="283">
        <v>0</v>
      </c>
      <c r="DM11" s="283">
        <v>0</v>
      </c>
      <c r="DN11" s="283">
        <v>0.20822847138636613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v>0</v>
      </c>
      <c r="DV11" s="283">
        <v>0</v>
      </c>
      <c r="DW11" s="283">
        <v>0</v>
      </c>
      <c r="DX11" s="69">
        <v>1</v>
      </c>
      <c r="DY11" s="70">
        <v>64.743429565681581</v>
      </c>
      <c r="DZ11" s="70">
        <v>21.47224368457066</v>
      </c>
      <c r="EA11" s="70">
        <v>0.9405964742290357</v>
      </c>
      <c r="EB11" s="70">
        <v>3.2400980728836388</v>
      </c>
      <c r="EC11" s="70">
        <v>0</v>
      </c>
      <c r="ED11" s="70">
        <v>1.1545177041309518</v>
      </c>
      <c r="EE11" s="70">
        <v>2.8687984673987737E-2</v>
      </c>
      <c r="EF11" s="70">
        <v>4.1395787580384615E-3</v>
      </c>
      <c r="EG11" s="70">
        <v>1.2003797310694575</v>
      </c>
      <c r="EH11" s="70">
        <v>0.44962141534947431</v>
      </c>
      <c r="EI11" s="70">
        <v>0</v>
      </c>
      <c r="EJ11" s="70">
        <v>6.7662857886531924</v>
      </c>
      <c r="EK11" s="70">
        <v>0</v>
      </c>
      <c r="EL11" s="70">
        <v>100</v>
      </c>
      <c r="EM11" s="69">
        <v>94.568672977963999</v>
      </c>
      <c r="EN11" s="69" t="s">
        <v>80</v>
      </c>
      <c r="EO11" s="287">
        <v>4.4723033736722026E-2</v>
      </c>
      <c r="EP11" s="257">
        <f t="shared" si="12"/>
        <v>4.4723033736722027</v>
      </c>
      <c r="EQ11" s="257">
        <f t="shared" si="13"/>
        <v>66.384083044982688</v>
      </c>
      <c r="ER11" s="324">
        <f t="shared" si="14"/>
        <v>0.76068653610930947</v>
      </c>
      <c r="ES11" s="257">
        <f t="shared" si="15"/>
        <v>1.006724756624233</v>
      </c>
      <c r="ET11">
        <f t="shared" si="8"/>
        <v>300</v>
      </c>
      <c r="EU11" s="324">
        <f t="shared" si="16"/>
        <v>0.755605274534081</v>
      </c>
      <c r="EV11" s="39">
        <f t="shared" si="17"/>
        <v>181.7</v>
      </c>
      <c r="EW11"/>
      <c r="EX11">
        <f t="shared" si="18"/>
        <v>1.0044289044289045</v>
      </c>
      <c r="EY11"/>
      <c r="EZ11"/>
      <c r="FA11"/>
      <c r="FB11"/>
      <c r="FC11"/>
      <c r="FD11"/>
    </row>
    <row r="12" spans="1:160" s="48" customFormat="1" ht="13" customHeight="1" x14ac:dyDescent="0.2">
      <c r="A12" s="65" t="s">
        <v>81</v>
      </c>
      <c r="B12" s="66" t="s">
        <v>421</v>
      </c>
      <c r="C12" s="274">
        <f t="shared" si="9"/>
        <v>180.2</v>
      </c>
      <c r="D12" s="67">
        <v>400</v>
      </c>
      <c r="E12" s="67">
        <v>500</v>
      </c>
      <c r="F12" s="67">
        <f t="shared" si="3"/>
        <v>450</v>
      </c>
      <c r="G12" s="82" t="s">
        <v>513</v>
      </c>
      <c r="H12" s="84">
        <v>7.5</v>
      </c>
      <c r="I12" s="85">
        <v>4</v>
      </c>
      <c r="J12" s="85">
        <v>6</v>
      </c>
      <c r="K12" s="89">
        <f t="shared" si="10"/>
        <v>5</v>
      </c>
      <c r="L12" s="67">
        <v>132</v>
      </c>
      <c r="M12" s="67">
        <v>86</v>
      </c>
      <c r="N12" s="67">
        <v>40</v>
      </c>
      <c r="O12" s="68">
        <v>60.74</v>
      </c>
      <c r="P12" s="68">
        <v>18.87</v>
      </c>
      <c r="Q12" s="68">
        <v>6.65</v>
      </c>
      <c r="R12" s="68">
        <v>0.17</v>
      </c>
      <c r="S12" s="68">
        <v>1.9</v>
      </c>
      <c r="T12" s="68">
        <v>0.05</v>
      </c>
      <c r="U12" s="68">
        <v>0.04</v>
      </c>
      <c r="V12" s="68">
        <v>1.57</v>
      </c>
      <c r="W12" s="68">
        <v>0.77700000000000002</v>
      </c>
      <c r="X12" s="68">
        <v>0.05</v>
      </c>
      <c r="Y12" s="68">
        <v>8.94</v>
      </c>
      <c r="Z12" s="68">
        <v>99.76</v>
      </c>
      <c r="AA12" s="68">
        <v>13</v>
      </c>
      <c r="AB12" s="68">
        <v>2</v>
      </c>
      <c r="AC12" s="68">
        <v>121</v>
      </c>
      <c r="AD12" s="68">
        <v>30</v>
      </c>
      <c r="AE12" s="68">
        <v>46</v>
      </c>
      <c r="AF12" s="68">
        <v>40</v>
      </c>
      <c r="AG12" s="68">
        <v>40</v>
      </c>
      <c r="AH12" s="68">
        <v>100</v>
      </c>
      <c r="AI12" s="68">
        <v>26</v>
      </c>
      <c r="AJ12" s="68">
        <v>2</v>
      </c>
      <c r="AK12" s="68">
        <v>0</v>
      </c>
      <c r="AL12" s="68">
        <v>139</v>
      </c>
      <c r="AM12" s="68">
        <v>8</v>
      </c>
      <c r="AN12" s="68">
        <f>'O.G.Chem Results'!AN12/'O.G.Chem Results'!$AN$142</f>
        <v>30.769230769230766</v>
      </c>
      <c r="AO12" s="68">
        <v>210</v>
      </c>
      <c r="AP12" s="68">
        <v>13</v>
      </c>
      <c r="AQ12" s="68" t="s">
        <v>72</v>
      </c>
      <c r="AR12" s="68" t="s">
        <v>74</v>
      </c>
      <c r="AS12" s="68" t="s">
        <v>73</v>
      </c>
      <c r="AT12" s="68">
        <v>6</v>
      </c>
      <c r="AU12" s="68">
        <v>0.9</v>
      </c>
      <c r="AV12" s="68">
        <v>3.4</v>
      </c>
      <c r="AW12" s="68">
        <v>348</v>
      </c>
      <c r="AX12" s="68" t="s">
        <v>75</v>
      </c>
      <c r="AY12" s="68">
        <f>'O.G.Chem Results'!AY12/'O.G.Chem Results'!AY$142</f>
        <v>231.48936170212767</v>
      </c>
      <c r="AZ12" s="68">
        <f>'O.G.Chem Results'!AZ12/'O.G.Chem Results'!AZ$142</f>
        <v>102.12201591511935</v>
      </c>
      <c r="BA12" s="68">
        <f>'O.G.Chem Results'!BA12/'O.G.Chem Results'!BA$142</f>
        <v>145.90347923681259</v>
      </c>
      <c r="BB12" s="68">
        <f>'O.G.Chem Results'!BB12/'O.G.Chem Results'!BB$142</f>
        <v>108.97435897435898</v>
      </c>
      <c r="BC12" s="68">
        <f>'O.G.Chem Results'!BC12/'O.G.Chem Results'!BC$142</f>
        <v>67.301155676410616</v>
      </c>
      <c r="BD12" s="68">
        <f>'O.G.Chem Results'!BD12/'O.G.Chem Results'!BD$142</f>
        <v>43.928571428571423</v>
      </c>
      <c r="BE12" s="68">
        <f>'O.G.Chem Results'!BE12/'O.G.Chem Results'!BE$142</f>
        <v>51.704545454545453</v>
      </c>
      <c r="BF12" s="68">
        <f>'O.G.Chem Results'!BF12/'O.G.Chem Results'!BF$142</f>
        <v>35.812672176308546</v>
      </c>
      <c r="BG12" s="68">
        <f>'O.G.Chem Results'!BG12/'O.G.Chem Results'!BG$142</f>
        <v>33.374536464771325</v>
      </c>
      <c r="BH12" s="68">
        <f>'O.G.Chem Results'!BH12/'O.G.Chem Results'!BH$142</f>
        <v>28.776978417266186</v>
      </c>
      <c r="BI12" s="68">
        <f>'O.G.Chem Results'!BI12/'O.G.Chem Results'!BI$142</f>
        <v>28.949024543738194</v>
      </c>
      <c r="BJ12" s="68">
        <f>'O.G.Chem Results'!BJ12/'O.G.Chem Results'!BJ$142</f>
        <v>28.925619834710744</v>
      </c>
      <c r="BK12" s="68">
        <f>'O.G.Chem Results'!BK12/'O.G.Chem Results'!BK$142</f>
        <v>28.923076923076923</v>
      </c>
      <c r="BL12" s="68">
        <f>'O.G.Chem Results'!BL12/'O.G.Chem Results'!BL$142</f>
        <v>29.629629629629626</v>
      </c>
      <c r="BM12" s="68">
        <v>5</v>
      </c>
      <c r="BN12" s="68">
        <v>0.7</v>
      </c>
      <c r="BO12" s="68">
        <v>1</v>
      </c>
      <c r="BP12" s="68">
        <v>0.8</v>
      </c>
      <c r="BQ12" s="68">
        <v>15</v>
      </c>
      <c r="BR12" s="68">
        <v>15.8</v>
      </c>
      <c r="BS12" s="68">
        <v>1.3</v>
      </c>
      <c r="BT12" s="69">
        <f t="shared" si="4"/>
        <v>0.30611071074525564</v>
      </c>
      <c r="BU12" s="117">
        <f t="shared" si="5"/>
        <v>965.81502637744768</v>
      </c>
      <c r="BV12" s="48">
        <f t="shared" si="6"/>
        <v>450</v>
      </c>
      <c r="BW12" s="70">
        <f t="shared" si="7"/>
        <v>91.914271797369693</v>
      </c>
      <c r="BX12" s="69">
        <f t="shared" si="11"/>
        <v>0.69992858600285635</v>
      </c>
      <c r="BY12" s="69">
        <v>8.33</v>
      </c>
      <c r="BZ12" s="69">
        <v>0.41</v>
      </c>
      <c r="CA12" s="69">
        <v>25.41</v>
      </c>
      <c r="CB12" s="69">
        <v>0.77280000000000004</v>
      </c>
      <c r="CC12" s="69">
        <v>6.7199999999999996E-2</v>
      </c>
      <c r="CD12" s="69">
        <v>0</v>
      </c>
      <c r="CE12" s="69">
        <v>0</v>
      </c>
      <c r="CF12" s="69">
        <v>0</v>
      </c>
      <c r="CG12" s="69">
        <v>0.1</v>
      </c>
      <c r="CH12" s="69">
        <v>0.21</v>
      </c>
      <c r="CI12" s="69">
        <v>0</v>
      </c>
      <c r="CJ12" s="69">
        <v>0</v>
      </c>
      <c r="CK12" s="69">
        <v>30.81</v>
      </c>
      <c r="CL12" s="69">
        <v>14.95</v>
      </c>
      <c r="CM12" s="69">
        <v>0.34</v>
      </c>
      <c r="CN12" s="69">
        <v>0</v>
      </c>
      <c r="CO12" s="69">
        <v>18.579999999999998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117">
        <v>99.98</v>
      </c>
      <c r="CZ12" s="283">
        <v>0.27849627356422618</v>
      </c>
      <c r="DA12" s="283">
        <v>8.4699693117053915E-3</v>
      </c>
      <c r="DB12" s="283">
        <v>7.3651907058307751E-4</v>
      </c>
      <c r="DC12" s="283">
        <v>0</v>
      </c>
      <c r="DD12" s="283">
        <v>0</v>
      </c>
      <c r="DE12" s="283">
        <v>0</v>
      </c>
      <c r="DF12" s="283">
        <v>1.0960105217010083E-3</v>
      </c>
      <c r="DG12" s="283">
        <v>2.3016220955721172E-3</v>
      </c>
      <c r="DH12" s="283">
        <v>0</v>
      </c>
      <c r="DI12" s="283">
        <v>0</v>
      </c>
      <c r="DJ12" s="283">
        <v>0.33768084173608059</v>
      </c>
      <c r="DK12" s="283">
        <v>0.16385357299430073</v>
      </c>
      <c r="DL12" s="283">
        <v>3.7264357737834281E-3</v>
      </c>
      <c r="DM12" s="283">
        <v>0</v>
      </c>
      <c r="DN12" s="283">
        <v>0.20363875493204731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v>0</v>
      </c>
      <c r="DV12" s="283">
        <v>0</v>
      </c>
      <c r="DW12" s="283">
        <v>0</v>
      </c>
      <c r="DX12" s="69">
        <v>0.99999999999999978</v>
      </c>
      <c r="DY12" s="70">
        <v>60.260662777754547</v>
      </c>
      <c r="DZ12" s="70">
        <v>24.920135857403178</v>
      </c>
      <c r="EA12" s="70">
        <v>0.83605778183137602</v>
      </c>
      <c r="EB12" s="70">
        <v>3.1686806949443489</v>
      </c>
      <c r="EC12" s="70">
        <v>0</v>
      </c>
      <c r="ED12" s="70">
        <v>1.1352007311864603</v>
      </c>
      <c r="EE12" s="70">
        <v>3.1467976359030349E-2</v>
      </c>
      <c r="EF12" s="70">
        <v>8.7074070107845628E-3</v>
      </c>
      <c r="EG12" s="70">
        <v>1.2653103416300469</v>
      </c>
      <c r="EH12" s="70">
        <v>0.43971097997767283</v>
      </c>
      <c r="EI12" s="70">
        <v>0</v>
      </c>
      <c r="EJ12" s="70">
        <v>7.9340654519025637</v>
      </c>
      <c r="EK12" s="70">
        <v>0</v>
      </c>
      <c r="EL12" s="70">
        <v>100.00000000000003</v>
      </c>
      <c r="EM12" s="69">
        <v>95.022098062011906</v>
      </c>
      <c r="EN12" s="69" t="s">
        <v>81</v>
      </c>
      <c r="EO12" s="287">
        <v>4.2899197393207161E-2</v>
      </c>
      <c r="EP12" s="257">
        <f t="shared" si="12"/>
        <v>4.289919739320716</v>
      </c>
      <c r="EQ12" s="257">
        <f t="shared" si="13"/>
        <v>70.346617804244929</v>
      </c>
      <c r="ER12" s="324">
        <f t="shared" si="14"/>
        <v>0.73825994907977754</v>
      </c>
      <c r="ES12" s="257">
        <f t="shared" si="15"/>
        <v>0.53564891454252839</v>
      </c>
      <c r="ET12">
        <f t="shared" si="8"/>
        <v>450</v>
      </c>
      <c r="EU12" s="324">
        <f t="shared" si="16"/>
        <v>1.3782534212923578</v>
      </c>
      <c r="EV12" s="39">
        <f t="shared" si="17"/>
        <v>180.2</v>
      </c>
      <c r="EW12"/>
      <c r="EX12">
        <f t="shared" si="18"/>
        <v>1.0692307692307692</v>
      </c>
      <c r="EY12"/>
      <c r="EZ12" s="324">
        <f>AVERAGE(EZ7,EZ16)</f>
        <v>0.75984746120191682</v>
      </c>
      <c r="FA12" s="260" t="s">
        <v>664</v>
      </c>
      <c r="FB12"/>
      <c r="FC12"/>
      <c r="FD12"/>
    </row>
    <row r="13" spans="1:160" s="48" customFormat="1" ht="13" customHeight="1" x14ac:dyDescent="0.2">
      <c r="A13" s="65" t="s">
        <v>82</v>
      </c>
      <c r="B13" s="66" t="s">
        <v>421</v>
      </c>
      <c r="C13" s="274">
        <f t="shared" si="9"/>
        <v>179.2</v>
      </c>
      <c r="D13" s="67">
        <v>500</v>
      </c>
      <c r="E13" s="67">
        <v>600</v>
      </c>
      <c r="F13" s="67">
        <f t="shared" si="3"/>
        <v>550</v>
      </c>
      <c r="G13" s="82" t="s">
        <v>514</v>
      </c>
      <c r="H13" s="84">
        <v>7.5</v>
      </c>
      <c r="I13" s="85">
        <v>4</v>
      </c>
      <c r="J13" s="85">
        <v>4</v>
      </c>
      <c r="K13" s="89">
        <f t="shared" si="10"/>
        <v>7.5</v>
      </c>
      <c r="L13" s="67">
        <v>124</v>
      </c>
      <c r="M13" s="67">
        <v>89</v>
      </c>
      <c r="N13" s="67">
        <v>58</v>
      </c>
      <c r="O13" s="68">
        <v>59.67</v>
      </c>
      <c r="P13" s="68">
        <v>19</v>
      </c>
      <c r="Q13" s="68">
        <v>7.72</v>
      </c>
      <c r="R13" s="68">
        <v>0.17199999999999999</v>
      </c>
      <c r="S13" s="68">
        <v>1.81</v>
      </c>
      <c r="T13" s="68">
        <v>0.04</v>
      </c>
      <c r="U13" s="68">
        <v>0.05</v>
      </c>
      <c r="V13" s="68">
        <v>1.32</v>
      </c>
      <c r="W13" s="68">
        <v>0.81</v>
      </c>
      <c r="X13" s="68">
        <v>0.06</v>
      </c>
      <c r="Y13" s="68">
        <v>9.01</v>
      </c>
      <c r="Z13" s="68">
        <v>99.65</v>
      </c>
      <c r="AA13" s="68">
        <v>21</v>
      </c>
      <c r="AB13" s="68">
        <v>2</v>
      </c>
      <c r="AC13" s="68">
        <v>128</v>
      </c>
      <c r="AD13" s="68">
        <v>30</v>
      </c>
      <c r="AE13" s="68">
        <v>33</v>
      </c>
      <c r="AF13" s="68">
        <v>40</v>
      </c>
      <c r="AG13" s="68">
        <v>40</v>
      </c>
      <c r="AH13" s="68">
        <v>110</v>
      </c>
      <c r="AI13" s="68">
        <v>25</v>
      </c>
      <c r="AJ13" s="68">
        <v>2</v>
      </c>
      <c r="AK13" s="68">
        <v>0</v>
      </c>
      <c r="AL13" s="68">
        <v>110</v>
      </c>
      <c r="AM13" s="68">
        <v>4</v>
      </c>
      <c r="AN13" s="68">
        <f>'O.G.Chem Results'!AN13/'O.G.Chem Results'!$AN$142</f>
        <v>30.769230769230766</v>
      </c>
      <c r="AO13" s="68">
        <v>124</v>
      </c>
      <c r="AP13" s="68">
        <v>10</v>
      </c>
      <c r="AQ13" s="68" t="s">
        <v>72</v>
      </c>
      <c r="AR13" s="68" t="s">
        <v>74</v>
      </c>
      <c r="AS13" s="68" t="s">
        <v>73</v>
      </c>
      <c r="AT13" s="68">
        <v>5</v>
      </c>
      <c r="AU13" s="68" t="s">
        <v>74</v>
      </c>
      <c r="AV13" s="68">
        <v>2.6</v>
      </c>
      <c r="AW13" s="68">
        <v>249</v>
      </c>
      <c r="AX13" s="68" t="s">
        <v>75</v>
      </c>
      <c r="AY13" s="68">
        <f>'O.G.Chem Results'!AY13/'O.G.Chem Results'!AY$142</f>
        <v>180.42553191489361</v>
      </c>
      <c r="AZ13" s="68">
        <f>'O.G.Chem Results'!AZ13/'O.G.Chem Results'!AZ$142</f>
        <v>89.854111405835539</v>
      </c>
      <c r="BA13" s="68">
        <f>'O.G.Chem Results'!BA13/'O.G.Chem Results'!BA$142</f>
        <v>112.2334455667789</v>
      </c>
      <c r="BB13" s="68">
        <f>'O.G.Chem Results'!BB13/'O.G.Chem Results'!BB$142</f>
        <v>84.659593280282934</v>
      </c>
      <c r="BC13" s="68">
        <f>'O.G.Chem Results'!BC13/'O.G.Chem Results'!BC$142</f>
        <v>53.704962610469082</v>
      </c>
      <c r="BD13" s="68">
        <f>'O.G.Chem Results'!BD13/'O.G.Chem Results'!BD$142</f>
        <v>38.75</v>
      </c>
      <c r="BE13" s="68">
        <f>'O.G.Chem Results'!BE13/'O.G.Chem Results'!BE$142</f>
        <v>46.022727272727273</v>
      </c>
      <c r="BF13" s="68">
        <f>'O.G.Chem Results'!BF13/'O.G.Chem Results'!BF$142</f>
        <v>35.812672176308546</v>
      </c>
      <c r="BG13" s="68">
        <f>'O.G.Chem Results'!BG13/'O.G.Chem Results'!BG$142</f>
        <v>33.786567779151213</v>
      </c>
      <c r="BH13" s="68">
        <f>'O.G.Chem Results'!BH13/'O.G.Chem Results'!BH$142</f>
        <v>28.776978417266186</v>
      </c>
      <c r="BI13" s="68">
        <f>'O.G.Chem Results'!BI13/'O.G.Chem Results'!BI$142</f>
        <v>29.578351164254247</v>
      </c>
      <c r="BJ13" s="68">
        <f>'O.G.Chem Results'!BJ13/'O.G.Chem Results'!BJ$142</f>
        <v>28.512396694214875</v>
      </c>
      <c r="BK13" s="68">
        <f>'O.G.Chem Results'!BK13/'O.G.Chem Results'!BK$142</f>
        <v>28.307692307692303</v>
      </c>
      <c r="BL13" s="68">
        <f>'O.G.Chem Results'!BL13/'O.G.Chem Results'!BL$142</f>
        <v>30.452674897119337</v>
      </c>
      <c r="BM13" s="68">
        <v>3.1</v>
      </c>
      <c r="BN13" s="68">
        <v>0.5</v>
      </c>
      <c r="BO13" s="68">
        <v>0</v>
      </c>
      <c r="BP13" s="68">
        <v>0.7</v>
      </c>
      <c r="BQ13" s="68">
        <v>11</v>
      </c>
      <c r="BR13" s="68">
        <v>7.3</v>
      </c>
      <c r="BS13" s="68">
        <v>0.8</v>
      </c>
      <c r="BT13" s="69">
        <f t="shared" si="4"/>
        <v>0.33244868278596013</v>
      </c>
      <c r="BU13" s="117">
        <f t="shared" si="5"/>
        <v>820.87770548699405</v>
      </c>
      <c r="BV13" s="48">
        <f t="shared" si="6"/>
        <v>550</v>
      </c>
      <c r="BW13" s="70">
        <f t="shared" si="7"/>
        <v>93.091621754042137</v>
      </c>
      <c r="BX13" s="69">
        <f t="shared" si="11"/>
        <v>0.80060013262599472</v>
      </c>
      <c r="BY13" s="69">
        <v>9.5399999999999991</v>
      </c>
      <c r="BZ13" s="69">
        <v>7.0000000000000007E-2</v>
      </c>
      <c r="CA13" s="69">
        <v>29.43</v>
      </c>
      <c r="CB13" s="69">
        <v>0.31280000000000002</v>
      </c>
      <c r="CC13" s="69">
        <v>2.7200000000000002E-2</v>
      </c>
      <c r="CD13" s="69">
        <v>0</v>
      </c>
      <c r="CE13" s="69">
        <v>0</v>
      </c>
      <c r="CF13" s="69">
        <v>0</v>
      </c>
      <c r="CG13" s="69">
        <v>0</v>
      </c>
      <c r="CH13" s="69">
        <v>0.31</v>
      </c>
      <c r="CI13" s="69">
        <v>0</v>
      </c>
      <c r="CJ13" s="69">
        <v>0</v>
      </c>
      <c r="CK13" s="69">
        <v>26.8</v>
      </c>
      <c r="CL13" s="69">
        <v>14.31</v>
      </c>
      <c r="CM13" s="69">
        <v>0.34</v>
      </c>
      <c r="CN13" s="69">
        <v>0</v>
      </c>
      <c r="CO13" s="69">
        <v>18.86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117">
        <v>100.00000000000001</v>
      </c>
      <c r="CZ13" s="283">
        <v>0.32558911384002653</v>
      </c>
      <c r="DA13" s="283">
        <v>3.4605597964376591E-3</v>
      </c>
      <c r="DB13" s="283">
        <v>3.0091824316849213E-4</v>
      </c>
      <c r="DC13" s="283">
        <v>0</v>
      </c>
      <c r="DD13" s="283">
        <v>0</v>
      </c>
      <c r="DE13" s="283">
        <v>0</v>
      </c>
      <c r="DF13" s="283">
        <v>0</v>
      </c>
      <c r="DG13" s="283">
        <v>3.4295829184644317E-3</v>
      </c>
      <c r="DH13" s="283">
        <v>0</v>
      </c>
      <c r="DI13" s="283">
        <v>0</v>
      </c>
      <c r="DJ13" s="283">
        <v>0.29649297488660253</v>
      </c>
      <c r="DK13" s="283">
        <v>0.15831397278460008</v>
      </c>
      <c r="DL13" s="283">
        <v>3.7614780396061512E-3</v>
      </c>
      <c r="DM13" s="283">
        <v>0</v>
      </c>
      <c r="DN13" s="283">
        <v>0.20865139949109415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v>0</v>
      </c>
      <c r="DV13" s="283">
        <v>0</v>
      </c>
      <c r="DW13" s="283">
        <v>0</v>
      </c>
      <c r="DX13" s="69">
        <v>1.0000000000000002</v>
      </c>
      <c r="DY13" s="70">
        <v>62.660262536203206</v>
      </c>
      <c r="DZ13" s="70">
        <v>23.158475505563445</v>
      </c>
      <c r="EA13" s="70">
        <v>0.75752851394809972</v>
      </c>
      <c r="EB13" s="70">
        <v>3.2466789622691006</v>
      </c>
      <c r="EC13" s="70">
        <v>0</v>
      </c>
      <c r="ED13" s="70">
        <v>1.1630508675238223</v>
      </c>
      <c r="EE13" s="70">
        <v>3.2190665241459492E-2</v>
      </c>
      <c r="EF13" s="70">
        <v>3.5575692808116469E-3</v>
      </c>
      <c r="EG13" s="70">
        <v>1.2079208722090915</v>
      </c>
      <c r="EH13" s="70">
        <v>0.4505346311636847</v>
      </c>
      <c r="EI13" s="70">
        <v>0</v>
      </c>
      <c r="EJ13" s="70">
        <v>7.3197998765972825</v>
      </c>
      <c r="EK13" s="70">
        <v>0</v>
      </c>
      <c r="EL13" s="70">
        <v>100</v>
      </c>
      <c r="EM13" s="69">
        <v>94.903443420687083</v>
      </c>
      <c r="EN13" s="69" t="s">
        <v>82</v>
      </c>
      <c r="EO13" s="287">
        <v>4.2964085828214198E-2</v>
      </c>
      <c r="EP13" s="257">
        <f t="shared" si="12"/>
        <v>4.29640858282142</v>
      </c>
      <c r="EQ13" s="257">
        <f t="shared" si="13"/>
        <v>68.327284724513362</v>
      </c>
      <c r="ER13" s="324">
        <f t="shared" si="14"/>
        <v>0.77711616593916899</v>
      </c>
      <c r="ES13" s="257">
        <f t="shared" si="15"/>
        <v>0.60506371714225271</v>
      </c>
      <c r="ET13">
        <f t="shared" si="8"/>
        <v>550</v>
      </c>
      <c r="EU13" s="324">
        <f t="shared" si="16"/>
        <v>1.2843542653813864</v>
      </c>
      <c r="EV13" s="39">
        <f t="shared" si="17"/>
        <v>179.2</v>
      </c>
      <c r="EW13"/>
      <c r="EX13">
        <f t="shared" si="18"/>
        <v>1.0692307692307692</v>
      </c>
      <c r="EY13"/>
      <c r="EZ13"/>
      <c r="FA13"/>
      <c r="FB13"/>
      <c r="FC13"/>
      <c r="FD13"/>
    </row>
    <row r="14" spans="1:160" s="48" customFormat="1" ht="13" customHeight="1" x14ac:dyDescent="0.2">
      <c r="A14" s="65" t="s">
        <v>83</v>
      </c>
      <c r="B14" s="66" t="s">
        <v>421</v>
      </c>
      <c r="C14" s="274">
        <f t="shared" si="9"/>
        <v>178.2</v>
      </c>
      <c r="D14" s="67">
        <v>600</v>
      </c>
      <c r="E14" s="67">
        <v>700</v>
      </c>
      <c r="F14" s="67">
        <f t="shared" si="3"/>
        <v>650</v>
      </c>
      <c r="G14" s="82" t="s">
        <v>515</v>
      </c>
      <c r="H14" s="84">
        <v>10</v>
      </c>
      <c r="I14" s="85">
        <v>4</v>
      </c>
      <c r="J14" s="85">
        <v>4</v>
      </c>
      <c r="K14" s="89">
        <f t="shared" si="10"/>
        <v>10</v>
      </c>
      <c r="L14" s="67">
        <v>120</v>
      </c>
      <c r="M14" s="67">
        <v>91</v>
      </c>
      <c r="N14" s="67">
        <v>54</v>
      </c>
      <c r="O14" s="68">
        <v>58.26</v>
      </c>
      <c r="P14" s="68">
        <v>19.8</v>
      </c>
      <c r="Q14" s="68">
        <v>8.69</v>
      </c>
      <c r="R14" s="68">
        <v>0.19600000000000001</v>
      </c>
      <c r="S14" s="68">
        <v>1.74</v>
      </c>
      <c r="T14" s="68">
        <v>0.1</v>
      </c>
      <c r="U14" s="68">
        <v>0.06</v>
      </c>
      <c r="V14" s="68">
        <v>1.35</v>
      </c>
      <c r="W14" s="68">
        <v>0.82399999999999995</v>
      </c>
      <c r="X14" s="68">
        <v>0.06</v>
      </c>
      <c r="Y14" s="68">
        <v>9.25</v>
      </c>
      <c r="Z14" s="68">
        <v>100.3</v>
      </c>
      <c r="AA14" s="68">
        <v>23</v>
      </c>
      <c r="AB14" s="68">
        <v>3</v>
      </c>
      <c r="AC14" s="68">
        <v>146</v>
      </c>
      <c r="AD14" s="68">
        <v>30</v>
      </c>
      <c r="AE14" s="68">
        <v>37</v>
      </c>
      <c r="AF14" s="68">
        <v>40</v>
      </c>
      <c r="AG14" s="68">
        <v>30</v>
      </c>
      <c r="AH14" s="68">
        <v>130</v>
      </c>
      <c r="AI14" s="68">
        <v>25</v>
      </c>
      <c r="AJ14" s="68">
        <v>2</v>
      </c>
      <c r="AK14" s="68">
        <v>0</v>
      </c>
      <c r="AL14" s="68">
        <v>130</v>
      </c>
      <c r="AM14" s="68">
        <v>10</v>
      </c>
      <c r="AN14" s="68">
        <f>'O.G.Chem Results'!AN14/'O.G.Chem Results'!$AN$142</f>
        <v>19.23076923076923</v>
      </c>
      <c r="AO14" s="68">
        <v>141</v>
      </c>
      <c r="AP14" s="68">
        <v>9</v>
      </c>
      <c r="AQ14" s="68" t="s">
        <v>72</v>
      </c>
      <c r="AR14" s="68" t="s">
        <v>74</v>
      </c>
      <c r="AS14" s="68" t="s">
        <v>73</v>
      </c>
      <c r="AT14" s="68">
        <v>5</v>
      </c>
      <c r="AU14" s="68" t="s">
        <v>74</v>
      </c>
      <c r="AV14" s="68">
        <v>2.5</v>
      </c>
      <c r="AW14" s="68">
        <v>266</v>
      </c>
      <c r="AX14" s="68" t="s">
        <v>75</v>
      </c>
      <c r="AY14" s="68">
        <f>'O.G.Chem Results'!AY14/'O.G.Chem Results'!AY$142</f>
        <v>115.31914893617022</v>
      </c>
      <c r="AZ14" s="68">
        <f>'O.G.Chem Results'!AZ14/'O.G.Chem Results'!AZ$142</f>
        <v>113.39522546419097</v>
      </c>
      <c r="BA14" s="68">
        <f>'O.G.Chem Results'!BA14/'O.G.Chem Results'!BA$142</f>
        <v>74.9719416386083</v>
      </c>
      <c r="BB14" s="68">
        <f>'O.G.Chem Results'!BB14/'O.G.Chem Results'!BB$142</f>
        <v>57.029177718832898</v>
      </c>
      <c r="BC14" s="68">
        <f>'O.G.Chem Results'!BC14/'O.G.Chem Results'!BC$142</f>
        <v>36.029911624745075</v>
      </c>
      <c r="BD14" s="68">
        <f>'O.G.Chem Results'!BD14/'O.G.Chem Results'!BD$142</f>
        <v>25.357142857142854</v>
      </c>
      <c r="BE14" s="68">
        <f>'O.G.Chem Results'!BE14/'O.G.Chem Results'!BE$142</f>
        <v>31.250000000000004</v>
      </c>
      <c r="BF14" s="68">
        <f>'O.G.Chem Results'!BF14/'O.G.Chem Results'!BF$142</f>
        <v>24.793388429752067</v>
      </c>
      <c r="BG14" s="68">
        <f>'O.G.Chem Results'!BG14/'O.G.Chem Results'!BG$142</f>
        <v>21.837659662134321</v>
      </c>
      <c r="BH14" s="68">
        <f>'O.G.Chem Results'!BH14/'O.G.Chem Results'!BH$142</f>
        <v>19.784172661870503</v>
      </c>
      <c r="BI14" s="68">
        <f>'O.G.Chem Results'!BI14/'O.G.Chem Results'!BI$142</f>
        <v>19.50912523599748</v>
      </c>
      <c r="BJ14" s="68">
        <f>'O.G.Chem Results'!BJ14/'O.G.Chem Results'!BJ$142</f>
        <v>19.008264462809919</v>
      </c>
      <c r="BK14" s="68">
        <f>'O.G.Chem Results'!BK14/'O.G.Chem Results'!BK$142</f>
        <v>19.076923076923077</v>
      </c>
      <c r="BL14" s="68">
        <f>'O.G.Chem Results'!BL14/'O.G.Chem Results'!BL$142</f>
        <v>20.164609053497941</v>
      </c>
      <c r="BM14" s="68">
        <v>3.6</v>
      </c>
      <c r="BN14" s="68">
        <v>0.5</v>
      </c>
      <c r="BO14" s="68">
        <v>0</v>
      </c>
      <c r="BP14" s="68">
        <v>0.7</v>
      </c>
      <c r="BQ14" s="68">
        <v>14</v>
      </c>
      <c r="BR14" s="68">
        <v>10.6</v>
      </c>
      <c r="BS14" s="68">
        <v>1</v>
      </c>
      <c r="BT14" s="69">
        <f t="shared" si="4"/>
        <v>0.49579404775711333</v>
      </c>
      <c r="BU14" s="117">
        <f t="shared" si="5"/>
        <v>597.52669082267562</v>
      </c>
      <c r="BV14" s="48">
        <f t="shared" si="6"/>
        <v>650</v>
      </c>
      <c r="BW14" s="70">
        <f t="shared" si="7"/>
        <v>92.914124824026274</v>
      </c>
      <c r="BX14" s="69">
        <f t="shared" si="11"/>
        <v>1.5125021839609905</v>
      </c>
      <c r="BY14" s="69">
        <v>9.14</v>
      </c>
      <c r="BZ14" s="69">
        <v>0.49</v>
      </c>
      <c r="CA14" s="69">
        <v>30.82</v>
      </c>
      <c r="CB14" s="69">
        <v>7.3599999999999999E-2</v>
      </c>
      <c r="CC14" s="69">
        <v>6.4000000000000003E-3</v>
      </c>
      <c r="CD14" s="69">
        <v>0</v>
      </c>
      <c r="CE14" s="69">
        <v>0</v>
      </c>
      <c r="CF14" s="69">
        <v>0</v>
      </c>
      <c r="CG14" s="69">
        <v>0</v>
      </c>
      <c r="CH14" s="69">
        <v>1.34</v>
      </c>
      <c r="CI14" s="69">
        <v>0</v>
      </c>
      <c r="CJ14" s="69">
        <v>0</v>
      </c>
      <c r="CK14" s="69">
        <v>24.33</v>
      </c>
      <c r="CL14" s="69">
        <v>15.53</v>
      </c>
      <c r="CM14" s="69">
        <v>0.25</v>
      </c>
      <c r="CN14" s="69">
        <v>0</v>
      </c>
      <c r="CO14" s="69">
        <v>17.7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117">
        <v>99.68</v>
      </c>
      <c r="CZ14" s="283">
        <v>0.3422543031649084</v>
      </c>
      <c r="DA14" s="283">
        <v>8.173237090505275E-4</v>
      </c>
      <c r="DB14" s="283">
        <v>7.1071626873958922E-5</v>
      </c>
      <c r="DC14" s="283">
        <v>0</v>
      </c>
      <c r="DD14" s="283">
        <v>0</v>
      </c>
      <c r="DE14" s="283">
        <v>0</v>
      </c>
      <c r="DF14" s="283">
        <v>0</v>
      </c>
      <c r="DG14" s="283">
        <v>1.4880621876735148E-2</v>
      </c>
      <c r="DH14" s="283">
        <v>0</v>
      </c>
      <c r="DI14" s="283">
        <v>0</v>
      </c>
      <c r="DJ14" s="283">
        <v>0.27018323153803442</v>
      </c>
      <c r="DK14" s="283">
        <v>0.17245974458634092</v>
      </c>
      <c r="DL14" s="283">
        <v>2.7762354247640201E-3</v>
      </c>
      <c r="DM14" s="283">
        <v>0</v>
      </c>
      <c r="DN14" s="283">
        <v>0.19655746807329261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v>0</v>
      </c>
      <c r="DV14" s="283">
        <v>0</v>
      </c>
      <c r="DW14" s="283">
        <v>0</v>
      </c>
      <c r="DX14" s="69">
        <v>1</v>
      </c>
      <c r="DY14" s="70">
        <v>63.041876258913717</v>
      </c>
      <c r="DZ14" s="70">
        <v>22.378247301607512</v>
      </c>
      <c r="EA14" s="70">
        <v>1.6704902538684527</v>
      </c>
      <c r="EB14" s="70">
        <v>3.058493726986375</v>
      </c>
      <c r="EC14" s="70">
        <v>0</v>
      </c>
      <c r="ED14" s="70">
        <v>1.094375472580928</v>
      </c>
      <c r="EE14" s="70">
        <v>2.9622270192760689E-2</v>
      </c>
      <c r="EF14" s="70">
        <v>8.4023565285315949E-4</v>
      </c>
      <c r="EG14" s="70">
        <v>1.0935418942404751</v>
      </c>
      <c r="EH14" s="70">
        <v>0.42442057228879709</v>
      </c>
      <c r="EI14" s="70">
        <v>0</v>
      </c>
      <c r="EJ14" s="70">
        <v>7.2080920136681357</v>
      </c>
      <c r="EK14" s="70">
        <v>0</v>
      </c>
      <c r="EL14" s="70">
        <v>100.00000000000003</v>
      </c>
      <c r="EM14" s="69">
        <v>95.21746080182993</v>
      </c>
      <c r="EN14" s="69" t="s">
        <v>83</v>
      </c>
      <c r="EO14" s="287">
        <v>5.0042484162836014E-2</v>
      </c>
      <c r="EP14" s="257">
        <f t="shared" si="12"/>
        <v>5.004248416283601</v>
      </c>
      <c r="EQ14" s="257">
        <f t="shared" si="13"/>
        <v>69.854187860291617</v>
      </c>
      <c r="ER14" s="324">
        <f t="shared" si="14"/>
        <v>0.75378050430781696</v>
      </c>
      <c r="ES14" s="257">
        <f t="shared" si="15"/>
        <v>1.1825656539498308</v>
      </c>
      <c r="ET14">
        <f t="shared" si="8"/>
        <v>650</v>
      </c>
      <c r="EU14" s="324">
        <f t="shared" si="16"/>
        <v>0.63741112536978461</v>
      </c>
      <c r="EV14" s="39">
        <f t="shared" si="17"/>
        <v>178.2</v>
      </c>
      <c r="EW14"/>
      <c r="EX14">
        <f t="shared" si="18"/>
        <v>0.97202797202797198</v>
      </c>
      <c r="EY14"/>
      <c r="EZ14"/>
      <c r="FA14"/>
      <c r="FB14"/>
      <c r="FC14"/>
      <c r="FD14"/>
    </row>
    <row r="15" spans="1:160" s="48" customFormat="1" ht="13" customHeight="1" x14ac:dyDescent="0.2">
      <c r="A15" s="65" t="s">
        <v>84</v>
      </c>
      <c r="B15" s="66" t="s">
        <v>421</v>
      </c>
      <c r="C15" s="274">
        <f t="shared" si="9"/>
        <v>177.2</v>
      </c>
      <c r="D15" s="67">
        <v>700</v>
      </c>
      <c r="E15" s="67">
        <v>800</v>
      </c>
      <c r="F15" s="67">
        <f t="shared" si="3"/>
        <v>750</v>
      </c>
      <c r="G15" s="82" t="s">
        <v>516</v>
      </c>
      <c r="H15" s="84">
        <v>10</v>
      </c>
      <c r="I15" s="85">
        <v>5</v>
      </c>
      <c r="J15" s="85">
        <v>4</v>
      </c>
      <c r="K15" s="89">
        <f t="shared" si="10"/>
        <v>12.5</v>
      </c>
      <c r="L15" s="67">
        <v>146</v>
      </c>
      <c r="M15" s="67">
        <v>116</v>
      </c>
      <c r="N15" s="67">
        <v>79</v>
      </c>
      <c r="O15" s="68">
        <v>65.959999999999994</v>
      </c>
      <c r="P15" s="68">
        <v>17.55</v>
      </c>
      <c r="Q15" s="68">
        <v>4.63</v>
      </c>
      <c r="R15" s="68">
        <v>0.1</v>
      </c>
      <c r="S15" s="68">
        <v>1.43</v>
      </c>
      <c r="T15" s="68">
        <v>0.15</v>
      </c>
      <c r="U15" s="68">
        <v>0.12</v>
      </c>
      <c r="V15" s="68">
        <v>1.26</v>
      </c>
      <c r="W15" s="68">
        <v>0.49399999999999999</v>
      </c>
      <c r="X15" s="68">
        <v>0.04</v>
      </c>
      <c r="Y15" s="68">
        <v>7.7</v>
      </c>
      <c r="Z15" s="68">
        <v>99.43</v>
      </c>
      <c r="AA15" s="68">
        <v>9</v>
      </c>
      <c r="AB15" s="68">
        <v>3</v>
      </c>
      <c r="AC15" s="68">
        <v>80</v>
      </c>
      <c r="AD15" s="68">
        <v>0</v>
      </c>
      <c r="AE15" s="68">
        <v>23</v>
      </c>
      <c r="AF15" s="68">
        <v>30</v>
      </c>
      <c r="AG15" s="68">
        <v>20</v>
      </c>
      <c r="AH15" s="68">
        <v>120</v>
      </c>
      <c r="AI15" s="68">
        <v>22</v>
      </c>
      <c r="AJ15" s="68">
        <v>2</v>
      </c>
      <c r="AK15" s="68">
        <v>0</v>
      </c>
      <c r="AL15" s="68">
        <v>166</v>
      </c>
      <c r="AM15" s="68">
        <v>19</v>
      </c>
      <c r="AN15" s="68">
        <f>'O.G.Chem Results'!AN15/'O.G.Chem Results'!$AN$142</f>
        <v>14.743589743589743</v>
      </c>
      <c r="AO15" s="68">
        <v>169</v>
      </c>
      <c r="AP15" s="68">
        <v>6</v>
      </c>
      <c r="AQ15" s="68" t="s">
        <v>72</v>
      </c>
      <c r="AR15" s="68" t="s">
        <v>74</v>
      </c>
      <c r="AS15" s="68" t="s">
        <v>73</v>
      </c>
      <c r="AT15" s="68">
        <v>3</v>
      </c>
      <c r="AU15" s="68" t="s">
        <v>74</v>
      </c>
      <c r="AV15" s="68">
        <v>1.5</v>
      </c>
      <c r="AW15" s="68">
        <v>295</v>
      </c>
      <c r="AX15" s="68" t="s">
        <v>75</v>
      </c>
      <c r="AY15" s="68">
        <f>'O.G.Chem Results'!AY15/'O.G.Chem Results'!AY$142</f>
        <v>126.80851063829789</v>
      </c>
      <c r="AZ15" s="68">
        <f>'O.G.Chem Results'!AZ15/'O.G.Chem Results'!AZ$142</f>
        <v>115.88196286472149</v>
      </c>
      <c r="BA15" s="68">
        <f>'O.G.Chem Results'!BA15/'O.G.Chem Results'!BA$142</f>
        <v>75.98204264870931</v>
      </c>
      <c r="BB15" s="68">
        <f>'O.G.Chem Results'!BB15/'O.G.Chem Results'!BB$142</f>
        <v>55.481874447391696</v>
      </c>
      <c r="BC15" s="68">
        <f>'O.G.Chem Results'!BC15/'O.G.Chem Results'!BC$142</f>
        <v>32.630863358259688</v>
      </c>
      <c r="BD15" s="68">
        <f>'O.G.Chem Results'!BD15/'O.G.Chem Results'!BD$142</f>
        <v>21.428571428571427</v>
      </c>
      <c r="BE15" s="68">
        <f>'O.G.Chem Results'!BE15/'O.G.Chem Results'!BE$142</f>
        <v>26.136363636363637</v>
      </c>
      <c r="BF15" s="68">
        <f>'O.G.Chem Results'!BF15/'O.G.Chem Results'!BF$142</f>
        <v>19.28374655647383</v>
      </c>
      <c r="BG15" s="68">
        <f>'O.G.Chem Results'!BG15/'O.G.Chem Results'!BG$142</f>
        <v>17.305315203955502</v>
      </c>
      <c r="BH15" s="68">
        <f>'O.G.Chem Results'!BH15/'O.G.Chem Results'!BH$142</f>
        <v>14.388489208633093</v>
      </c>
      <c r="BI15" s="68">
        <f>'O.G.Chem Results'!BI15/'O.G.Chem Results'!BI$142</f>
        <v>15.103838892385147</v>
      </c>
      <c r="BJ15" s="68">
        <f>'O.G.Chem Results'!BJ15/'O.G.Chem Results'!BJ$142</f>
        <v>14.049586776859506</v>
      </c>
      <c r="BK15" s="68">
        <f>'O.G.Chem Results'!BK15/'O.G.Chem Results'!BK$142</f>
        <v>14.769230769230768</v>
      </c>
      <c r="BL15" s="68">
        <f>'O.G.Chem Results'!BL15/'O.G.Chem Results'!BL$142</f>
        <v>15.637860082304526</v>
      </c>
      <c r="BM15" s="68">
        <v>4.0999999999999996</v>
      </c>
      <c r="BN15" s="68">
        <v>0.3</v>
      </c>
      <c r="BO15" s="68">
        <v>0</v>
      </c>
      <c r="BP15" s="68">
        <v>0.6</v>
      </c>
      <c r="BQ15" s="68">
        <v>10</v>
      </c>
      <c r="BR15" s="68">
        <v>17.2</v>
      </c>
      <c r="BS15" s="68">
        <v>0.7</v>
      </c>
      <c r="BT15" s="69">
        <f t="shared" si="4"/>
        <v>0.47748871717982688</v>
      </c>
      <c r="BU15" s="117">
        <f t="shared" si="5"/>
        <v>564.88825651215745</v>
      </c>
      <c r="BV15" s="48">
        <f t="shared" si="6"/>
        <v>750</v>
      </c>
      <c r="BW15" s="70">
        <f t="shared" si="7"/>
        <v>91.981132075471692</v>
      </c>
      <c r="BX15" s="69">
        <f t="shared" si="11"/>
        <v>1.5251230267720361</v>
      </c>
      <c r="BY15" s="69">
        <v>10.38</v>
      </c>
      <c r="BZ15" s="69">
        <v>0.56000000000000005</v>
      </c>
      <c r="CA15" s="69">
        <v>33.01</v>
      </c>
      <c r="CB15" s="69">
        <v>2.76E-2</v>
      </c>
      <c r="CC15" s="69">
        <v>2.3999999999999998E-3</v>
      </c>
      <c r="CD15" s="69">
        <v>0</v>
      </c>
      <c r="CE15" s="69">
        <v>0</v>
      </c>
      <c r="CF15" s="69">
        <v>0</v>
      </c>
      <c r="CG15" s="69">
        <v>0</v>
      </c>
      <c r="CH15" s="69">
        <v>0.05</v>
      </c>
      <c r="CI15" s="69">
        <v>0</v>
      </c>
      <c r="CJ15" s="69">
        <v>0</v>
      </c>
      <c r="CK15" s="69">
        <v>23.04</v>
      </c>
      <c r="CL15" s="69">
        <v>12.83</v>
      </c>
      <c r="CM15" s="69">
        <v>0.18</v>
      </c>
      <c r="CN15" s="69">
        <v>0</v>
      </c>
      <c r="CO15" s="69">
        <v>19.920000000000002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117">
        <v>100</v>
      </c>
      <c r="CZ15" s="283">
        <v>0.3706490006737031</v>
      </c>
      <c r="DA15" s="283">
        <v>3.0990343588591958E-4</v>
      </c>
      <c r="DB15" s="283">
        <v>2.6948124859645179E-5</v>
      </c>
      <c r="DC15" s="283">
        <v>0</v>
      </c>
      <c r="DD15" s="283">
        <v>0</v>
      </c>
      <c r="DE15" s="283">
        <v>0</v>
      </c>
      <c r="DF15" s="283">
        <v>0</v>
      </c>
      <c r="DG15" s="283">
        <v>5.6141926790927469E-4</v>
      </c>
      <c r="DH15" s="283">
        <v>0</v>
      </c>
      <c r="DI15" s="283">
        <v>0</v>
      </c>
      <c r="DJ15" s="283">
        <v>0.25870199865259375</v>
      </c>
      <c r="DK15" s="283">
        <v>0.14406018414551988</v>
      </c>
      <c r="DL15" s="283">
        <v>2.0211093644733886E-3</v>
      </c>
      <c r="DM15" s="283">
        <v>0</v>
      </c>
      <c r="DN15" s="283">
        <v>0.22366943633505504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v>0</v>
      </c>
      <c r="DV15" s="283">
        <v>0</v>
      </c>
      <c r="DW15" s="283">
        <v>0</v>
      </c>
      <c r="DX15" s="69">
        <v>1</v>
      </c>
      <c r="DY15" s="70">
        <v>65.082502346267958</v>
      </c>
      <c r="DZ15" s="70">
        <v>21.380899937241107</v>
      </c>
      <c r="EA15" s="70">
        <v>0.45281160285646954</v>
      </c>
      <c r="EB15" s="70">
        <v>3.4803641634936975</v>
      </c>
      <c r="EC15" s="70">
        <v>0</v>
      </c>
      <c r="ED15" s="70">
        <v>1.2434548160553038</v>
      </c>
      <c r="EE15" s="70">
        <v>3.2666056916019898E-2</v>
      </c>
      <c r="EF15" s="70">
        <v>3.1859092412177324E-4</v>
      </c>
      <c r="EG15" s="70">
        <v>1.2293975926516061</v>
      </c>
      <c r="EH15" s="70">
        <v>0.48296262209400831</v>
      </c>
      <c r="EI15" s="70">
        <v>0</v>
      </c>
      <c r="EJ15" s="70">
        <v>6.6146222714997149</v>
      </c>
      <c r="EK15" s="70">
        <v>0</v>
      </c>
      <c r="EL15" s="70">
        <v>100</v>
      </c>
      <c r="EM15" s="69">
        <v>94.424914945708878</v>
      </c>
      <c r="EN15" s="69" t="s">
        <v>84</v>
      </c>
      <c r="EO15" s="287">
        <v>4.2464085410646002E-2</v>
      </c>
      <c r="EP15" s="257">
        <f t="shared" si="12"/>
        <v>4.2464085410646</v>
      </c>
      <c r="EQ15" s="257">
        <f t="shared" si="13"/>
        <v>64.29210667621264</v>
      </c>
      <c r="ER15" s="324">
        <f t="shared" si="14"/>
        <v>0.72926944232137914</v>
      </c>
      <c r="ES15" s="257">
        <f t="shared" si="15"/>
        <v>1.1247076369518896</v>
      </c>
      <c r="ET15">
        <f t="shared" si="8"/>
        <v>750</v>
      </c>
      <c r="EU15" s="324">
        <f t="shared" si="16"/>
        <v>0.64840801143468574</v>
      </c>
      <c r="EV15" s="39">
        <f t="shared" si="17"/>
        <v>177.2</v>
      </c>
      <c r="EW15"/>
      <c r="EX15">
        <f t="shared" si="18"/>
        <v>1.0246794871794871</v>
      </c>
      <c r="EY15"/>
      <c r="EZ15"/>
      <c r="FA15"/>
      <c r="FB15"/>
      <c r="FC15"/>
      <c r="FD15"/>
    </row>
    <row r="16" spans="1:160" s="48" customFormat="1" ht="13" customHeight="1" x14ac:dyDescent="0.2">
      <c r="A16" s="65" t="s">
        <v>140</v>
      </c>
      <c r="B16" s="66" t="s">
        <v>421</v>
      </c>
      <c r="C16" s="274">
        <f>177.9-F16/100</f>
        <v>177.85</v>
      </c>
      <c r="D16" s="67">
        <v>0</v>
      </c>
      <c r="E16" s="67">
        <v>10</v>
      </c>
      <c r="F16" s="67">
        <f t="shared" si="3"/>
        <v>5</v>
      </c>
      <c r="G16" s="82" t="s">
        <v>514</v>
      </c>
      <c r="H16" s="84">
        <v>7.5</v>
      </c>
      <c r="I16" s="85">
        <v>4</v>
      </c>
      <c r="J16" s="85">
        <v>4</v>
      </c>
      <c r="K16" s="89">
        <f t="shared" si="10"/>
        <v>7.5</v>
      </c>
      <c r="L16" s="67">
        <v>124</v>
      </c>
      <c r="M16" s="67">
        <v>89</v>
      </c>
      <c r="N16" s="67">
        <v>58</v>
      </c>
      <c r="O16" s="68">
        <v>81.3</v>
      </c>
      <c r="P16" s="68">
        <v>7.84</v>
      </c>
      <c r="Q16" s="68">
        <v>2.64</v>
      </c>
      <c r="R16" s="68">
        <v>4.7E-2</v>
      </c>
      <c r="S16" s="68">
        <v>0.13</v>
      </c>
      <c r="T16" s="68">
        <v>0.15</v>
      </c>
      <c r="U16" s="68">
        <v>7.0000000000000007E-2</v>
      </c>
      <c r="V16" s="68">
        <v>0.61</v>
      </c>
      <c r="W16" s="68">
        <v>0.38100000000000001</v>
      </c>
      <c r="X16" s="68">
        <v>0.13</v>
      </c>
      <c r="Y16" s="68">
        <v>6.34</v>
      </c>
      <c r="Z16" s="68">
        <v>99.64</v>
      </c>
      <c r="AA16" s="68">
        <v>4</v>
      </c>
      <c r="AB16" s="68">
        <v>0</v>
      </c>
      <c r="AC16" s="68">
        <v>41</v>
      </c>
      <c r="AD16" s="68">
        <v>20</v>
      </c>
      <c r="AE16" s="68">
        <v>4</v>
      </c>
      <c r="AF16" s="68">
        <v>0</v>
      </c>
      <c r="AG16" s="68">
        <v>20</v>
      </c>
      <c r="AH16" s="68">
        <v>0</v>
      </c>
      <c r="AI16" s="68">
        <v>9</v>
      </c>
      <c r="AJ16" s="68">
        <v>0</v>
      </c>
      <c r="AK16" s="68">
        <v>0</v>
      </c>
      <c r="AL16" s="68">
        <v>29</v>
      </c>
      <c r="AM16" s="68">
        <v>26</v>
      </c>
      <c r="AN16" s="68">
        <f>'O.G.Chem Results'!AN16/'O.G.Chem Results'!$AN$142</f>
        <v>6.4102564102564097</v>
      </c>
      <c r="AO16" s="68">
        <v>326</v>
      </c>
      <c r="AP16" s="68">
        <v>5</v>
      </c>
      <c r="AQ16" s="68" t="s">
        <v>72</v>
      </c>
      <c r="AR16" s="68">
        <v>1.1000000000000001</v>
      </c>
      <c r="AS16" s="68" t="s">
        <v>73</v>
      </c>
      <c r="AT16" s="68">
        <v>1</v>
      </c>
      <c r="AU16" s="68">
        <v>0.5</v>
      </c>
      <c r="AV16" s="68">
        <v>1.2</v>
      </c>
      <c r="AW16" s="68">
        <v>181</v>
      </c>
      <c r="AX16" s="68" t="s">
        <v>75</v>
      </c>
      <c r="AY16" s="68">
        <f>'O.G.Chem Results'!AY16/'O.G.Chem Results'!AY$142</f>
        <v>52.340425531914903</v>
      </c>
      <c r="AZ16" s="68">
        <f>'O.G.Chem Results'!AZ16/'O.G.Chem Results'!AZ$142</f>
        <v>55.868700265251988</v>
      </c>
      <c r="BA16" s="68">
        <f>'O.G.Chem Results'!BA16/'O.G.Chem Results'!BA$142</f>
        <v>34.455667789001119</v>
      </c>
      <c r="BB16" s="68">
        <f>'O.G.Chem Results'!BB16/'O.G.Chem Results'!BB$142</f>
        <v>25.641025641025642</v>
      </c>
      <c r="BC16" s="68">
        <f>'O.G.Chem Results'!BC16/'O.G.Chem Results'!BC$142</f>
        <v>14.955812372535693</v>
      </c>
      <c r="BD16" s="68">
        <f>'O.G.Chem Results'!BD16/'O.G.Chem Results'!BD$142</f>
        <v>9.8214285714285712</v>
      </c>
      <c r="BE16" s="68">
        <f>'O.G.Chem Results'!BE16/'O.G.Chem Results'!BE$142</f>
        <v>11.363636363636365</v>
      </c>
      <c r="BF16" s="68">
        <f>'O.G.Chem Results'!BF16/'O.G.Chem Results'!BF$142</f>
        <v>8.2644628099173545</v>
      </c>
      <c r="BG16" s="68">
        <f>'O.G.Chem Results'!BG16/'O.G.Chem Results'!BG$142</f>
        <v>7.8285949732179638</v>
      </c>
      <c r="BH16" s="68">
        <f>'O.G.Chem Results'!BH16/'O.G.Chem Results'!BH$142</f>
        <v>7.1942446043165464</v>
      </c>
      <c r="BI16" s="68">
        <f>'O.G.Chem Results'!BI16/'O.G.Chem Results'!BI$142</f>
        <v>6.9225928256765261</v>
      </c>
      <c r="BJ16" s="68">
        <f>'O.G.Chem Results'!BJ16/'O.G.Chem Results'!BJ$142</f>
        <v>7.0247933884297531</v>
      </c>
      <c r="BK16" s="68">
        <f>'O.G.Chem Results'!BK16/'O.G.Chem Results'!BK$142</f>
        <v>7.3846153846153841</v>
      </c>
      <c r="BL16" s="68">
        <f>'O.G.Chem Results'!BL16/'O.G.Chem Results'!BL$142</f>
        <v>8.2304526748971192</v>
      </c>
      <c r="BM16" s="68">
        <v>7.3</v>
      </c>
      <c r="BN16" s="68">
        <v>0.4</v>
      </c>
      <c r="BO16" s="68">
        <v>0</v>
      </c>
      <c r="BP16" s="68">
        <v>0</v>
      </c>
      <c r="BQ16" s="68">
        <v>787</v>
      </c>
      <c r="BR16" s="68">
        <v>5.8</v>
      </c>
      <c r="BS16" s="68">
        <v>2</v>
      </c>
      <c r="BT16" s="69">
        <f t="shared" si="4"/>
        <v>0.51630303686193102</v>
      </c>
      <c r="BU16" s="117">
        <f t="shared" si="5"/>
        <v>257.2964531958649</v>
      </c>
      <c r="BV16" s="48">
        <f t="shared" si="6"/>
        <v>5</v>
      </c>
      <c r="BW16" s="70">
        <f t="shared" si="7"/>
        <v>90.426758938869668</v>
      </c>
      <c r="BX16" s="69">
        <f t="shared" si="11"/>
        <v>1.6214661868514504</v>
      </c>
      <c r="BY16" s="69">
        <v>9.59</v>
      </c>
      <c r="BZ16" s="69">
        <v>1.64</v>
      </c>
      <c r="CA16" s="69">
        <v>69.790000000000006</v>
      </c>
      <c r="CB16" s="69">
        <v>1.7756000000000001</v>
      </c>
      <c r="CC16" s="69">
        <v>0.15440000000000001</v>
      </c>
      <c r="CD16" s="69">
        <v>0</v>
      </c>
      <c r="CE16" s="69">
        <v>0</v>
      </c>
      <c r="CF16" s="69">
        <v>0</v>
      </c>
      <c r="CG16" s="69">
        <v>0.74</v>
      </c>
      <c r="CH16" s="69">
        <v>0.32</v>
      </c>
      <c r="CI16" s="69">
        <v>0.22</v>
      </c>
      <c r="CJ16" s="69">
        <v>0.01</v>
      </c>
      <c r="CK16" s="69">
        <v>4.95</v>
      </c>
      <c r="CL16" s="69">
        <v>9.35</v>
      </c>
      <c r="CM16" s="69">
        <v>1.44</v>
      </c>
      <c r="CN16" s="69">
        <v>0</v>
      </c>
      <c r="CO16" s="69">
        <v>0.02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117">
        <v>99.999999999999986</v>
      </c>
      <c r="CZ16" s="283">
        <v>0.78618902782471578</v>
      </c>
      <c r="DA16" s="283">
        <v>2.0002253013405434E-2</v>
      </c>
      <c r="DB16" s="283">
        <v>1.7393263489917769E-3</v>
      </c>
      <c r="DC16" s="283">
        <v>0</v>
      </c>
      <c r="DD16" s="283">
        <v>0</v>
      </c>
      <c r="DE16" s="283">
        <v>0</v>
      </c>
      <c r="DF16" s="283">
        <v>8.3361496000901227E-3</v>
      </c>
      <c r="DG16" s="283">
        <v>3.6048214486876207E-3</v>
      </c>
      <c r="DH16" s="283">
        <v>2.478314745972739E-3</v>
      </c>
      <c r="DI16" s="283">
        <v>1.1265067027148815E-4</v>
      </c>
      <c r="DJ16" s="283">
        <v>5.576208178438663E-2</v>
      </c>
      <c r="DK16" s="283">
        <v>0.1053283767038414</v>
      </c>
      <c r="DL16" s="283">
        <v>1.6221696519094293E-2</v>
      </c>
      <c r="DM16" s="283">
        <v>0</v>
      </c>
      <c r="DN16" s="283">
        <v>2.2530134054297629E-4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v>0</v>
      </c>
      <c r="DV16" s="283">
        <v>0</v>
      </c>
      <c r="DW16" s="283">
        <v>0</v>
      </c>
      <c r="DX16" s="69">
        <v>1</v>
      </c>
      <c r="DY16" s="70">
        <v>88.169146657594567</v>
      </c>
      <c r="DZ16" s="70">
        <v>7.5244891007406585</v>
      </c>
      <c r="EA16" s="70">
        <v>1.2842048278390807</v>
      </c>
      <c r="EB16" s="70">
        <v>3.5057570871607278E-3</v>
      </c>
      <c r="EC16" s="70">
        <v>0</v>
      </c>
      <c r="ED16" s="70">
        <v>3.0398767498228205E-2</v>
      </c>
      <c r="EE16" s="70">
        <v>1.8311602124697884E-2</v>
      </c>
      <c r="EF16" s="70">
        <v>2.0562973927156437E-2</v>
      </c>
      <c r="EG16" s="70">
        <v>0.40368692684997287</v>
      </c>
      <c r="EH16" s="70">
        <v>4.8648634329695022E-4</v>
      </c>
      <c r="EI16" s="70">
        <v>0</v>
      </c>
      <c r="EJ16" s="70">
        <v>2.5398303046400748</v>
      </c>
      <c r="EK16" s="70">
        <v>5.3765953551350807E-3</v>
      </c>
      <c r="EL16" s="70">
        <v>100.00000000000004</v>
      </c>
      <c r="EM16" s="69">
        <v>94.445102398377003</v>
      </c>
      <c r="EN16" s="69" t="s">
        <v>140</v>
      </c>
      <c r="EO16" s="287">
        <v>1.2880261030640858E-2</v>
      </c>
      <c r="EP16" s="257">
        <f t="shared" si="12"/>
        <v>1.2880261030640858</v>
      </c>
      <c r="EQ16" s="257">
        <f t="shared" si="13"/>
        <v>88.876212207644031</v>
      </c>
      <c r="ER16" s="324">
        <f t="shared" si="14"/>
        <v>0.74632479349238956</v>
      </c>
      <c r="ES16" s="257">
        <f t="shared" si="15"/>
        <v>1.2860933638589278</v>
      </c>
      <c r="ET16">
        <f t="shared" si="8"/>
        <v>5</v>
      </c>
      <c r="EU16" s="324">
        <f t="shared" si="16"/>
        <v>0.58030374346465741</v>
      </c>
      <c r="EV16" s="39">
        <f t="shared" si="17"/>
        <v>177.85</v>
      </c>
      <c r="EW16"/>
      <c r="EX16">
        <f t="shared" si="18"/>
        <v>0.89102564102564097</v>
      </c>
      <c r="EY16"/>
      <c r="EZ16" s="324">
        <f>AVERAGE(ER16:ER26)</f>
        <v>0.75900820333510632</v>
      </c>
      <c r="FA16" s="260" t="s">
        <v>663</v>
      </c>
      <c r="FB16"/>
      <c r="FC16"/>
      <c r="FD16"/>
    </row>
    <row r="17" spans="1:160" s="48" customFormat="1" ht="13" customHeight="1" x14ac:dyDescent="0.2">
      <c r="A17" s="65" t="s">
        <v>141</v>
      </c>
      <c r="B17" s="66" t="s">
        <v>421</v>
      </c>
      <c r="C17" s="274">
        <f t="shared" ref="C17:C26" si="19">177.9-F17/100</f>
        <v>177.76000000000002</v>
      </c>
      <c r="D17" s="67">
        <v>10</v>
      </c>
      <c r="E17" s="67">
        <v>18</v>
      </c>
      <c r="F17" s="67">
        <f t="shared" si="3"/>
        <v>14</v>
      </c>
      <c r="G17" s="82" t="s">
        <v>506</v>
      </c>
      <c r="H17" s="84">
        <v>5</v>
      </c>
      <c r="I17" s="85">
        <v>4</v>
      </c>
      <c r="J17" s="85">
        <v>6</v>
      </c>
      <c r="K17" s="89">
        <f t="shared" si="10"/>
        <v>3.3333333333333335</v>
      </c>
      <c r="L17" s="67">
        <v>136</v>
      </c>
      <c r="M17" s="67">
        <v>83</v>
      </c>
      <c r="N17" s="67">
        <v>47</v>
      </c>
      <c r="O17" s="68">
        <v>81.63</v>
      </c>
      <c r="P17" s="68">
        <v>7.87</v>
      </c>
      <c r="Q17" s="68">
        <v>2.64</v>
      </c>
      <c r="R17" s="68">
        <v>5.5E-2</v>
      </c>
      <c r="S17" s="68">
        <v>0.13</v>
      </c>
      <c r="T17" s="68">
        <v>0.12</v>
      </c>
      <c r="U17" s="68">
        <v>0.12</v>
      </c>
      <c r="V17" s="68">
        <v>0.62</v>
      </c>
      <c r="W17" s="68">
        <v>0.36499999999999999</v>
      </c>
      <c r="X17" s="68">
        <v>0.1</v>
      </c>
      <c r="Y17" s="68">
        <v>5.75</v>
      </c>
      <c r="Z17" s="68">
        <v>99.4</v>
      </c>
      <c r="AA17" s="68">
        <v>4</v>
      </c>
      <c r="AB17" s="68">
        <v>0</v>
      </c>
      <c r="AC17" s="68">
        <v>43</v>
      </c>
      <c r="AD17" s="68">
        <v>30</v>
      </c>
      <c r="AE17" s="68">
        <v>5</v>
      </c>
      <c r="AF17" s="68">
        <v>0</v>
      </c>
      <c r="AG17" s="68">
        <v>40</v>
      </c>
      <c r="AH17" s="68">
        <v>0</v>
      </c>
      <c r="AI17" s="68">
        <v>10</v>
      </c>
      <c r="AJ17" s="68">
        <v>0</v>
      </c>
      <c r="AK17" s="68">
        <v>0</v>
      </c>
      <c r="AL17" s="68">
        <v>31</v>
      </c>
      <c r="AM17" s="68">
        <v>26</v>
      </c>
      <c r="AN17" s="68">
        <f>'O.G.Chem Results'!AN17/'O.G.Chem Results'!$AN$142</f>
        <v>6.4102564102564097</v>
      </c>
      <c r="AO17" s="68">
        <v>368</v>
      </c>
      <c r="AP17" s="68">
        <v>5</v>
      </c>
      <c r="AQ17" s="68" t="s">
        <v>72</v>
      </c>
      <c r="AR17" s="68">
        <v>1.5</v>
      </c>
      <c r="AS17" s="68" t="s">
        <v>73</v>
      </c>
      <c r="AT17" s="68">
        <v>1</v>
      </c>
      <c r="AU17" s="68">
        <v>1.5</v>
      </c>
      <c r="AV17" s="68">
        <v>1.2</v>
      </c>
      <c r="AW17" s="68">
        <v>180</v>
      </c>
      <c r="AX17" s="68" t="s">
        <v>75</v>
      </c>
      <c r="AY17" s="68">
        <f>'O.G.Chem Results'!AY17/'O.G.Chem Results'!AY$142</f>
        <v>57.872340425531917</v>
      </c>
      <c r="AZ17" s="68">
        <f>'O.G.Chem Results'!AZ17/'O.G.Chem Results'!AZ$142</f>
        <v>61.671087533156495</v>
      </c>
      <c r="BA17" s="68">
        <f>'O.G.Chem Results'!BA17/'O.G.Chem Results'!BA$142</f>
        <v>37.48597081930415</v>
      </c>
      <c r="BB17" s="68">
        <f>'O.G.Chem Results'!BB17/'O.G.Chem Results'!BB$142</f>
        <v>27.409372236958447</v>
      </c>
      <c r="BC17" s="68">
        <f>'O.G.Chem Results'!BC17/'O.G.Chem Results'!BC$142</f>
        <v>16.995241332426922</v>
      </c>
      <c r="BD17" s="68">
        <f>'O.G.Chem Results'!BD17/'O.G.Chem Results'!BD$142</f>
        <v>10</v>
      </c>
      <c r="BE17" s="68">
        <f>'O.G.Chem Results'!BE17/'O.G.Chem Results'!BE$142</f>
        <v>12.500000000000002</v>
      </c>
      <c r="BF17" s="68">
        <f>'O.G.Chem Results'!BF17/'O.G.Chem Results'!BF$142</f>
        <v>8.2644628099173545</v>
      </c>
      <c r="BG17" s="68">
        <f>'O.G.Chem Results'!BG17/'O.G.Chem Results'!BG$142</f>
        <v>7.8285949732179638</v>
      </c>
      <c r="BH17" s="68">
        <f>'O.G.Chem Results'!BH17/'O.G.Chem Results'!BH$142</f>
        <v>7.1942446043165464</v>
      </c>
      <c r="BI17" s="68">
        <f>'O.G.Chem Results'!BI17/'O.G.Chem Results'!BI$142</f>
        <v>7.5519194461925734</v>
      </c>
      <c r="BJ17" s="68">
        <f>'O.G.Chem Results'!BJ17/'O.G.Chem Results'!BJ$142</f>
        <v>7.8512396694214877</v>
      </c>
      <c r="BK17" s="68">
        <f>'O.G.Chem Results'!BK17/'O.G.Chem Results'!BK$142</f>
        <v>8</v>
      </c>
      <c r="BL17" s="68">
        <f>'O.G.Chem Results'!BL17/'O.G.Chem Results'!BL$142</f>
        <v>8.6419753086419746</v>
      </c>
      <c r="BM17" s="68">
        <v>8.6</v>
      </c>
      <c r="BN17" s="68">
        <v>0.4</v>
      </c>
      <c r="BO17" s="68">
        <v>0</v>
      </c>
      <c r="BP17" s="68">
        <v>0</v>
      </c>
      <c r="BQ17" s="68">
        <v>2110</v>
      </c>
      <c r="BR17" s="68">
        <v>6</v>
      </c>
      <c r="BS17" s="68">
        <v>2.1</v>
      </c>
      <c r="BT17" s="69">
        <f t="shared" si="4"/>
        <v>0.51588856523730164</v>
      </c>
      <c r="BU17" s="117">
        <f t="shared" si="5"/>
        <v>279.26644915908582</v>
      </c>
      <c r="BV17" s="48">
        <f t="shared" si="6"/>
        <v>14</v>
      </c>
      <c r="BW17" s="70">
        <f t="shared" si="7"/>
        <v>90.148911798396355</v>
      </c>
      <c r="BX17" s="69">
        <f t="shared" si="11"/>
        <v>1.6451778141330071</v>
      </c>
      <c r="BY17" s="69">
        <v>10.24</v>
      </c>
      <c r="BZ17" s="69">
        <v>2.02</v>
      </c>
      <c r="CA17" s="69">
        <v>67.44</v>
      </c>
      <c r="CB17" s="69">
        <v>2.6036000000000001</v>
      </c>
      <c r="CC17" s="69">
        <v>0.22640000000000002</v>
      </c>
      <c r="CD17" s="69">
        <v>0</v>
      </c>
      <c r="CE17" s="69">
        <v>0</v>
      </c>
      <c r="CF17" s="69">
        <v>0</v>
      </c>
      <c r="CG17" s="69">
        <v>0.82</v>
      </c>
      <c r="CH17" s="69">
        <v>0.27</v>
      </c>
      <c r="CI17" s="69">
        <v>0.14000000000000001</v>
      </c>
      <c r="CJ17" s="69">
        <v>0</v>
      </c>
      <c r="CK17" s="69">
        <v>5.54</v>
      </c>
      <c r="CL17" s="69">
        <v>9.41</v>
      </c>
      <c r="CM17" s="69">
        <v>1.28</v>
      </c>
      <c r="CN17" s="69">
        <v>0</v>
      </c>
      <c r="CO17" s="69">
        <v>0.02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117">
        <v>100.00999999999999</v>
      </c>
      <c r="CZ17" s="283">
        <v>0.76854700854700864</v>
      </c>
      <c r="DA17" s="283">
        <v>2.9670655270655277E-2</v>
      </c>
      <c r="DB17" s="283">
        <v>2.5800569800569807E-3</v>
      </c>
      <c r="DC17" s="283">
        <v>0</v>
      </c>
      <c r="DD17" s="283">
        <v>0</v>
      </c>
      <c r="DE17" s="283">
        <v>0</v>
      </c>
      <c r="DF17" s="283">
        <v>9.3447293447293453E-3</v>
      </c>
      <c r="DG17" s="283">
        <v>3.0769230769230778E-3</v>
      </c>
      <c r="DH17" s="283">
        <v>1.5954415954415959E-3</v>
      </c>
      <c r="DI17" s="283">
        <v>0</v>
      </c>
      <c r="DJ17" s="283">
        <v>6.3133903133903144E-2</v>
      </c>
      <c r="DK17" s="283">
        <v>0.10723646723646725</v>
      </c>
      <c r="DL17" s="283">
        <v>1.458689458689459E-2</v>
      </c>
      <c r="DM17" s="283">
        <v>0</v>
      </c>
      <c r="DN17" s="283">
        <v>2.2792022792022797E-4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v>0</v>
      </c>
      <c r="DV17" s="283">
        <v>0</v>
      </c>
      <c r="DW17" s="283">
        <v>0</v>
      </c>
      <c r="DX17" s="69">
        <v>1</v>
      </c>
      <c r="DY17" s="70">
        <v>87.453867417357799</v>
      </c>
      <c r="DZ17" s="70">
        <v>7.9509323221552419</v>
      </c>
      <c r="EA17" s="70">
        <v>1.3458771726302976</v>
      </c>
      <c r="EB17" s="70">
        <v>3.5465077678319972E-3</v>
      </c>
      <c r="EC17" s="70">
        <v>0</v>
      </c>
      <c r="ED17" s="70">
        <v>2.5261534058853761E-2</v>
      </c>
      <c r="EE17" s="70">
        <v>1.3388727412107396E-2</v>
      </c>
      <c r="EF17" s="70">
        <v>3.0502409419740525E-2</v>
      </c>
      <c r="EG17" s="70">
        <v>0.56089492728463564</v>
      </c>
      <c r="EH17" s="70">
        <v>4.9214122728741044E-4</v>
      </c>
      <c r="EI17" s="70">
        <v>0</v>
      </c>
      <c r="EJ17" s="70">
        <v>2.6152368406862183</v>
      </c>
      <c r="EK17" s="70">
        <v>0</v>
      </c>
      <c r="EL17" s="70">
        <v>100.00000000000003</v>
      </c>
      <c r="EM17" s="69">
        <v>92.931206512279473</v>
      </c>
      <c r="EN17" s="69" t="s">
        <v>141</v>
      </c>
      <c r="EO17" s="287">
        <v>1.3497428660972345E-2</v>
      </c>
      <c r="EP17" s="257">
        <f t="shared" si="12"/>
        <v>1.3497428660972346</v>
      </c>
      <c r="EQ17" s="257">
        <f t="shared" si="13"/>
        <v>85.023646873357848</v>
      </c>
      <c r="ER17" s="324">
        <f t="shared" si="14"/>
        <v>0.67807548256986461</v>
      </c>
      <c r="ES17" s="257">
        <f t="shared" si="15"/>
        <v>1.2924067367181626</v>
      </c>
      <c r="ET17">
        <f t="shared" si="8"/>
        <v>14</v>
      </c>
      <c r="EU17" s="324">
        <f t="shared" si="16"/>
        <v>0.52466105545976716</v>
      </c>
      <c r="EV17" s="39">
        <f t="shared" si="17"/>
        <v>177.76000000000002</v>
      </c>
      <c r="EW17"/>
      <c r="EX17">
        <f t="shared" si="18"/>
        <v>0.89102564102564097</v>
      </c>
      <c r="EY17"/>
      <c r="EZ17"/>
      <c r="FA17"/>
      <c r="FB17"/>
      <c r="FC17"/>
      <c r="FD17"/>
    </row>
    <row r="18" spans="1:160" s="48" customFormat="1" ht="13" customHeight="1" x14ac:dyDescent="0.2">
      <c r="A18" s="65" t="s">
        <v>142</v>
      </c>
      <c r="B18" s="66" t="s">
        <v>421</v>
      </c>
      <c r="C18" s="274">
        <f t="shared" si="19"/>
        <v>177.52</v>
      </c>
      <c r="D18" s="67">
        <v>18</v>
      </c>
      <c r="E18" s="67">
        <v>58</v>
      </c>
      <c r="F18" s="67">
        <f t="shared" si="3"/>
        <v>38</v>
      </c>
      <c r="G18" s="82" t="s">
        <v>517</v>
      </c>
      <c r="H18" s="84">
        <v>5</v>
      </c>
      <c r="I18" s="85">
        <v>5</v>
      </c>
      <c r="J18" s="85">
        <v>6</v>
      </c>
      <c r="K18" s="89">
        <f t="shared" si="10"/>
        <v>4.166666666666667</v>
      </c>
      <c r="L18" s="67">
        <v>164</v>
      </c>
      <c r="M18" s="67">
        <v>109</v>
      </c>
      <c r="N18" s="67">
        <v>70</v>
      </c>
      <c r="O18" s="68">
        <v>66.11</v>
      </c>
      <c r="P18" s="68">
        <v>17.010000000000002</v>
      </c>
      <c r="Q18" s="68">
        <v>5.59</v>
      </c>
      <c r="R18" s="68">
        <v>2.8000000000000001E-2</v>
      </c>
      <c r="S18" s="68">
        <v>0.15</v>
      </c>
      <c r="T18" s="68">
        <v>0.06</v>
      </c>
      <c r="U18" s="68">
        <v>0.06</v>
      </c>
      <c r="V18" s="68">
        <v>0.51</v>
      </c>
      <c r="W18" s="68">
        <v>0.629</v>
      </c>
      <c r="X18" s="68">
        <v>0.05</v>
      </c>
      <c r="Y18" s="68">
        <v>8.7100000000000009</v>
      </c>
      <c r="Z18" s="68">
        <v>98.91</v>
      </c>
      <c r="AA18" s="68">
        <v>11</v>
      </c>
      <c r="AB18" s="68">
        <v>1</v>
      </c>
      <c r="AC18" s="68">
        <v>94</v>
      </c>
      <c r="AD18" s="68">
        <v>30</v>
      </c>
      <c r="AE18" s="68">
        <v>5</v>
      </c>
      <c r="AF18" s="68">
        <v>0</v>
      </c>
      <c r="AG18" s="68">
        <v>30</v>
      </c>
      <c r="AH18" s="68">
        <v>40</v>
      </c>
      <c r="AI18" s="68">
        <v>20</v>
      </c>
      <c r="AJ18" s="68">
        <v>0</v>
      </c>
      <c r="AK18" s="68">
        <v>0</v>
      </c>
      <c r="AL18" s="68">
        <v>38</v>
      </c>
      <c r="AM18" s="68">
        <v>21</v>
      </c>
      <c r="AN18" s="68">
        <f>'O.G.Chem Results'!AN18/'O.G.Chem Results'!$AN$142</f>
        <v>4.4871794871794872</v>
      </c>
      <c r="AO18" s="68">
        <v>303</v>
      </c>
      <c r="AP18" s="68">
        <v>9</v>
      </c>
      <c r="AQ18" s="68" t="s">
        <v>72</v>
      </c>
      <c r="AR18" s="68">
        <v>0.9</v>
      </c>
      <c r="AS18" s="68" t="s">
        <v>73</v>
      </c>
      <c r="AT18" s="68">
        <v>2</v>
      </c>
      <c r="AU18" s="68" t="s">
        <v>74</v>
      </c>
      <c r="AV18" s="68">
        <v>2.2000000000000002</v>
      </c>
      <c r="AW18" s="68">
        <v>153</v>
      </c>
      <c r="AX18" s="68" t="s">
        <v>75</v>
      </c>
      <c r="AY18" s="68">
        <f>'O.G.Chem Results'!AY18/'O.G.Chem Results'!AY$142</f>
        <v>43.829787234042556</v>
      </c>
      <c r="AZ18" s="68">
        <f>'O.G.Chem Results'!AZ18/'O.G.Chem Results'!AZ$142</f>
        <v>43.269230769230766</v>
      </c>
      <c r="BA18" s="68">
        <f>'O.G.Chem Results'!BA18/'O.G.Chem Results'!BA$142</f>
        <v>27.160493827160494</v>
      </c>
      <c r="BB18" s="68">
        <f>'O.G.Chem Results'!BB18/'O.G.Chem Results'!BB$142</f>
        <v>20.557029177718835</v>
      </c>
      <c r="BC18" s="68">
        <f>'O.G.Chem Results'!BC18/'O.G.Chem Results'!BC$142</f>
        <v>12.236573759347385</v>
      </c>
      <c r="BD18" s="68">
        <f>'O.G.Chem Results'!BD18/'O.G.Chem Results'!BD$142</f>
        <v>6.9642857142857144</v>
      </c>
      <c r="BE18" s="68">
        <f>'O.G.Chem Results'!BE18/'O.G.Chem Results'!BE$142</f>
        <v>9.0909090909090917</v>
      </c>
      <c r="BF18" s="68">
        <f>'O.G.Chem Results'!BF18/'O.G.Chem Results'!BF$142</f>
        <v>5.5096418732782375</v>
      </c>
      <c r="BG18" s="68">
        <f>'O.G.Chem Results'!BG18/'O.G.Chem Results'!BG$142</f>
        <v>6.1804697156983934</v>
      </c>
      <c r="BH18" s="68">
        <f>'O.G.Chem Results'!BH18/'O.G.Chem Results'!BH$142</f>
        <v>5.3956834532374094</v>
      </c>
      <c r="BI18" s="68">
        <f>'O.G.Chem Results'!BI18/'O.G.Chem Results'!BI$142</f>
        <v>6.293266205160478</v>
      </c>
      <c r="BJ18" s="68">
        <f>'O.G.Chem Results'!BJ18/'O.G.Chem Results'!BJ$142</f>
        <v>6.1983471074380168</v>
      </c>
      <c r="BK18" s="68">
        <f>'O.G.Chem Results'!BK18/'O.G.Chem Results'!BK$142</f>
        <v>6.7692307692307692</v>
      </c>
      <c r="BL18" s="68">
        <f>'O.G.Chem Results'!BL18/'O.G.Chem Results'!BL$142</f>
        <v>6.9958847736625511</v>
      </c>
      <c r="BM18" s="68">
        <v>6.9</v>
      </c>
      <c r="BN18" s="68">
        <v>0.6</v>
      </c>
      <c r="BO18" s="68">
        <v>0</v>
      </c>
      <c r="BP18" s="68">
        <v>0.1</v>
      </c>
      <c r="BQ18" s="68">
        <v>36</v>
      </c>
      <c r="BR18" s="68">
        <v>9.9</v>
      </c>
      <c r="BS18" s="68">
        <v>2.1</v>
      </c>
      <c r="BT18" s="69">
        <f t="shared" si="4"/>
        <v>0.49678207356602616</v>
      </c>
      <c r="BU18" s="117">
        <f t="shared" si="5"/>
        <v>206.45083347040071</v>
      </c>
      <c r="BV18" s="48">
        <f t="shared" si="6"/>
        <v>38</v>
      </c>
      <c r="BW18" s="70">
        <f t="shared" si="7"/>
        <v>96.428571428571445</v>
      </c>
      <c r="BX18" s="69">
        <f t="shared" si="11"/>
        <v>1.5930944055944054</v>
      </c>
      <c r="BY18" s="69">
        <v>9.25</v>
      </c>
      <c r="BZ18" s="69">
        <v>1.81</v>
      </c>
      <c r="CA18" s="69">
        <v>43.18</v>
      </c>
      <c r="CB18" s="69">
        <v>1.978</v>
      </c>
      <c r="CC18" s="69">
        <v>0.17199999999999999</v>
      </c>
      <c r="CD18" s="69">
        <v>0</v>
      </c>
      <c r="CE18" s="69">
        <v>0</v>
      </c>
      <c r="CF18" s="69">
        <v>0</v>
      </c>
      <c r="CG18" s="69">
        <v>1.04</v>
      </c>
      <c r="CH18" s="69">
        <v>0.35</v>
      </c>
      <c r="CI18" s="69">
        <v>0</v>
      </c>
      <c r="CJ18" s="69">
        <v>0</v>
      </c>
      <c r="CK18" s="69">
        <v>13.84</v>
      </c>
      <c r="CL18" s="69">
        <v>24.66</v>
      </c>
      <c r="CM18" s="69">
        <v>3.44</v>
      </c>
      <c r="CN18" s="69">
        <v>0</v>
      </c>
      <c r="CO18" s="69">
        <v>0.27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117">
        <v>99.99</v>
      </c>
      <c r="CZ18" s="283">
        <v>0.48555043292477235</v>
      </c>
      <c r="DA18" s="283">
        <v>2.2242212976498373E-2</v>
      </c>
      <c r="DB18" s="283">
        <v>1.9341054762172494E-3</v>
      </c>
      <c r="DC18" s="283">
        <v>0</v>
      </c>
      <c r="DD18" s="283">
        <v>0</v>
      </c>
      <c r="DE18" s="283">
        <v>0</v>
      </c>
      <c r="DF18" s="283">
        <v>1.1694591251546161E-2</v>
      </c>
      <c r="DG18" s="283">
        <v>3.9356797481164959E-3</v>
      </c>
      <c r="DH18" s="283">
        <v>0</v>
      </c>
      <c r="DI18" s="283">
        <v>0</v>
      </c>
      <c r="DJ18" s="283">
        <v>0.15562802203980661</v>
      </c>
      <c r="DK18" s="283">
        <v>0.27729675025300798</v>
      </c>
      <c r="DL18" s="283">
        <v>3.868210952434499E-2</v>
      </c>
      <c r="DM18" s="283">
        <v>0</v>
      </c>
      <c r="DN18" s="283">
        <v>3.0360958056898689E-3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v>0</v>
      </c>
      <c r="DV18" s="283">
        <v>0</v>
      </c>
      <c r="DW18" s="283">
        <v>0</v>
      </c>
      <c r="DX18" s="69">
        <v>1</v>
      </c>
      <c r="DY18" s="70">
        <v>71.89601913370889</v>
      </c>
      <c r="DZ18" s="70">
        <v>18.983480815718035</v>
      </c>
      <c r="EA18" s="70">
        <v>1.8891902849051136</v>
      </c>
      <c r="EB18" s="70">
        <v>4.7242570161565058E-2</v>
      </c>
      <c r="EC18" s="70">
        <v>0</v>
      </c>
      <c r="ED18" s="70">
        <v>8.0471978932889293E-2</v>
      </c>
      <c r="EE18" s="70">
        <v>3.5839779667344848E-2</v>
      </c>
      <c r="EF18" s="70">
        <v>2.2865726436490506E-2</v>
      </c>
      <c r="EG18" s="70">
        <v>0.5453938867193836</v>
      </c>
      <c r="EH18" s="70">
        <v>6.5557494813375528E-3</v>
      </c>
      <c r="EI18" s="70">
        <v>0</v>
      </c>
      <c r="EJ18" s="70">
        <v>6.4929400742689696</v>
      </c>
      <c r="EK18" s="70">
        <v>0</v>
      </c>
      <c r="EL18" s="70">
        <v>100.00000000000003</v>
      </c>
      <c r="EM18" s="69">
        <v>96.915905964945068</v>
      </c>
      <c r="EN18" s="69" t="s">
        <v>142</v>
      </c>
      <c r="EO18" s="287">
        <v>1.9406846863812197E-2</v>
      </c>
      <c r="EP18" s="257">
        <f t="shared" si="12"/>
        <v>1.9406846863812197</v>
      </c>
      <c r="EQ18" s="257">
        <f t="shared" si="13"/>
        <v>94.280311982982752</v>
      </c>
      <c r="ER18" s="324">
        <f t="shared" si="14"/>
        <v>0.65308088752742466</v>
      </c>
      <c r="ES18" s="257">
        <f t="shared" si="15"/>
        <v>1.1995173377696884</v>
      </c>
      <c r="ET18">
        <f t="shared" si="8"/>
        <v>38</v>
      </c>
      <c r="EU18" s="324">
        <f t="shared" si="16"/>
        <v>0.54445306204721033</v>
      </c>
      <c r="EV18" s="39">
        <f t="shared" si="17"/>
        <v>177.52</v>
      </c>
      <c r="EW18"/>
      <c r="EX18">
        <f t="shared" si="18"/>
        <v>0.83162393162393178</v>
      </c>
      <c r="EY18"/>
      <c r="EZ18"/>
      <c r="FA18"/>
      <c r="FB18"/>
      <c r="FC18"/>
      <c r="FD18"/>
    </row>
    <row r="19" spans="1:160" s="48" customFormat="1" ht="13" customHeight="1" x14ac:dyDescent="0.2">
      <c r="A19" s="65" t="s">
        <v>143</v>
      </c>
      <c r="B19" s="66" t="s">
        <v>421</v>
      </c>
      <c r="C19" s="274">
        <f t="shared" si="19"/>
        <v>177.18</v>
      </c>
      <c r="D19" s="67">
        <v>58</v>
      </c>
      <c r="E19" s="67">
        <v>86</v>
      </c>
      <c r="F19" s="67">
        <f t="shared" si="3"/>
        <v>72</v>
      </c>
      <c r="G19" s="82" t="s">
        <v>518</v>
      </c>
      <c r="H19" s="84">
        <v>2.5</v>
      </c>
      <c r="I19" s="85">
        <v>4</v>
      </c>
      <c r="J19" s="85">
        <v>8</v>
      </c>
      <c r="K19" s="89">
        <f t="shared" si="10"/>
        <v>1.25</v>
      </c>
      <c r="L19" s="67">
        <v>150</v>
      </c>
      <c r="M19" s="67">
        <v>75</v>
      </c>
      <c r="N19" s="67">
        <v>38</v>
      </c>
      <c r="O19" s="68">
        <v>51.28</v>
      </c>
      <c r="P19" s="68">
        <v>25</v>
      </c>
      <c r="Q19" s="68">
        <v>9.64</v>
      </c>
      <c r="R19" s="68">
        <v>1.7999999999999999E-2</v>
      </c>
      <c r="S19" s="68">
        <v>0.13</v>
      </c>
      <c r="T19" s="68">
        <v>7.0000000000000007E-2</v>
      </c>
      <c r="U19" s="68">
        <v>0.04</v>
      </c>
      <c r="V19" s="68">
        <v>0.19</v>
      </c>
      <c r="W19" s="68">
        <v>0.91200000000000003</v>
      </c>
      <c r="X19" s="68">
        <v>0.05</v>
      </c>
      <c r="Y19" s="68">
        <v>12.17</v>
      </c>
      <c r="Z19" s="68">
        <v>99.49</v>
      </c>
      <c r="AA19" s="68">
        <v>21</v>
      </c>
      <c r="AB19" s="68">
        <v>2</v>
      </c>
      <c r="AC19" s="68">
        <v>158</v>
      </c>
      <c r="AD19" s="68">
        <v>30</v>
      </c>
      <c r="AE19" s="68">
        <v>4</v>
      </c>
      <c r="AF19" s="68">
        <v>0</v>
      </c>
      <c r="AG19" s="68">
        <v>40</v>
      </c>
      <c r="AH19" s="68">
        <v>40</v>
      </c>
      <c r="AI19" s="68">
        <v>28</v>
      </c>
      <c r="AJ19" s="68">
        <v>1</v>
      </c>
      <c r="AK19" s="68">
        <v>0</v>
      </c>
      <c r="AL19" s="68">
        <v>25</v>
      </c>
      <c r="AM19" s="68">
        <v>10</v>
      </c>
      <c r="AN19" s="68">
        <f>'O.G.Chem Results'!AN19/'O.G.Chem Results'!$AN$142</f>
        <v>1.9230769230769229</v>
      </c>
      <c r="AO19" s="68">
        <v>165</v>
      </c>
      <c r="AP19" s="68">
        <v>9</v>
      </c>
      <c r="AQ19" s="68" t="s">
        <v>72</v>
      </c>
      <c r="AR19" s="68" t="s">
        <v>74</v>
      </c>
      <c r="AS19" s="68" t="s">
        <v>73</v>
      </c>
      <c r="AT19" s="68">
        <v>2</v>
      </c>
      <c r="AU19" s="68" t="s">
        <v>74</v>
      </c>
      <c r="AV19" s="68">
        <v>1.8</v>
      </c>
      <c r="AW19" s="68">
        <v>48</v>
      </c>
      <c r="AX19" s="68" t="s">
        <v>75</v>
      </c>
      <c r="AY19" s="68">
        <f>'O.G.Chem Results'!AY19/'O.G.Chem Results'!AY$142</f>
        <v>26.808510638297872</v>
      </c>
      <c r="AZ19" s="68">
        <f>'O.G.Chem Results'!AZ19/'O.G.Chem Results'!AZ$142</f>
        <v>22.546419098143232</v>
      </c>
      <c r="BA19" s="68">
        <f>'O.G.Chem Results'!BA19/'O.G.Chem Results'!BA$142</f>
        <v>15.151515151515152</v>
      </c>
      <c r="BB19" s="68">
        <f>'O.G.Chem Results'!BB19/'O.G.Chem Results'!BB$142</f>
        <v>10.610079575596817</v>
      </c>
      <c r="BC19" s="68">
        <f>'O.G.Chem Results'!BC19/'O.G.Chem Results'!BC$142</f>
        <v>6.798096532970769</v>
      </c>
      <c r="BD19" s="68">
        <f>'O.G.Chem Results'!BD19/'O.G.Chem Results'!BD$142</f>
        <v>4.1071428571428577</v>
      </c>
      <c r="BE19" s="68">
        <f>'O.G.Chem Results'!BE19/'O.G.Chem Results'!BE$142</f>
        <v>3.9772727272727271</v>
      </c>
      <c r="BF19" s="68">
        <f>'O.G.Chem Results'!BF19/'O.G.Chem Results'!BF$142</f>
        <v>2.7548209366391188</v>
      </c>
      <c r="BG19" s="68">
        <f>'O.G.Chem Results'!BG19/'O.G.Chem Results'!BG$142</f>
        <v>3.296250515039143</v>
      </c>
      <c r="BH19" s="68">
        <f>'O.G.Chem Results'!BH19/'O.G.Chem Results'!BH$142</f>
        <v>3.5971223021582732</v>
      </c>
      <c r="BI19" s="68">
        <f>'O.G.Chem Results'!BI19/'O.G.Chem Results'!BI$142</f>
        <v>3.146633102580239</v>
      </c>
      <c r="BJ19" s="68">
        <f>'O.G.Chem Results'!BJ19/'O.G.Chem Results'!BJ$142</f>
        <v>3.71900826446281</v>
      </c>
      <c r="BK19" s="68">
        <f>'O.G.Chem Results'!BK19/'O.G.Chem Results'!BK$142</f>
        <v>4.3076923076923075</v>
      </c>
      <c r="BL19" s="68">
        <f>'O.G.Chem Results'!BL19/'O.G.Chem Results'!BL$142</f>
        <v>4.526748971193415</v>
      </c>
      <c r="BM19" s="68">
        <v>4</v>
      </c>
      <c r="BN19" s="68">
        <v>0.6</v>
      </c>
      <c r="BO19" s="68">
        <v>0</v>
      </c>
      <c r="BP19" s="68">
        <v>0</v>
      </c>
      <c r="BQ19" s="68">
        <v>247</v>
      </c>
      <c r="BR19" s="68">
        <v>9.3000000000000007</v>
      </c>
      <c r="BS19" s="68">
        <v>1.7</v>
      </c>
      <c r="BT19" s="69">
        <f t="shared" si="4"/>
        <v>0.45682202808397743</v>
      </c>
      <c r="BU19" s="117">
        <f t="shared" si="5"/>
        <v>115.34731298070476</v>
      </c>
      <c r="BV19" s="48">
        <f t="shared" si="6"/>
        <v>72</v>
      </c>
      <c r="BW19" s="70">
        <f t="shared" si="7"/>
        <v>98.814229249011859</v>
      </c>
      <c r="BX19" s="69">
        <f t="shared" si="11"/>
        <v>1.4880636604774533</v>
      </c>
      <c r="BY19" s="69">
        <v>9.5</v>
      </c>
      <c r="BZ19" s="69">
        <v>0.81</v>
      </c>
      <c r="CA19" s="69">
        <v>21.59</v>
      </c>
      <c r="CB19" s="69">
        <v>1.4536000000000002</v>
      </c>
      <c r="CC19" s="69">
        <v>0.12640000000000001</v>
      </c>
      <c r="CD19" s="69">
        <v>0</v>
      </c>
      <c r="CE19" s="69">
        <v>0</v>
      </c>
      <c r="CF19" s="69">
        <v>0</v>
      </c>
      <c r="CG19" s="69">
        <v>1.38</v>
      </c>
      <c r="CH19" s="69">
        <v>1.93</v>
      </c>
      <c r="CI19" s="69">
        <v>0</v>
      </c>
      <c r="CJ19" s="69">
        <v>0</v>
      </c>
      <c r="CK19" s="69">
        <v>22.83</v>
      </c>
      <c r="CL19" s="69">
        <v>37.01</v>
      </c>
      <c r="CM19" s="69">
        <v>3.22</v>
      </c>
      <c r="CN19" s="69">
        <v>0</v>
      </c>
      <c r="CO19" s="69">
        <v>0.15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117">
        <v>100</v>
      </c>
      <c r="CZ19" s="283">
        <v>0.24071802876574869</v>
      </c>
      <c r="DA19" s="283">
        <v>1.6206934998327576E-2</v>
      </c>
      <c r="DB19" s="283">
        <v>1.4092986955067455E-3</v>
      </c>
      <c r="DC19" s="283">
        <v>0</v>
      </c>
      <c r="DD19" s="283">
        <v>0</v>
      </c>
      <c r="DE19" s="283">
        <v>0</v>
      </c>
      <c r="DF19" s="283">
        <v>1.5386330694614784E-2</v>
      </c>
      <c r="DG19" s="283">
        <v>2.1518563942468504E-2</v>
      </c>
      <c r="DH19" s="283">
        <v>0</v>
      </c>
      <c r="DI19" s="283">
        <v>0</v>
      </c>
      <c r="DJ19" s="283">
        <v>0.25454342736090979</v>
      </c>
      <c r="DK19" s="283">
        <v>0.41264355000557473</v>
      </c>
      <c r="DL19" s="283">
        <v>3.5901438287434501E-2</v>
      </c>
      <c r="DM19" s="283">
        <v>0</v>
      </c>
      <c r="DN19" s="283">
        <v>1.6724272494146504E-3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v>0</v>
      </c>
      <c r="DV19" s="283">
        <v>0</v>
      </c>
      <c r="DW19" s="283">
        <v>0</v>
      </c>
      <c r="DX19" s="69">
        <v>1</v>
      </c>
      <c r="DY19" s="70">
        <v>57.695200209684025</v>
      </c>
      <c r="DZ19" s="70">
        <v>27.961118393728015</v>
      </c>
      <c r="EA19" s="70">
        <v>3.8695549472126971</v>
      </c>
      <c r="EB19" s="70">
        <v>2.602347446431523E-2</v>
      </c>
      <c r="EC19" s="70">
        <v>0</v>
      </c>
      <c r="ED19" s="70">
        <v>6.8336491126252494E-2</v>
      </c>
      <c r="EE19" s="70">
        <v>3.3105623704593801E-2</v>
      </c>
      <c r="EF19" s="70">
        <v>1.6661262188133383E-2</v>
      </c>
      <c r="EG19" s="70">
        <v>0.42487474873091607</v>
      </c>
      <c r="EH19" s="70">
        <v>3.611221375945222E-3</v>
      </c>
      <c r="EI19" s="70">
        <v>0</v>
      </c>
      <c r="EJ19" s="70">
        <v>9.9015136277850893</v>
      </c>
      <c r="EK19" s="70">
        <v>0</v>
      </c>
      <c r="EL19" s="70">
        <v>99.999999999999986</v>
      </c>
      <c r="EM19" s="69">
        <v>98.33082838598159</v>
      </c>
      <c r="EN19" s="69" t="s">
        <v>143</v>
      </c>
      <c r="EO19" s="287">
        <v>3.8979205343788008E-2</v>
      </c>
      <c r="EP19" s="257">
        <f t="shared" si="12"/>
        <v>3.8979205343788008</v>
      </c>
      <c r="EQ19" s="257">
        <f t="shared" si="13"/>
        <v>97.333538840937109</v>
      </c>
      <c r="ER19" s="324">
        <f t="shared" si="14"/>
        <v>0.7623205772254058</v>
      </c>
      <c r="ES19" s="257">
        <f t="shared" si="15"/>
        <v>1.0531264278935712</v>
      </c>
      <c r="ET19">
        <f t="shared" si="8"/>
        <v>72</v>
      </c>
      <c r="EU19" s="324">
        <f t="shared" si="16"/>
        <v>0.72386425507350938</v>
      </c>
      <c r="EV19" s="39">
        <f t="shared" si="17"/>
        <v>177.18</v>
      </c>
      <c r="EW19"/>
      <c r="EX19">
        <f t="shared" si="18"/>
        <v>0.5346153846153846</v>
      </c>
      <c r="EY19"/>
      <c r="EZ19"/>
      <c r="FA19"/>
      <c r="FB19"/>
      <c r="FC19"/>
      <c r="FD19"/>
    </row>
    <row r="20" spans="1:160" s="48" customFormat="1" ht="13" customHeight="1" x14ac:dyDescent="0.2">
      <c r="A20" s="65" t="s">
        <v>144</v>
      </c>
      <c r="B20" s="66" t="s">
        <v>421</v>
      </c>
      <c r="C20" s="274">
        <f t="shared" si="19"/>
        <v>176.79500000000002</v>
      </c>
      <c r="D20" s="67">
        <v>86</v>
      </c>
      <c r="E20" s="67">
        <v>135</v>
      </c>
      <c r="F20" s="67">
        <f t="shared" si="3"/>
        <v>110.5</v>
      </c>
      <c r="G20" s="82" t="s">
        <v>518</v>
      </c>
      <c r="H20" s="84">
        <v>2.5</v>
      </c>
      <c r="I20" s="85">
        <v>4</v>
      </c>
      <c r="J20" s="85">
        <v>8</v>
      </c>
      <c r="K20" s="89">
        <f t="shared" si="10"/>
        <v>1.25</v>
      </c>
      <c r="L20" s="67">
        <v>150</v>
      </c>
      <c r="M20" s="67">
        <v>75</v>
      </c>
      <c r="N20" s="67">
        <v>38</v>
      </c>
      <c r="O20" s="68">
        <v>51.66</v>
      </c>
      <c r="P20" s="68">
        <v>24.13</v>
      </c>
      <c r="Q20" s="68">
        <v>10.25</v>
      </c>
      <c r="R20" s="68">
        <v>2.1000000000000001E-2</v>
      </c>
      <c r="S20" s="68">
        <v>0.09</v>
      </c>
      <c r="T20" s="68">
        <v>0.01</v>
      </c>
      <c r="U20" s="68">
        <v>0.03</v>
      </c>
      <c r="V20" s="68">
        <v>0.1</v>
      </c>
      <c r="W20" s="68">
        <v>0.95899999999999996</v>
      </c>
      <c r="X20" s="68">
        <v>0.06</v>
      </c>
      <c r="Y20" s="68">
        <v>12</v>
      </c>
      <c r="Z20" s="68">
        <v>99.31</v>
      </c>
      <c r="AA20" s="68">
        <v>27</v>
      </c>
      <c r="AB20" s="68">
        <v>2</v>
      </c>
      <c r="AC20" s="68">
        <v>175</v>
      </c>
      <c r="AD20" s="68">
        <v>30</v>
      </c>
      <c r="AE20" s="68">
        <v>3</v>
      </c>
      <c r="AF20" s="68">
        <v>0</v>
      </c>
      <c r="AG20" s="68">
        <v>40</v>
      </c>
      <c r="AH20" s="68">
        <v>40</v>
      </c>
      <c r="AI20" s="68">
        <v>27</v>
      </c>
      <c r="AJ20" s="68">
        <v>1</v>
      </c>
      <c r="AK20" s="68">
        <v>0</v>
      </c>
      <c r="AL20" s="68">
        <v>14</v>
      </c>
      <c r="AM20" s="68">
        <v>4</v>
      </c>
      <c r="AN20" s="68"/>
      <c r="AO20" s="68">
        <v>182</v>
      </c>
      <c r="AP20" s="68">
        <v>9</v>
      </c>
      <c r="AQ20" s="68" t="s">
        <v>72</v>
      </c>
      <c r="AR20" s="68">
        <v>0.5</v>
      </c>
      <c r="AS20" s="68" t="s">
        <v>73</v>
      </c>
      <c r="AT20" s="68">
        <v>2</v>
      </c>
      <c r="AU20" s="68" t="s">
        <v>74</v>
      </c>
      <c r="AV20" s="68">
        <v>1.1000000000000001</v>
      </c>
      <c r="AW20" s="68">
        <v>23</v>
      </c>
      <c r="AX20" s="68" t="s">
        <v>75</v>
      </c>
      <c r="AY20" s="68">
        <f>'O.G.Chem Results'!AY20/'O.G.Chem Results'!AY$142</f>
        <v>25.531914893617024</v>
      </c>
      <c r="AZ20" s="68">
        <f>'O.G.Chem Results'!AZ20/'O.G.Chem Results'!AZ$142</f>
        <v>26.19363395225464</v>
      </c>
      <c r="BA20" s="68">
        <f>'O.G.Chem Results'!BA20/'O.G.Chem Results'!BA$142</f>
        <v>17.059483726150393</v>
      </c>
      <c r="BB20" s="68">
        <f>'O.G.Chem Results'!BB20/'O.G.Chem Results'!BB$142</f>
        <v>12.820512820512821</v>
      </c>
      <c r="BC20" s="68">
        <f>'O.G.Chem Results'!BC20/'O.G.Chem Results'!BC$142</f>
        <v>8.1577158395649221</v>
      </c>
      <c r="BD20" s="68">
        <f>'O.G.Chem Results'!BD20/'O.G.Chem Results'!BD$142</f>
        <v>5.7142857142857144</v>
      </c>
      <c r="BE20" s="68">
        <f>'O.G.Chem Results'!BE20/'O.G.Chem Results'!BE$142</f>
        <v>5.1136363636363642</v>
      </c>
      <c r="BF20" s="68">
        <f>'O.G.Chem Results'!BF20/'O.G.Chem Results'!BF$142</f>
        <v>5.5096418732782375</v>
      </c>
      <c r="BG20" s="68">
        <f>'O.G.Chem Results'!BG20/'O.G.Chem Results'!BG$142</f>
        <v>4.1203131437989287</v>
      </c>
      <c r="BH20" s="68">
        <f>'O.G.Chem Results'!BH20/'O.G.Chem Results'!BH$142</f>
        <v>3.5971223021582732</v>
      </c>
      <c r="BI20" s="68">
        <f>'O.G.Chem Results'!BI20/'O.G.Chem Results'!BI$142</f>
        <v>3.7759597230962867</v>
      </c>
      <c r="BJ20" s="68">
        <f>'O.G.Chem Results'!BJ20/'O.G.Chem Results'!BJ$142</f>
        <v>4.5454545454545459</v>
      </c>
      <c r="BK20" s="68">
        <f>'O.G.Chem Results'!BK20/'O.G.Chem Results'!BK$142</f>
        <v>5.5384615384615383</v>
      </c>
      <c r="BL20" s="68">
        <f>'O.G.Chem Results'!BL20/'O.G.Chem Results'!BL$142</f>
        <v>5.761316872427984</v>
      </c>
      <c r="BM20" s="68">
        <v>4.4000000000000004</v>
      </c>
      <c r="BN20" s="68">
        <v>0.6</v>
      </c>
      <c r="BO20" s="68">
        <v>0</v>
      </c>
      <c r="BP20" s="68">
        <v>0</v>
      </c>
      <c r="BQ20" s="68">
        <v>28</v>
      </c>
      <c r="BR20" s="68">
        <v>6.5</v>
      </c>
      <c r="BS20" s="68">
        <v>1.4</v>
      </c>
      <c r="BT20" s="69">
        <f t="shared" si="4"/>
        <v>0.50639644308665877</v>
      </c>
      <c r="BU20" s="117">
        <f t="shared" si="5"/>
        <v>133.43945330869767</v>
      </c>
      <c r="BV20" s="48">
        <f t="shared" si="6"/>
        <v>110.5</v>
      </c>
      <c r="BW20" s="70">
        <f t="shared" si="7"/>
        <v>99.423156159868142</v>
      </c>
      <c r="BX20" s="69">
        <f t="shared" si="11"/>
        <v>1.5354294639117687</v>
      </c>
      <c r="BY20" s="69">
        <v>9.07</v>
      </c>
      <c r="BZ20" s="69">
        <v>0.38</v>
      </c>
      <c r="CA20" s="69">
        <v>20.239999999999998</v>
      </c>
      <c r="CB20" s="69">
        <v>0.54279999999999995</v>
      </c>
      <c r="CC20" s="69">
        <v>4.7199999999999999E-2</v>
      </c>
      <c r="CD20" s="69">
        <v>0</v>
      </c>
      <c r="CE20" s="69">
        <v>0</v>
      </c>
      <c r="CF20" s="69">
        <v>0</v>
      </c>
      <c r="CG20" s="69">
        <v>1.48</v>
      </c>
      <c r="CH20" s="69">
        <v>1.6</v>
      </c>
      <c r="CI20" s="69">
        <v>0</v>
      </c>
      <c r="CJ20" s="69">
        <v>0</v>
      </c>
      <c r="CK20" s="69">
        <v>22.44</v>
      </c>
      <c r="CL20" s="69">
        <v>39.94</v>
      </c>
      <c r="CM20" s="69">
        <v>4.1500000000000004</v>
      </c>
      <c r="CN20" s="69">
        <v>0</v>
      </c>
      <c r="CO20" s="69">
        <v>0.11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117">
        <v>100</v>
      </c>
      <c r="CZ20" s="283">
        <v>0.22352291551628933</v>
      </c>
      <c r="DA20" s="283">
        <v>5.9944781888459408E-3</v>
      </c>
      <c r="DB20" s="283">
        <v>5.212589729431254E-4</v>
      </c>
      <c r="DC20" s="283">
        <v>0</v>
      </c>
      <c r="DD20" s="283">
        <v>0</v>
      </c>
      <c r="DE20" s="283">
        <v>0</v>
      </c>
      <c r="DF20" s="283">
        <v>1.6344561016013254E-2</v>
      </c>
      <c r="DG20" s="283">
        <v>1.7669795692987302E-2</v>
      </c>
      <c r="DH20" s="283">
        <v>0</v>
      </c>
      <c r="DI20" s="283">
        <v>0</v>
      </c>
      <c r="DJ20" s="283">
        <v>0.24781888459414692</v>
      </c>
      <c r="DK20" s="283">
        <v>0.44108227498619546</v>
      </c>
      <c r="DL20" s="283">
        <v>4.5831032578685815E-2</v>
      </c>
      <c r="DM20" s="283">
        <v>0</v>
      </c>
      <c r="DN20" s="283">
        <v>1.2147984538928768E-3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v>0</v>
      </c>
      <c r="DV20" s="283">
        <v>0</v>
      </c>
      <c r="DW20" s="283">
        <v>0</v>
      </c>
      <c r="DX20" s="69">
        <v>1</v>
      </c>
      <c r="DY20" s="70">
        <v>56.641075474100269</v>
      </c>
      <c r="DZ20" s="70">
        <v>28.977945795316522</v>
      </c>
      <c r="EA20" s="70">
        <v>3.672122005578156</v>
      </c>
      <c r="EB20" s="70">
        <v>1.8902631821644589E-2</v>
      </c>
      <c r="EC20" s="70">
        <v>0</v>
      </c>
      <c r="ED20" s="70">
        <v>8.2134991832992776E-2</v>
      </c>
      <c r="EE20" s="70">
        <v>4.2135177809711419E-2</v>
      </c>
      <c r="EF20" s="70">
        <v>6.1625207231173294E-3</v>
      </c>
      <c r="EG20" s="70">
        <v>0.2886729167210067</v>
      </c>
      <c r="EH20" s="70">
        <v>2.6230774137999606E-3</v>
      </c>
      <c r="EI20" s="70">
        <v>0</v>
      </c>
      <c r="EJ20" s="70">
        <v>10.268225408682783</v>
      </c>
      <c r="EK20" s="70">
        <v>0</v>
      </c>
      <c r="EL20" s="70">
        <v>100</v>
      </c>
      <c r="EM20" s="69">
        <v>98.850514835060793</v>
      </c>
      <c r="EN20" s="69" t="s">
        <v>144</v>
      </c>
      <c r="EO20" s="287">
        <v>3.6927258742637484E-2</v>
      </c>
      <c r="EP20" s="257">
        <f t="shared" si="12"/>
        <v>3.6927258742637483</v>
      </c>
      <c r="EQ20" s="257">
        <f t="shared" si="13"/>
        <v>98.94195888754534</v>
      </c>
      <c r="ER20" s="324">
        <f t="shared" si="14"/>
        <v>0.86114596716185821</v>
      </c>
      <c r="ES20" s="257">
        <f t="shared" si="15"/>
        <v>1.2300494714214196</v>
      </c>
      <c r="ET20">
        <f t="shared" si="8"/>
        <v>110.5</v>
      </c>
      <c r="EU20" s="324">
        <f t="shared" si="16"/>
        <v>0.70009051438129222</v>
      </c>
      <c r="EV20" s="39">
        <f t="shared" si="17"/>
        <v>176.79500000000002</v>
      </c>
      <c r="EW20"/>
      <c r="EX20"/>
      <c r="EY20"/>
      <c r="EZ20"/>
      <c r="FA20"/>
      <c r="FB20"/>
      <c r="FC20"/>
      <c r="FD20"/>
    </row>
    <row r="21" spans="1:160" s="48" customFormat="1" ht="13" customHeight="1" x14ac:dyDescent="0.2">
      <c r="A21" s="65" t="s">
        <v>145</v>
      </c>
      <c r="B21" s="66" t="s">
        <v>421</v>
      </c>
      <c r="C21" s="274">
        <f t="shared" si="19"/>
        <v>176.22499999999999</v>
      </c>
      <c r="D21" s="67">
        <v>135</v>
      </c>
      <c r="E21" s="67">
        <v>200</v>
      </c>
      <c r="F21" s="67">
        <f t="shared" si="3"/>
        <v>167.5</v>
      </c>
      <c r="G21" s="82" t="s">
        <v>519</v>
      </c>
      <c r="H21" s="84">
        <v>5</v>
      </c>
      <c r="I21" s="85">
        <v>5</v>
      </c>
      <c r="J21" s="85">
        <v>8</v>
      </c>
      <c r="K21" s="89">
        <f t="shared" si="10"/>
        <v>3.125</v>
      </c>
      <c r="L21" s="67">
        <v>174</v>
      </c>
      <c r="M21" s="67">
        <v>105</v>
      </c>
      <c r="N21" s="67">
        <v>49</v>
      </c>
      <c r="O21" s="68">
        <v>49.72</v>
      </c>
      <c r="P21" s="68">
        <v>25.85</v>
      </c>
      <c r="Q21" s="68">
        <v>11.14</v>
      </c>
      <c r="R21" s="68">
        <v>0.02</v>
      </c>
      <c r="S21" s="68">
        <v>0.09</v>
      </c>
      <c r="T21" s="68">
        <v>0</v>
      </c>
      <c r="U21" s="68">
        <v>0.05</v>
      </c>
      <c r="V21" s="68">
        <v>0.09</v>
      </c>
      <c r="W21" s="68">
        <v>1.083</v>
      </c>
      <c r="X21" s="68">
        <v>7.0000000000000007E-2</v>
      </c>
      <c r="Y21" s="68">
        <v>12.31</v>
      </c>
      <c r="Z21" s="68">
        <v>100.4</v>
      </c>
      <c r="AA21" s="68">
        <v>31</v>
      </c>
      <c r="AB21" s="68">
        <v>2</v>
      </c>
      <c r="AC21" s="68">
        <v>192</v>
      </c>
      <c r="AD21" s="68">
        <v>30</v>
      </c>
      <c r="AE21" s="68">
        <v>3</v>
      </c>
      <c r="AF21" s="68">
        <v>0</v>
      </c>
      <c r="AG21" s="68">
        <v>50</v>
      </c>
      <c r="AH21" s="68">
        <v>40</v>
      </c>
      <c r="AI21" s="68">
        <v>27</v>
      </c>
      <c r="AJ21" s="68">
        <v>1</v>
      </c>
      <c r="AK21" s="68">
        <v>0</v>
      </c>
      <c r="AL21" s="68">
        <v>13</v>
      </c>
      <c r="AM21" s="68">
        <v>3</v>
      </c>
      <c r="AN21" s="68">
        <f>'O.G.Chem Results'!AN21/'O.G.Chem Results'!$AN$142</f>
        <v>1.9230769230769229</v>
      </c>
      <c r="AO21" s="68">
        <v>162</v>
      </c>
      <c r="AP21" s="68">
        <v>6</v>
      </c>
      <c r="AQ21" s="68" t="s">
        <v>72</v>
      </c>
      <c r="AR21" s="68" t="s">
        <v>74</v>
      </c>
      <c r="AS21" s="68" t="s">
        <v>73</v>
      </c>
      <c r="AT21" s="68">
        <v>2</v>
      </c>
      <c r="AU21" s="68" t="s">
        <v>74</v>
      </c>
      <c r="AV21" s="68">
        <v>1</v>
      </c>
      <c r="AW21" s="68">
        <v>21</v>
      </c>
      <c r="AX21" s="68" t="s">
        <v>75</v>
      </c>
      <c r="AY21" s="68">
        <f>'O.G.Chem Results'!AY21/'O.G.Chem Results'!AY$142</f>
        <v>27.659574468085108</v>
      </c>
      <c r="AZ21" s="68">
        <f>'O.G.Chem Results'!AZ21/'O.G.Chem Results'!AZ$142</f>
        <v>28.84615384615384</v>
      </c>
      <c r="BA21" s="68">
        <f>'O.G.Chem Results'!BA21/'O.G.Chem Results'!BA$142</f>
        <v>19.865319865319865</v>
      </c>
      <c r="BB21" s="68">
        <f>'O.G.Chem Results'!BB21/'O.G.Chem Results'!BB$142</f>
        <v>14.809902740937225</v>
      </c>
      <c r="BC21" s="68">
        <f>'O.G.Chem Results'!BC21/'O.G.Chem Results'!BC$142</f>
        <v>9.5173351461590769</v>
      </c>
      <c r="BD21" s="68">
        <f>'O.G.Chem Results'!BD21/'O.G.Chem Results'!BD$142</f>
        <v>6.4285714285714279</v>
      </c>
      <c r="BE21" s="68">
        <f>'O.G.Chem Results'!BE21/'O.G.Chem Results'!BE$142</f>
        <v>6.2500000000000009</v>
      </c>
      <c r="BF21" s="68">
        <f>'O.G.Chem Results'!BF21/'O.G.Chem Results'!BF$142</f>
        <v>5.5096418732782375</v>
      </c>
      <c r="BG21" s="68">
        <f>'O.G.Chem Results'!BG21/'O.G.Chem Results'!BG$142</f>
        <v>4.9443757725587139</v>
      </c>
      <c r="BH21" s="68">
        <f>'O.G.Chem Results'!BH21/'O.G.Chem Results'!BH$142</f>
        <v>3.5971223021582732</v>
      </c>
      <c r="BI21" s="68">
        <f>'O.G.Chem Results'!BI21/'O.G.Chem Results'!BI$142</f>
        <v>4.4052863436123344</v>
      </c>
      <c r="BJ21" s="68">
        <f>'O.G.Chem Results'!BJ21/'O.G.Chem Results'!BJ$142</f>
        <v>5.3719008264462813</v>
      </c>
      <c r="BK21" s="68">
        <f>'O.G.Chem Results'!BK21/'O.G.Chem Results'!BK$142</f>
        <v>6.1538461538461533</v>
      </c>
      <c r="BL21" s="68">
        <f>'O.G.Chem Results'!BL21/'O.G.Chem Results'!BL$142</f>
        <v>5.761316872427984</v>
      </c>
      <c r="BM21" s="68">
        <v>4</v>
      </c>
      <c r="BN21" s="68">
        <v>0.4</v>
      </c>
      <c r="BO21" s="68">
        <v>0</v>
      </c>
      <c r="BP21" s="68">
        <v>0</v>
      </c>
      <c r="BQ21" s="68">
        <v>149</v>
      </c>
      <c r="BR21" s="68">
        <v>5.2</v>
      </c>
      <c r="BS21" s="68">
        <v>1.2</v>
      </c>
      <c r="BT21" s="69">
        <f t="shared" si="4"/>
        <v>0.51049963794351905</v>
      </c>
      <c r="BU21" s="117">
        <f t="shared" si="5"/>
        <v>149.12034763955452</v>
      </c>
      <c r="BV21" s="48">
        <f t="shared" si="6"/>
        <v>167.5</v>
      </c>
      <c r="BW21" s="70">
        <f t="shared" si="7"/>
        <v>99.461331281262019</v>
      </c>
      <c r="BX21" s="69">
        <f t="shared" si="11"/>
        <v>1.4520860495436763</v>
      </c>
      <c r="BY21" s="69">
        <v>9.3800000000000008</v>
      </c>
      <c r="BZ21" s="69">
        <v>0.89</v>
      </c>
      <c r="CA21" s="69">
        <v>17.79</v>
      </c>
      <c r="CB21" s="69">
        <v>0.37719999999999998</v>
      </c>
      <c r="CC21" s="69">
        <v>3.2799999999999996E-2</v>
      </c>
      <c r="CD21" s="69">
        <v>0</v>
      </c>
      <c r="CE21" s="69">
        <v>0</v>
      </c>
      <c r="CF21" s="69">
        <v>0</v>
      </c>
      <c r="CG21" s="69">
        <v>1.3</v>
      </c>
      <c r="CH21" s="69">
        <v>5.3</v>
      </c>
      <c r="CI21" s="69">
        <v>0</v>
      </c>
      <c r="CJ21" s="69">
        <v>0</v>
      </c>
      <c r="CK21" s="69">
        <v>18.11</v>
      </c>
      <c r="CL21" s="69">
        <v>43.15</v>
      </c>
      <c r="CM21" s="69">
        <v>3.58</v>
      </c>
      <c r="CN21" s="69">
        <v>0</v>
      </c>
      <c r="CO21" s="69">
        <v>0.08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117">
        <v>99.99</v>
      </c>
      <c r="CZ21" s="283">
        <v>0.1982835488185466</v>
      </c>
      <c r="DA21" s="283">
        <v>4.2041908158716003E-3</v>
      </c>
      <c r="DB21" s="283">
        <v>3.655818100757913E-4</v>
      </c>
      <c r="DC21" s="283">
        <v>0</v>
      </c>
      <c r="DD21" s="283">
        <v>0</v>
      </c>
      <c r="DE21" s="283">
        <v>0</v>
      </c>
      <c r="DF21" s="283">
        <v>1.4489522960320999E-2</v>
      </c>
      <c r="DG21" s="283">
        <v>5.9072670530539453E-2</v>
      </c>
      <c r="DH21" s="283">
        <v>0</v>
      </c>
      <c r="DI21" s="283">
        <v>0</v>
      </c>
      <c r="DJ21" s="283">
        <v>0.20185020062416406</v>
      </c>
      <c r="DK21" s="283">
        <v>0.4809407044137316</v>
      </c>
      <c r="DL21" s="283">
        <v>3.9901917075345524E-2</v>
      </c>
      <c r="DM21" s="283">
        <v>0</v>
      </c>
      <c r="DN21" s="283">
        <v>8.9166295140436923E-4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v>0</v>
      </c>
      <c r="DV21" s="283">
        <v>0</v>
      </c>
      <c r="DW21" s="283">
        <v>0</v>
      </c>
      <c r="DX21" s="69">
        <v>1</v>
      </c>
      <c r="DY21" s="70">
        <v>53.469256910612785</v>
      </c>
      <c r="DZ21" s="70">
        <v>28.76064963918688</v>
      </c>
      <c r="EA21" s="70">
        <v>6.8539263206286307</v>
      </c>
      <c r="EB21" s="70">
        <v>1.3874545547358792E-2</v>
      </c>
      <c r="EC21" s="70">
        <v>0</v>
      </c>
      <c r="ED21" s="70">
        <v>7.058900667651298E-2</v>
      </c>
      <c r="EE21" s="70">
        <v>3.666132429690995E-2</v>
      </c>
      <c r="EF21" s="70">
        <v>4.3220464251511742E-3</v>
      </c>
      <c r="EG21" s="70">
        <v>0.23324996563274153</v>
      </c>
      <c r="EH21" s="70">
        <v>1.9253407353754016E-3</v>
      </c>
      <c r="EI21" s="70">
        <v>0</v>
      </c>
      <c r="EJ21" s="70">
        <v>10.555544900257649</v>
      </c>
      <c r="EK21" s="70">
        <v>0</v>
      </c>
      <c r="EL21" s="70">
        <v>100</v>
      </c>
      <c r="EM21" s="69">
        <v>99.055503903405381</v>
      </c>
      <c r="EN21" s="69" t="s">
        <v>145</v>
      </c>
      <c r="EO21" s="287">
        <v>6.8690495752752517E-2</v>
      </c>
      <c r="EP21" s="257">
        <f t="shared" si="12"/>
        <v>6.8690495752752518</v>
      </c>
      <c r="EQ21" s="257">
        <f t="shared" si="13"/>
        <v>99.28310168251646</v>
      </c>
      <c r="ER21" s="324">
        <f t="shared" si="14"/>
        <v>0.81542903337567829</v>
      </c>
      <c r="ES21" s="257">
        <f t="shared" si="15"/>
        <v>1.2339887602773714</v>
      </c>
      <c r="ET21">
        <f t="shared" si="8"/>
        <v>167.5</v>
      </c>
      <c r="EU21" s="324">
        <f t="shared" si="16"/>
        <v>0.66080750459379323</v>
      </c>
      <c r="EV21" s="39">
        <f t="shared" si="17"/>
        <v>176.22499999999999</v>
      </c>
      <c r="EW21"/>
      <c r="EX21">
        <f t="shared" si="18"/>
        <v>0.5346153846153846</v>
      </c>
      <c r="EY21"/>
      <c r="EZ21"/>
      <c r="FA21"/>
      <c r="FB21"/>
      <c r="FC21"/>
      <c r="FD21"/>
    </row>
    <row r="22" spans="1:160" s="48" customFormat="1" ht="13" customHeight="1" x14ac:dyDescent="0.2">
      <c r="A22" s="65" t="s">
        <v>146</v>
      </c>
      <c r="B22" s="66" t="s">
        <v>421</v>
      </c>
      <c r="C22" s="274">
        <f t="shared" si="19"/>
        <v>175.4</v>
      </c>
      <c r="D22" s="67">
        <v>200</v>
      </c>
      <c r="E22" s="67">
        <v>300</v>
      </c>
      <c r="F22" s="67">
        <f t="shared" si="3"/>
        <v>250</v>
      </c>
      <c r="G22" s="82" t="s">
        <v>506</v>
      </c>
      <c r="H22" s="84">
        <v>5</v>
      </c>
      <c r="I22" s="85">
        <v>4</v>
      </c>
      <c r="J22" s="85">
        <v>6</v>
      </c>
      <c r="K22" s="89">
        <f t="shared" si="10"/>
        <v>3.3333333333333335</v>
      </c>
      <c r="L22" s="67">
        <v>136</v>
      </c>
      <c r="M22" s="67">
        <v>83</v>
      </c>
      <c r="N22" s="67">
        <v>47</v>
      </c>
      <c r="O22" s="68">
        <v>51.22</v>
      </c>
      <c r="P22" s="68">
        <v>24.26</v>
      </c>
      <c r="Q22" s="68">
        <v>10.65</v>
      </c>
      <c r="R22" s="68">
        <v>3.6999999999999998E-2</v>
      </c>
      <c r="S22" s="68">
        <v>0.26</v>
      </c>
      <c r="T22" s="68">
        <v>0</v>
      </c>
      <c r="U22" s="68">
        <v>0.04</v>
      </c>
      <c r="V22" s="68">
        <v>0.17</v>
      </c>
      <c r="W22" s="68">
        <v>1.0509999999999999</v>
      </c>
      <c r="X22" s="68">
        <v>0.13</v>
      </c>
      <c r="Y22" s="68">
        <v>11.94</v>
      </c>
      <c r="Z22" s="68">
        <v>99.76</v>
      </c>
      <c r="AA22" s="68">
        <v>34</v>
      </c>
      <c r="AB22" s="68">
        <v>4</v>
      </c>
      <c r="AC22" s="68">
        <v>185</v>
      </c>
      <c r="AD22" s="68">
        <v>20</v>
      </c>
      <c r="AE22" s="68">
        <v>5</v>
      </c>
      <c r="AF22" s="68">
        <v>0</v>
      </c>
      <c r="AG22" s="68">
        <v>50</v>
      </c>
      <c r="AH22" s="68">
        <v>50</v>
      </c>
      <c r="AI22" s="68">
        <v>24</v>
      </c>
      <c r="AJ22" s="68">
        <v>1</v>
      </c>
      <c r="AK22" s="68">
        <v>0</v>
      </c>
      <c r="AL22" s="68">
        <v>14</v>
      </c>
      <c r="AM22" s="68" t="s">
        <v>72</v>
      </c>
      <c r="AN22" s="68">
        <f>'O.G.Chem Results'!AN22/'O.G.Chem Results'!$AN$142</f>
        <v>3.2051282051282048</v>
      </c>
      <c r="AO22" s="68">
        <v>191</v>
      </c>
      <c r="AP22" s="68">
        <v>6</v>
      </c>
      <c r="AQ22" s="68" t="s">
        <v>72</v>
      </c>
      <c r="AR22" s="68" t="s">
        <v>74</v>
      </c>
      <c r="AS22" s="68" t="s">
        <v>73</v>
      </c>
      <c r="AT22" s="68">
        <v>1</v>
      </c>
      <c r="AU22" s="68" t="s">
        <v>74</v>
      </c>
      <c r="AV22" s="68">
        <v>0.7</v>
      </c>
      <c r="AW22" s="68">
        <v>49</v>
      </c>
      <c r="AX22" s="68" t="s">
        <v>75</v>
      </c>
      <c r="AY22" s="68">
        <f>'O.G.Chem Results'!AY22/'O.G.Chem Results'!AY$142</f>
        <v>34.468085106382979</v>
      </c>
      <c r="AZ22" s="68">
        <f>'O.G.Chem Results'!AZ22/'O.G.Chem Results'!AZ$142</f>
        <v>47.911140583554371</v>
      </c>
      <c r="BA22" s="68">
        <f>'O.G.Chem Results'!BA22/'O.G.Chem Results'!BA$142</f>
        <v>30.078563411896749</v>
      </c>
      <c r="BB22" s="68">
        <f>'O.G.Chem Results'!BB22/'O.G.Chem Results'!BB$142</f>
        <v>24.093722369584441</v>
      </c>
      <c r="BC22" s="68">
        <f>'O.G.Chem Results'!BC22/'O.G.Chem Results'!BC$142</f>
        <v>16.995241332426922</v>
      </c>
      <c r="BD22" s="68">
        <f>'O.G.Chem Results'!BD22/'O.G.Chem Results'!BD$142</f>
        <v>11.071428571428571</v>
      </c>
      <c r="BE22" s="68">
        <f>'O.G.Chem Results'!BE22/'O.G.Chem Results'!BE$142</f>
        <v>10.795454545454545</v>
      </c>
      <c r="BF22" s="68">
        <f>'O.G.Chem Results'!BF22/'O.G.Chem Results'!BF$142</f>
        <v>8.2644628099173545</v>
      </c>
      <c r="BG22" s="68">
        <f>'O.G.Chem Results'!BG22/'O.G.Chem Results'!BG$142</f>
        <v>8.2406262875978573</v>
      </c>
      <c r="BH22" s="68">
        <f>'O.G.Chem Results'!BH22/'O.G.Chem Results'!BH$142</f>
        <v>7.1942446043165464</v>
      </c>
      <c r="BI22" s="68">
        <f>'O.G.Chem Results'!BI22/'O.G.Chem Results'!BI$142</f>
        <v>7.5519194461925734</v>
      </c>
      <c r="BJ22" s="68">
        <f>'O.G.Chem Results'!BJ22/'O.G.Chem Results'!BJ$142</f>
        <v>8.6776859504132222</v>
      </c>
      <c r="BK22" s="68">
        <f>'O.G.Chem Results'!BK22/'O.G.Chem Results'!BK$142</f>
        <v>9.2307692307692299</v>
      </c>
      <c r="BL22" s="68">
        <f>'O.G.Chem Results'!BL22/'O.G.Chem Results'!BL$142</f>
        <v>9.8765432098765427</v>
      </c>
      <c r="BM22" s="68">
        <v>4.7</v>
      </c>
      <c r="BN22" s="68">
        <v>0.5</v>
      </c>
      <c r="BO22" s="68">
        <v>0</v>
      </c>
      <c r="BP22" s="68">
        <v>0</v>
      </c>
      <c r="BQ22" s="68">
        <v>18</v>
      </c>
      <c r="BR22" s="68">
        <v>3.4</v>
      </c>
      <c r="BS22" s="68">
        <v>1</v>
      </c>
      <c r="BT22" s="69">
        <f t="shared" si="4"/>
        <v>0.58159250930428119</v>
      </c>
      <c r="BU22" s="117">
        <f t="shared" si="5"/>
        <v>234.44988745981192</v>
      </c>
      <c r="BV22" s="48">
        <f t="shared" si="6"/>
        <v>250</v>
      </c>
      <c r="BW22" s="70">
        <f t="shared" si="7"/>
        <v>99.141806293420501</v>
      </c>
      <c r="BX22" s="69">
        <f t="shared" si="11"/>
        <v>1.5928666514905574</v>
      </c>
      <c r="BY22" s="69">
        <v>10.44</v>
      </c>
      <c r="BZ22" s="69">
        <v>1.02</v>
      </c>
      <c r="CA22" s="69">
        <v>18.59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0.12</v>
      </c>
      <c r="CH22" s="69">
        <v>4.54</v>
      </c>
      <c r="CI22" s="69">
        <v>0</v>
      </c>
      <c r="CJ22" s="69">
        <v>0</v>
      </c>
      <c r="CK22" s="69">
        <v>19.23</v>
      </c>
      <c r="CL22" s="69">
        <v>36.840000000000003</v>
      </c>
      <c r="CM22" s="69">
        <v>3.56</v>
      </c>
      <c r="CN22" s="69">
        <v>0</v>
      </c>
      <c r="CO22" s="69">
        <v>5.65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117">
        <v>99.990000000000009</v>
      </c>
      <c r="CZ22" s="283">
        <v>0.20998531571218793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v>1.3554727211114873E-3</v>
      </c>
      <c r="DG22" s="283">
        <v>5.1282051282051273E-2</v>
      </c>
      <c r="DH22" s="283">
        <v>0</v>
      </c>
      <c r="DI22" s="283">
        <v>0</v>
      </c>
      <c r="DJ22" s="283">
        <v>0.21721450355811586</v>
      </c>
      <c r="DK22" s="283">
        <v>0.41613012538122668</v>
      </c>
      <c r="DL22" s="283">
        <v>4.021235739297413E-2</v>
      </c>
      <c r="DM22" s="283">
        <v>0</v>
      </c>
      <c r="DN22" s="283">
        <v>6.382017395233254E-2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v>0</v>
      </c>
      <c r="DV22" s="283">
        <v>0</v>
      </c>
      <c r="DW22" s="283">
        <v>0</v>
      </c>
      <c r="DX22" s="69">
        <v>0.99999999999999989</v>
      </c>
      <c r="DY22" s="70">
        <v>54.648893591943903</v>
      </c>
      <c r="DZ22" s="70">
        <v>28.270406089702437</v>
      </c>
      <c r="EA22" s="70">
        <v>4.9140875811853819</v>
      </c>
      <c r="EB22" s="70">
        <v>0.99306123344855179</v>
      </c>
      <c r="EC22" s="70">
        <v>0</v>
      </c>
      <c r="ED22" s="70">
        <v>0.4200053333907513</v>
      </c>
      <c r="EE22" s="70">
        <v>4.5615362955846298E-2</v>
      </c>
      <c r="EF22" s="70">
        <v>0</v>
      </c>
      <c r="EG22" s="70">
        <v>0.50548766786401456</v>
      </c>
      <c r="EH22" s="70">
        <v>0.13780496369804413</v>
      </c>
      <c r="EI22" s="70">
        <v>0</v>
      </c>
      <c r="EJ22" s="70">
        <v>10.064638175811066</v>
      </c>
      <c r="EK22" s="70">
        <v>0</v>
      </c>
      <c r="EL22" s="70">
        <v>99.999999999999986</v>
      </c>
      <c r="EM22" s="69">
        <v>98.087875868972276</v>
      </c>
      <c r="EN22" s="69" t="s">
        <v>146</v>
      </c>
      <c r="EO22" s="287">
        <v>5.9965243256443035E-2</v>
      </c>
      <c r="EP22" s="257">
        <f t="shared" si="12"/>
        <v>5.9965243256443035</v>
      </c>
      <c r="EQ22" s="257">
        <f t="shared" si="13"/>
        <v>91.488400120518236</v>
      </c>
      <c r="ER22" s="324">
        <f t="shared" si="14"/>
        <v>0.79677231689907324</v>
      </c>
      <c r="ES22" s="257">
        <f t="shared" si="15"/>
        <v>1.5450240536764006</v>
      </c>
      <c r="ET22">
        <f t="shared" si="8"/>
        <v>250</v>
      </c>
      <c r="EU22" s="324">
        <f t="shared" si="16"/>
        <v>0.51570220865050309</v>
      </c>
      <c r="EV22" s="39">
        <f t="shared" si="17"/>
        <v>175.4</v>
      </c>
      <c r="EW22"/>
      <c r="EX22">
        <f t="shared" si="18"/>
        <v>0.44551282051282048</v>
      </c>
      <c r="EY22"/>
      <c r="EZ22"/>
      <c r="FA22"/>
      <c r="FB22"/>
      <c r="FC22"/>
      <c r="FD22"/>
    </row>
    <row r="23" spans="1:160" s="48" customFormat="1" ht="13" customHeight="1" x14ac:dyDescent="0.2">
      <c r="A23" s="65" t="s">
        <v>147</v>
      </c>
      <c r="B23" s="66" t="s">
        <v>421</v>
      </c>
      <c r="C23" s="274">
        <f t="shared" si="19"/>
        <v>174.4</v>
      </c>
      <c r="D23" s="67">
        <v>300</v>
      </c>
      <c r="E23" s="67">
        <v>400</v>
      </c>
      <c r="F23" s="67">
        <f t="shared" si="3"/>
        <v>350</v>
      </c>
      <c r="G23" s="82" t="s">
        <v>513</v>
      </c>
      <c r="H23" s="84">
        <v>7.5</v>
      </c>
      <c r="I23" s="85">
        <v>4</v>
      </c>
      <c r="J23" s="85">
        <v>6</v>
      </c>
      <c r="K23" s="89">
        <f t="shared" si="10"/>
        <v>5</v>
      </c>
      <c r="L23" s="67">
        <v>132</v>
      </c>
      <c r="M23" s="67">
        <v>86</v>
      </c>
      <c r="N23" s="67">
        <v>40</v>
      </c>
      <c r="O23" s="68">
        <v>54.47</v>
      </c>
      <c r="P23" s="68">
        <v>22.83</v>
      </c>
      <c r="Q23" s="68">
        <v>10.31</v>
      </c>
      <c r="R23" s="68">
        <v>0.104</v>
      </c>
      <c r="S23" s="68">
        <v>0.57999999999999996</v>
      </c>
      <c r="T23" s="68">
        <v>0</v>
      </c>
      <c r="U23" s="68">
        <v>0.06</v>
      </c>
      <c r="V23" s="68">
        <v>0.45</v>
      </c>
      <c r="W23" s="68">
        <v>0.98299999999999998</v>
      </c>
      <c r="X23" s="68">
        <v>0.16</v>
      </c>
      <c r="Y23" s="68">
        <v>10.81</v>
      </c>
      <c r="Z23" s="68">
        <v>100.8</v>
      </c>
      <c r="AA23" s="68">
        <v>29</v>
      </c>
      <c r="AB23" s="68">
        <v>4</v>
      </c>
      <c r="AC23" s="68">
        <v>179</v>
      </c>
      <c r="AD23" s="68">
        <v>0</v>
      </c>
      <c r="AE23" s="68">
        <v>22</v>
      </c>
      <c r="AF23" s="68">
        <v>0</v>
      </c>
      <c r="AG23" s="68">
        <v>60</v>
      </c>
      <c r="AH23" s="68">
        <v>70</v>
      </c>
      <c r="AI23" s="68">
        <v>23</v>
      </c>
      <c r="AJ23" s="68">
        <v>1</v>
      </c>
      <c r="AK23" s="68">
        <v>0</v>
      </c>
      <c r="AL23" s="68">
        <v>37</v>
      </c>
      <c r="AM23" s="68">
        <v>4</v>
      </c>
      <c r="AN23" s="68">
        <f>'O.G.Chem Results'!AN23/'O.G.Chem Results'!$AN$142</f>
        <v>7.0512820512820511</v>
      </c>
      <c r="AO23" s="68">
        <v>193</v>
      </c>
      <c r="AP23" s="68">
        <v>6</v>
      </c>
      <c r="AQ23" s="68" t="s">
        <v>72</v>
      </c>
      <c r="AR23" s="68" t="s">
        <v>74</v>
      </c>
      <c r="AS23" s="68" t="s">
        <v>73</v>
      </c>
      <c r="AT23" s="68">
        <v>1</v>
      </c>
      <c r="AU23" s="68" t="s">
        <v>74</v>
      </c>
      <c r="AV23" s="68">
        <v>0.8</v>
      </c>
      <c r="AW23" s="68">
        <v>142</v>
      </c>
      <c r="AX23" s="68" t="s">
        <v>75</v>
      </c>
      <c r="AY23" s="68">
        <f>'O.G.Chem Results'!AY23/'O.G.Chem Results'!AY$142</f>
        <v>69.361702127659584</v>
      </c>
      <c r="AZ23" s="68">
        <f>'O.G.Chem Results'!AZ23/'O.G.Chem Results'!AZ$142</f>
        <v>87.035809018567633</v>
      </c>
      <c r="BA23" s="68">
        <f>'O.G.Chem Results'!BA23/'O.G.Chem Results'!BA$142</f>
        <v>50.617283950617285</v>
      </c>
      <c r="BB23" s="68">
        <f>'O.G.Chem Results'!BB23/'O.G.Chem Results'!BB$142</f>
        <v>40.008841732979668</v>
      </c>
      <c r="BC23" s="68">
        <f>'O.G.Chem Results'!BC23/'O.G.Chem Results'!BC$142</f>
        <v>28.552005438477231</v>
      </c>
      <c r="BD23" s="68">
        <f>'O.G.Chem Results'!BD23/'O.G.Chem Results'!BD$142</f>
        <v>18.214285714285715</v>
      </c>
      <c r="BE23" s="68">
        <f>'O.G.Chem Results'!BE23/'O.G.Chem Results'!BE$142</f>
        <v>17.613636363636367</v>
      </c>
      <c r="BF23" s="68">
        <f>'O.G.Chem Results'!BF23/'O.G.Chem Results'!BF$142</f>
        <v>13.774104683195592</v>
      </c>
      <c r="BG23" s="68">
        <f>'O.G.Chem Results'!BG23/'O.G.Chem Results'!BG$142</f>
        <v>12.772970745776679</v>
      </c>
      <c r="BH23" s="68">
        <f>'O.G.Chem Results'!BH23/'O.G.Chem Results'!BH$142</f>
        <v>10.791366906474819</v>
      </c>
      <c r="BI23" s="68">
        <f>'O.G.Chem Results'!BI23/'O.G.Chem Results'!BI$142</f>
        <v>11.32787916928886</v>
      </c>
      <c r="BJ23" s="68">
        <f>'O.G.Chem Results'!BJ23/'O.G.Chem Results'!BJ$142</f>
        <v>11.983471074380164</v>
      </c>
      <c r="BK23" s="68">
        <f>'O.G.Chem Results'!BK23/'O.G.Chem Results'!BK$142</f>
        <v>13.538461538461538</v>
      </c>
      <c r="BL23" s="68">
        <f>'O.G.Chem Results'!BL23/'O.G.Chem Results'!BL$142</f>
        <v>13.991769547325102</v>
      </c>
      <c r="BM23" s="68">
        <v>4.5999999999999996</v>
      </c>
      <c r="BN23" s="68">
        <v>0.4</v>
      </c>
      <c r="BO23" s="68">
        <v>0</v>
      </c>
      <c r="BP23" s="68">
        <v>0</v>
      </c>
      <c r="BQ23" s="68">
        <v>142</v>
      </c>
      <c r="BR23" s="68">
        <v>2.7</v>
      </c>
      <c r="BS23" s="68">
        <v>0.9</v>
      </c>
      <c r="BT23" s="69">
        <f t="shared" si="4"/>
        <v>0.55650379843443698</v>
      </c>
      <c r="BU23" s="117">
        <f t="shared" si="5"/>
        <v>399.58358801112627</v>
      </c>
      <c r="BV23" s="48">
        <f t="shared" si="6"/>
        <v>350</v>
      </c>
      <c r="BW23" s="70">
        <f t="shared" si="7"/>
        <v>97.814910025706951</v>
      </c>
      <c r="BX23" s="69">
        <f t="shared" si="11"/>
        <v>1.7194879342692631</v>
      </c>
      <c r="BY23" s="69">
        <v>8.83</v>
      </c>
      <c r="BZ23" s="69">
        <v>0.69</v>
      </c>
      <c r="CA23" s="69">
        <v>19.66</v>
      </c>
      <c r="CB23" s="69">
        <v>0</v>
      </c>
      <c r="CC23" s="69">
        <v>0</v>
      </c>
      <c r="CD23" s="69">
        <v>0</v>
      </c>
      <c r="CE23" s="69">
        <v>0</v>
      </c>
      <c r="CF23" s="69">
        <v>0</v>
      </c>
      <c r="CG23" s="69">
        <v>0.09</v>
      </c>
      <c r="CH23" s="69">
        <v>4.1399999999999997</v>
      </c>
      <c r="CI23" s="69">
        <v>0</v>
      </c>
      <c r="CJ23" s="69">
        <v>0</v>
      </c>
      <c r="CK23" s="69">
        <v>18.91</v>
      </c>
      <c r="CL23" s="69">
        <v>31.43</v>
      </c>
      <c r="CM23" s="69">
        <v>4.4400000000000004</v>
      </c>
      <c r="CN23" s="69">
        <v>0</v>
      </c>
      <c r="CO23" s="69">
        <v>11.8</v>
      </c>
      <c r="CP23" s="69">
        <v>0</v>
      </c>
      <c r="CQ23" s="69">
        <v>0</v>
      </c>
      <c r="CR23" s="69">
        <v>0</v>
      </c>
      <c r="CS23" s="69">
        <v>0</v>
      </c>
      <c r="CT23" s="69">
        <v>0</v>
      </c>
      <c r="CU23" s="69">
        <v>0</v>
      </c>
      <c r="CV23" s="69">
        <v>0</v>
      </c>
      <c r="CW23" s="69">
        <v>0</v>
      </c>
      <c r="CX23" s="69">
        <v>0</v>
      </c>
      <c r="CY23" s="117">
        <v>99.99</v>
      </c>
      <c r="CZ23" s="283">
        <v>0.21730960539405331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v>9.9480490770421145E-4</v>
      </c>
      <c r="DG23" s="283">
        <v>4.5761025754393725E-2</v>
      </c>
      <c r="DH23" s="283">
        <v>0</v>
      </c>
      <c r="DI23" s="283">
        <v>0</v>
      </c>
      <c r="DJ23" s="283">
        <v>0.20901956449651821</v>
      </c>
      <c r="DK23" s="283">
        <v>0.34740798054603744</v>
      </c>
      <c r="DL23" s="283">
        <v>4.9077042113407771E-2</v>
      </c>
      <c r="DM23" s="283">
        <v>0</v>
      </c>
      <c r="DN23" s="283">
        <v>0.13042997678788551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v>0</v>
      </c>
      <c r="DV23" s="283">
        <v>0</v>
      </c>
      <c r="DW23" s="283">
        <v>0</v>
      </c>
      <c r="DX23" s="69">
        <v>1.0000000000000002</v>
      </c>
      <c r="DY23" s="70">
        <v>54.907620336908501</v>
      </c>
      <c r="DZ23" s="70">
        <v>27.249861341460868</v>
      </c>
      <c r="EA23" s="70">
        <v>4.4385393641508779</v>
      </c>
      <c r="EB23" s="70">
        <v>2.0295299371071307</v>
      </c>
      <c r="EC23" s="70">
        <v>0</v>
      </c>
      <c r="ED23" s="70">
        <v>0.80390562944241506</v>
      </c>
      <c r="EE23" s="70">
        <v>6.2909763745829378E-2</v>
      </c>
      <c r="EF23" s="70">
        <v>0</v>
      </c>
      <c r="EG23" s="70">
        <v>0.90260818174954083</v>
      </c>
      <c r="EH23" s="70">
        <v>0.28163348833577384</v>
      </c>
      <c r="EI23" s="70">
        <v>0</v>
      </c>
      <c r="EJ23" s="70">
        <v>9.3233919570990871</v>
      </c>
      <c r="EK23" s="70">
        <v>0</v>
      </c>
      <c r="EL23" s="70">
        <v>100.00000000000003</v>
      </c>
      <c r="EM23" s="69">
        <v>96.578043712700605</v>
      </c>
      <c r="EN23" s="69" t="s">
        <v>147</v>
      </c>
      <c r="EO23" s="287">
        <v>6.65072699559765E-2</v>
      </c>
      <c r="EP23" s="257">
        <f t="shared" si="12"/>
        <v>6.6507269955976502</v>
      </c>
      <c r="EQ23" s="257">
        <f t="shared" si="13"/>
        <v>82.220882929034218</v>
      </c>
      <c r="ER23" s="324">
        <f t="shared" si="14"/>
        <v>0.78908404619869543</v>
      </c>
      <c r="ES23" s="257">
        <f t="shared" si="15"/>
        <v>1.4608859504445377</v>
      </c>
      <c r="ET23">
        <f t="shared" si="8"/>
        <v>350</v>
      </c>
      <c r="EU23" s="324">
        <f t="shared" si="16"/>
        <v>0.54014075907745052</v>
      </c>
      <c r="EV23" s="39">
        <f t="shared" si="17"/>
        <v>174.4</v>
      </c>
      <c r="EW23"/>
      <c r="EX23">
        <f t="shared" si="18"/>
        <v>0.65341880341880354</v>
      </c>
      <c r="EY23"/>
      <c r="EZ23"/>
      <c r="FA23"/>
      <c r="FB23"/>
      <c r="FC23"/>
      <c r="FD23"/>
    </row>
    <row r="24" spans="1:160" s="48" customFormat="1" ht="13" customHeight="1" x14ac:dyDescent="0.2">
      <c r="A24" s="65" t="s">
        <v>148</v>
      </c>
      <c r="B24" s="66" t="s">
        <v>421</v>
      </c>
      <c r="C24" s="274">
        <f t="shared" si="19"/>
        <v>173.4</v>
      </c>
      <c r="D24" s="67">
        <v>400</v>
      </c>
      <c r="E24" s="67">
        <v>500</v>
      </c>
      <c r="F24" s="67">
        <f t="shared" si="3"/>
        <v>450</v>
      </c>
      <c r="G24" s="82" t="s">
        <v>513</v>
      </c>
      <c r="H24" s="84">
        <v>7.5</v>
      </c>
      <c r="I24" s="85">
        <v>4</v>
      </c>
      <c r="J24" s="85">
        <v>6</v>
      </c>
      <c r="K24" s="89">
        <f t="shared" si="10"/>
        <v>5</v>
      </c>
      <c r="L24" s="67">
        <v>132</v>
      </c>
      <c r="M24" s="67">
        <v>86</v>
      </c>
      <c r="N24" s="67">
        <v>40</v>
      </c>
      <c r="O24" s="68">
        <v>55.48</v>
      </c>
      <c r="P24" s="68">
        <v>22.03</v>
      </c>
      <c r="Q24" s="68">
        <v>8.9499999999999993</v>
      </c>
      <c r="R24" s="68">
        <v>8.8999999999999996E-2</v>
      </c>
      <c r="S24" s="68">
        <v>0.99</v>
      </c>
      <c r="T24" s="68">
        <v>0.01</v>
      </c>
      <c r="U24" s="68">
        <v>0.05</v>
      </c>
      <c r="V24" s="68">
        <v>0.76</v>
      </c>
      <c r="W24" s="68">
        <v>0.90900000000000003</v>
      </c>
      <c r="X24" s="68">
        <v>0.16</v>
      </c>
      <c r="Y24" s="68">
        <v>10.45</v>
      </c>
      <c r="Z24" s="68">
        <v>99.89</v>
      </c>
      <c r="AA24" s="68">
        <v>27</v>
      </c>
      <c r="AB24" s="68">
        <v>3</v>
      </c>
      <c r="AC24" s="68">
        <v>167</v>
      </c>
      <c r="AD24" s="68">
        <v>30</v>
      </c>
      <c r="AE24" s="68">
        <v>24</v>
      </c>
      <c r="AF24" s="68">
        <v>0</v>
      </c>
      <c r="AG24" s="68">
        <v>100</v>
      </c>
      <c r="AH24" s="68">
        <v>80</v>
      </c>
      <c r="AI24" s="68">
        <v>24</v>
      </c>
      <c r="AJ24" s="68">
        <v>1</v>
      </c>
      <c r="AK24" s="68">
        <v>0</v>
      </c>
      <c r="AL24" s="68">
        <v>79</v>
      </c>
      <c r="AM24" s="68">
        <v>8</v>
      </c>
      <c r="AN24" s="68">
        <f>'O.G.Chem Results'!AN24/'O.G.Chem Results'!$AN$142</f>
        <v>23.717948717948715</v>
      </c>
      <c r="AO24" s="68">
        <v>160</v>
      </c>
      <c r="AP24" s="68">
        <v>7</v>
      </c>
      <c r="AQ24" s="68" t="s">
        <v>72</v>
      </c>
      <c r="AR24" s="68" t="s">
        <v>74</v>
      </c>
      <c r="AS24" s="68" t="s">
        <v>73</v>
      </c>
      <c r="AT24" s="68">
        <v>1</v>
      </c>
      <c r="AU24" s="68" t="s">
        <v>74</v>
      </c>
      <c r="AV24" s="68">
        <v>1.6</v>
      </c>
      <c r="AW24" s="68">
        <v>280</v>
      </c>
      <c r="AX24" s="68" t="s">
        <v>75</v>
      </c>
      <c r="AY24" s="68">
        <f>'O.G.Chem Results'!AY24/'O.G.Chem Results'!AY$142</f>
        <v>186.80851063829789</v>
      </c>
      <c r="AZ24" s="68">
        <f>'O.G.Chem Results'!AZ24/'O.G.Chem Results'!AZ$142</f>
        <v>96.651193633952232</v>
      </c>
      <c r="BA24" s="68">
        <f>'O.G.Chem Results'!BA24/'O.G.Chem Results'!BA$142</f>
        <v>122.334455667789</v>
      </c>
      <c r="BB24" s="68">
        <f>'O.G.Chem Results'!BB24/'O.G.Chem Results'!BB$142</f>
        <v>96.816976127320956</v>
      </c>
      <c r="BC24" s="68">
        <f>'O.G.Chem Results'!BC24/'O.G.Chem Results'!BC$142</f>
        <v>67.301155676410616</v>
      </c>
      <c r="BD24" s="68">
        <f>'O.G.Chem Results'!BD24/'O.G.Chem Results'!BD$142</f>
        <v>46.607142857142854</v>
      </c>
      <c r="BE24" s="68">
        <f>'O.G.Chem Results'!BE24/'O.G.Chem Results'!BE$142</f>
        <v>52.272727272727273</v>
      </c>
      <c r="BF24" s="68">
        <f>'O.G.Chem Results'!BF24/'O.G.Chem Results'!BF$142</f>
        <v>38.567493112947659</v>
      </c>
      <c r="BG24" s="68">
        <f>'O.G.Chem Results'!BG24/'O.G.Chem Results'!BG$142</f>
        <v>34.610630407911003</v>
      </c>
      <c r="BH24" s="68">
        <f>'O.G.Chem Results'!BH24/'O.G.Chem Results'!BH$142</f>
        <v>30.57553956834532</v>
      </c>
      <c r="BI24" s="68">
        <f>'O.G.Chem Results'!BI24/'O.G.Chem Results'!BI$142</f>
        <v>31.46633102580239</v>
      </c>
      <c r="BJ24" s="68">
        <f>'O.G.Chem Results'!BJ24/'O.G.Chem Results'!BJ$142</f>
        <v>31.404958677685951</v>
      </c>
      <c r="BK24" s="68">
        <f>'O.G.Chem Results'!BK24/'O.G.Chem Results'!BK$142</f>
        <v>33.230769230769234</v>
      </c>
      <c r="BL24" s="68">
        <f>'O.G.Chem Results'!BL24/'O.G.Chem Results'!BL$142</f>
        <v>33.333333333333336</v>
      </c>
      <c r="BM24" s="68">
        <v>4.2</v>
      </c>
      <c r="BN24" s="68">
        <v>0.4</v>
      </c>
      <c r="BO24" s="68">
        <v>0</v>
      </c>
      <c r="BP24" s="68">
        <v>0.2</v>
      </c>
      <c r="BQ24" s="68">
        <v>16</v>
      </c>
      <c r="BR24" s="68">
        <v>3.4</v>
      </c>
      <c r="BS24" s="68">
        <v>0.9</v>
      </c>
      <c r="BT24" s="69">
        <f t="shared" si="4"/>
        <v>0.34096978222034396</v>
      </c>
      <c r="BU24" s="117">
        <f t="shared" si="5"/>
        <v>901.98121723043585</v>
      </c>
      <c r="BV24" s="48">
        <f t="shared" si="6"/>
        <v>450</v>
      </c>
      <c r="BW24" s="70">
        <f t="shared" si="7"/>
        <v>96.411378555798663</v>
      </c>
      <c r="BX24" s="69">
        <f t="shared" si="11"/>
        <v>0.79005700484267372</v>
      </c>
      <c r="BY24" s="69">
        <v>9.8800000000000008</v>
      </c>
      <c r="BZ24" s="69">
        <v>0.5</v>
      </c>
      <c r="CA24" s="69">
        <v>26.21</v>
      </c>
      <c r="CB24" s="69">
        <v>0</v>
      </c>
      <c r="CC24" s="69">
        <v>0</v>
      </c>
      <c r="CD24" s="69">
        <v>0</v>
      </c>
      <c r="CE24" s="69">
        <v>0</v>
      </c>
      <c r="CF24" s="69">
        <v>0</v>
      </c>
      <c r="CG24" s="69">
        <v>0</v>
      </c>
      <c r="CH24" s="69">
        <v>3.99</v>
      </c>
      <c r="CI24" s="69">
        <v>0</v>
      </c>
      <c r="CJ24" s="69">
        <v>0</v>
      </c>
      <c r="CK24" s="69">
        <v>3.59</v>
      </c>
      <c r="CL24" s="69">
        <v>32.74</v>
      </c>
      <c r="CM24" s="69">
        <v>1.06</v>
      </c>
      <c r="CN24" s="69">
        <v>0</v>
      </c>
      <c r="CO24" s="69">
        <v>13.09</v>
      </c>
      <c r="CP24" s="69">
        <v>8.93</v>
      </c>
      <c r="CQ24" s="69">
        <v>0</v>
      </c>
      <c r="CR24" s="69">
        <v>0</v>
      </c>
      <c r="CS24" s="69">
        <v>0</v>
      </c>
      <c r="CT24" s="69">
        <v>0</v>
      </c>
      <c r="CU24" s="69">
        <v>0</v>
      </c>
      <c r="CV24" s="69">
        <v>0</v>
      </c>
      <c r="CW24" s="69">
        <v>0</v>
      </c>
      <c r="CX24" s="69">
        <v>0</v>
      </c>
      <c r="CY24" s="117">
        <v>99.990000000000009</v>
      </c>
      <c r="CZ24" s="283">
        <v>0.29248967749135135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v>0</v>
      </c>
      <c r="DG24" s="283">
        <v>4.4526280549045859E-2</v>
      </c>
      <c r="DH24" s="283">
        <v>0</v>
      </c>
      <c r="DI24" s="283">
        <v>0</v>
      </c>
      <c r="DJ24" s="283">
        <v>4.0062493025331984E-2</v>
      </c>
      <c r="DK24" s="283">
        <v>0.36536100881598033</v>
      </c>
      <c r="DL24" s="283">
        <v>1.1829036937841757E-2</v>
      </c>
      <c r="DM24" s="283">
        <v>0</v>
      </c>
      <c r="DN24" s="283">
        <v>0.14607744671353642</v>
      </c>
      <c r="DO24" s="283">
        <v>9.9654056466912153E-2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v>0</v>
      </c>
      <c r="DV24" s="283">
        <v>0</v>
      </c>
      <c r="DW24" s="283">
        <v>0</v>
      </c>
      <c r="DX24" s="69">
        <v>0.99999999999999978</v>
      </c>
      <c r="DY24" s="70">
        <v>59.774288343576053</v>
      </c>
      <c r="DZ24" s="70">
        <v>22.921225618699872</v>
      </c>
      <c r="EA24" s="70">
        <v>3.8302264762670868</v>
      </c>
      <c r="EB24" s="70">
        <v>2.7202631614377015</v>
      </c>
      <c r="EC24" s="70">
        <v>0</v>
      </c>
      <c r="ED24" s="70">
        <v>1.0769705188965155</v>
      </c>
      <c r="EE24" s="70">
        <v>3.0957270049874454E-2</v>
      </c>
      <c r="EF24" s="70">
        <v>0</v>
      </c>
      <c r="EG24" s="70">
        <v>1.9981104385293651</v>
      </c>
      <c r="EH24" s="70">
        <v>0.31542059500648129</v>
      </c>
      <c r="EI24" s="70">
        <v>0</v>
      </c>
      <c r="EJ24" s="70">
        <v>7.3325375775370354</v>
      </c>
      <c r="EK24" s="70">
        <v>0</v>
      </c>
      <c r="EL24" s="70">
        <v>99.999999999999972</v>
      </c>
      <c r="EM24" s="69">
        <v>91.867559703753926</v>
      </c>
      <c r="EN24" s="69" t="s">
        <v>148</v>
      </c>
      <c r="EO24" s="287">
        <v>6.7953133222341811E-2</v>
      </c>
      <c r="EP24" s="257">
        <f t="shared" si="12"/>
        <v>6.7953133222341808</v>
      </c>
      <c r="EQ24" s="257">
        <f t="shared" si="13"/>
        <v>64.677574590952844</v>
      </c>
      <c r="ER24" s="324">
        <f t="shared" si="14"/>
        <v>0.77955389099420191</v>
      </c>
      <c r="ES24" s="257">
        <f t="shared" si="15"/>
        <v>0.61635337263454892</v>
      </c>
      <c r="ET24">
        <f t="shared" si="8"/>
        <v>450</v>
      </c>
      <c r="EU24" s="324">
        <f t="shared" si="16"/>
        <v>1.2647840112597528</v>
      </c>
      <c r="EV24" s="39">
        <f t="shared" si="17"/>
        <v>173.4</v>
      </c>
      <c r="EW24"/>
      <c r="EX24">
        <f t="shared" si="18"/>
        <v>0.77571644042232279</v>
      </c>
      <c r="EY24"/>
      <c r="EZ24"/>
      <c r="FA24"/>
      <c r="FB24"/>
      <c r="FC24"/>
      <c r="FD24"/>
    </row>
    <row r="25" spans="1:160" s="48" customFormat="1" ht="13" customHeight="1" x14ac:dyDescent="0.2">
      <c r="A25" s="65" t="s">
        <v>149</v>
      </c>
      <c r="B25" s="66" t="s">
        <v>421</v>
      </c>
      <c r="C25" s="274">
        <f t="shared" si="19"/>
        <v>172.4</v>
      </c>
      <c r="D25" s="67">
        <v>500</v>
      </c>
      <c r="E25" s="67">
        <v>600</v>
      </c>
      <c r="F25" s="67">
        <f t="shared" si="3"/>
        <v>550</v>
      </c>
      <c r="G25" s="82" t="s">
        <v>520</v>
      </c>
      <c r="H25" s="84">
        <v>10</v>
      </c>
      <c r="I25" s="85">
        <v>5</v>
      </c>
      <c r="J25" s="85">
        <v>3</v>
      </c>
      <c r="K25" s="89">
        <f t="shared" si="10"/>
        <v>16.666666666666668</v>
      </c>
      <c r="L25" s="67">
        <v>141</v>
      </c>
      <c r="M25" s="67">
        <v>118</v>
      </c>
      <c r="N25" s="67">
        <v>90</v>
      </c>
      <c r="O25" s="68">
        <v>56.59</v>
      </c>
      <c r="P25" s="68">
        <v>20.309999999999999</v>
      </c>
      <c r="Q25" s="68">
        <v>8.84</v>
      </c>
      <c r="R25" s="68">
        <v>0.11</v>
      </c>
      <c r="S25" s="68">
        <v>1.94</v>
      </c>
      <c r="T25" s="68">
        <v>1.6</v>
      </c>
      <c r="U25" s="68">
        <v>1.1000000000000001</v>
      </c>
      <c r="V25" s="68">
        <v>1.1299999999999999</v>
      </c>
      <c r="W25" s="68">
        <v>0.89</v>
      </c>
      <c r="X25" s="68">
        <v>0.16</v>
      </c>
      <c r="Y25" s="68">
        <v>7.78</v>
      </c>
      <c r="Z25" s="68">
        <v>100.4</v>
      </c>
      <c r="AA25" s="68">
        <v>23</v>
      </c>
      <c r="AB25" s="68">
        <v>4</v>
      </c>
      <c r="AC25" s="68">
        <v>173</v>
      </c>
      <c r="AD25" s="68">
        <v>40</v>
      </c>
      <c r="AE25" s="68">
        <v>29</v>
      </c>
      <c r="AF25" s="68">
        <v>0</v>
      </c>
      <c r="AG25" s="68">
        <v>70</v>
      </c>
      <c r="AH25" s="68">
        <v>130</v>
      </c>
      <c r="AI25" s="68">
        <v>21</v>
      </c>
      <c r="AJ25" s="68">
        <v>1</v>
      </c>
      <c r="AK25" s="68">
        <v>0</v>
      </c>
      <c r="AL25" s="68">
        <v>102</v>
      </c>
      <c r="AM25" s="68">
        <v>122</v>
      </c>
      <c r="AN25" s="68">
        <f>'O.G.Chem Results'!AN25/'O.G.Chem Results'!$AN$142</f>
        <v>44.871794871794869</v>
      </c>
      <c r="AO25" s="68">
        <v>178</v>
      </c>
      <c r="AP25" s="68">
        <v>7</v>
      </c>
      <c r="AQ25" s="68" t="s">
        <v>72</v>
      </c>
      <c r="AR25" s="68" t="s">
        <v>74</v>
      </c>
      <c r="AS25" s="68" t="s">
        <v>73</v>
      </c>
      <c r="AT25" s="68">
        <v>2</v>
      </c>
      <c r="AU25" s="68" t="s">
        <v>74</v>
      </c>
      <c r="AV25" s="68">
        <v>1.3</v>
      </c>
      <c r="AW25" s="68">
        <v>384</v>
      </c>
      <c r="AX25" s="68" t="s">
        <v>75</v>
      </c>
      <c r="AY25" s="68">
        <f>'O.G.Chem Results'!AY25/'O.G.Chem Results'!AY$142</f>
        <v>175.31914893617022</v>
      </c>
      <c r="AZ25" s="68">
        <f>'O.G.Chem Results'!AZ25/'O.G.Chem Results'!AZ$142</f>
        <v>64.820954907161806</v>
      </c>
      <c r="BA25" s="68">
        <f>'O.G.Chem Results'!BA25/'O.G.Chem Results'!BA$142</f>
        <v>113.35578002244668</v>
      </c>
      <c r="BB25" s="68">
        <f>'O.G.Chem Results'!BB25/'O.G.Chem Results'!BB$142</f>
        <v>93.059239610963758</v>
      </c>
      <c r="BC25" s="68">
        <f>'O.G.Chem Results'!BC25/'O.G.Chem Results'!BC$142</f>
        <v>74.09925220938139</v>
      </c>
      <c r="BD25" s="68">
        <f>'O.G.Chem Results'!BD25/'O.G.Chem Results'!BD$142</f>
        <v>55.535714285714285</v>
      </c>
      <c r="BE25" s="68">
        <f>'O.G.Chem Results'!BE25/'O.G.Chem Results'!BE$142</f>
        <v>77.840909090909093</v>
      </c>
      <c r="BF25" s="68">
        <f>'O.G.Chem Results'!BF25/'O.G.Chem Results'!BF$142</f>
        <v>57.851239669421489</v>
      </c>
      <c r="BG25" s="68">
        <f>'O.G.Chem Results'!BG25/'O.G.Chem Results'!BG$142</f>
        <v>50.679851668726826</v>
      </c>
      <c r="BH25" s="68">
        <f>'O.G.Chem Results'!BH25/'O.G.Chem Results'!BH$142</f>
        <v>44.964028776978417</v>
      </c>
      <c r="BI25" s="68">
        <f>'O.G.Chem Results'!BI25/'O.G.Chem Results'!BI$142</f>
        <v>44.682190056639392</v>
      </c>
      <c r="BJ25" s="68">
        <f>'O.G.Chem Results'!BJ25/'O.G.Chem Results'!BJ$142</f>
        <v>43.388429752066116</v>
      </c>
      <c r="BK25" s="68">
        <f>'O.G.Chem Results'!BK25/'O.G.Chem Results'!BK$142</f>
        <v>43.076923076923073</v>
      </c>
      <c r="BL25" s="68">
        <f>'O.G.Chem Results'!BL25/'O.G.Chem Results'!BL$142</f>
        <v>44.855967078189302</v>
      </c>
      <c r="BM25" s="68">
        <v>4.3</v>
      </c>
      <c r="BN25" s="68">
        <v>0.4</v>
      </c>
      <c r="BO25" s="68">
        <v>0</v>
      </c>
      <c r="BP25" s="68">
        <v>0.3</v>
      </c>
      <c r="BQ25" s="68">
        <v>492</v>
      </c>
      <c r="BR25" s="68">
        <v>3.2</v>
      </c>
      <c r="BS25" s="68">
        <v>0.6</v>
      </c>
      <c r="BT25" s="69">
        <f t="shared" si="4"/>
        <v>0.26992973630698164</v>
      </c>
      <c r="BU25" s="117">
        <f t="shared" si="5"/>
        <v>983.529629141692</v>
      </c>
      <c r="BV25" s="48">
        <f t="shared" si="6"/>
        <v>550</v>
      </c>
      <c r="BW25" s="70">
        <f t="shared" si="7"/>
        <v>84.134217067108523</v>
      </c>
      <c r="BX25" s="69">
        <f t="shared" si="11"/>
        <v>0.57183634477506107</v>
      </c>
      <c r="BY25" s="69">
        <v>10</v>
      </c>
      <c r="BZ25" s="69">
        <v>0.78</v>
      </c>
      <c r="CA25" s="69">
        <v>22.87</v>
      </c>
      <c r="CB25" s="69">
        <v>0</v>
      </c>
      <c r="CC25" s="69">
        <v>8.4600000000000009</v>
      </c>
      <c r="CD25" s="69">
        <v>0</v>
      </c>
      <c r="CE25" s="69">
        <v>0</v>
      </c>
      <c r="CF25" s="69">
        <v>4.2</v>
      </c>
      <c r="CG25" s="69">
        <v>0</v>
      </c>
      <c r="CH25" s="69">
        <v>0</v>
      </c>
      <c r="CI25" s="69">
        <v>0</v>
      </c>
      <c r="CJ25" s="69">
        <v>0</v>
      </c>
      <c r="CK25" s="69">
        <v>0</v>
      </c>
      <c r="CL25" s="69">
        <v>23.12</v>
      </c>
      <c r="CM25" s="69">
        <v>0</v>
      </c>
      <c r="CN25" s="69">
        <v>0</v>
      </c>
      <c r="CO25" s="69">
        <v>13.41</v>
      </c>
      <c r="CP25" s="69">
        <v>0</v>
      </c>
      <c r="CQ25" s="69">
        <v>17.12</v>
      </c>
      <c r="CR25" s="69">
        <v>0</v>
      </c>
      <c r="CS25" s="69">
        <v>0</v>
      </c>
      <c r="CT25" s="69">
        <v>0</v>
      </c>
      <c r="CU25" s="69">
        <v>0</v>
      </c>
      <c r="CV25" s="69">
        <v>0</v>
      </c>
      <c r="CW25" s="69">
        <v>0</v>
      </c>
      <c r="CX25" s="69">
        <v>0</v>
      </c>
      <c r="CY25" s="117">
        <v>99.960000000000008</v>
      </c>
      <c r="CZ25" s="283">
        <v>0.25644763399865439</v>
      </c>
      <c r="DA25" s="283">
        <v>0</v>
      </c>
      <c r="DB25" s="283">
        <v>9.4864319354115281E-2</v>
      </c>
      <c r="DC25" s="283">
        <v>0</v>
      </c>
      <c r="DD25" s="283">
        <v>0</v>
      </c>
      <c r="DE25" s="283">
        <v>4.7095761381475663E-2</v>
      </c>
      <c r="DF25" s="283">
        <v>0</v>
      </c>
      <c r="DG25" s="283">
        <v>0</v>
      </c>
      <c r="DH25" s="283">
        <v>0</v>
      </c>
      <c r="DI25" s="283">
        <v>0</v>
      </c>
      <c r="DJ25" s="283">
        <v>0</v>
      </c>
      <c r="DK25" s="283">
        <v>0.25925095312850416</v>
      </c>
      <c r="DL25" s="283">
        <v>0</v>
      </c>
      <c r="DM25" s="283">
        <v>0</v>
      </c>
      <c r="DN25" s="283">
        <v>0.15037003812514016</v>
      </c>
      <c r="DO25" s="283">
        <v>0</v>
      </c>
      <c r="DP25" s="283">
        <v>0.19197129401211033</v>
      </c>
      <c r="DQ25" s="283">
        <v>0</v>
      </c>
      <c r="DR25" s="283">
        <v>0</v>
      </c>
      <c r="DS25" s="283">
        <v>0</v>
      </c>
      <c r="DT25" s="283">
        <v>0</v>
      </c>
      <c r="DU25" s="283">
        <v>0</v>
      </c>
      <c r="DV25" s="283">
        <v>0</v>
      </c>
      <c r="DW25" s="283">
        <v>0</v>
      </c>
      <c r="DX25" s="69">
        <v>0.99999999999999989</v>
      </c>
      <c r="DY25" s="70">
        <v>61.230551754284654</v>
      </c>
      <c r="DZ25" s="70">
        <v>19.531577060653085</v>
      </c>
      <c r="EA25" s="70">
        <v>1.1167109547923242</v>
      </c>
      <c r="EB25" s="70">
        <v>5.3063886457026461</v>
      </c>
      <c r="EC25" s="70">
        <v>0</v>
      </c>
      <c r="ED25" s="70">
        <v>3.5656072964498122</v>
      </c>
      <c r="EE25" s="70">
        <v>0.65888246072526446</v>
      </c>
      <c r="EF25" s="70">
        <v>1.1215218619707903</v>
      </c>
      <c r="EG25" s="70">
        <v>1.5859745358038388</v>
      </c>
      <c r="EH25" s="70">
        <v>0.65992511532145626</v>
      </c>
      <c r="EI25" s="70">
        <v>0</v>
      </c>
      <c r="EJ25" s="70">
        <v>5.2228603142961223</v>
      </c>
      <c r="EK25" s="70">
        <v>0</v>
      </c>
      <c r="EL25" s="70">
        <v>99.999999999999972</v>
      </c>
      <c r="EM25" s="69">
        <v>85.298343352630482</v>
      </c>
      <c r="EN25" s="69" t="s">
        <v>149</v>
      </c>
      <c r="EO25" s="287">
        <v>6.9006745786082097E-2</v>
      </c>
      <c r="EP25" s="257">
        <f t="shared" si="12"/>
        <v>6.9006745786082098</v>
      </c>
      <c r="EQ25" s="257">
        <f t="shared" si="13"/>
        <v>60.684662946765187</v>
      </c>
      <c r="ER25" s="324">
        <f t="shared" si="14"/>
        <v>0.73102086782644626</v>
      </c>
      <c r="ES25" s="257">
        <f t="shared" si="15"/>
        <v>0.4382779896063832</v>
      </c>
      <c r="ET25">
        <f t="shared" si="8"/>
        <v>550</v>
      </c>
      <c r="EU25" s="324">
        <f t="shared" si="16"/>
        <v>1.6679388086154521</v>
      </c>
      <c r="EV25" s="39">
        <f t="shared" si="17"/>
        <v>172.4</v>
      </c>
      <c r="EW25"/>
      <c r="EX25">
        <f t="shared" si="18"/>
        <v>0.99794871794871787</v>
      </c>
      <c r="EY25"/>
      <c r="EZ25"/>
      <c r="FA25"/>
      <c r="FB25"/>
      <c r="FC25"/>
      <c r="FD25"/>
    </row>
    <row r="26" spans="1:160" s="48" customFormat="1" ht="13" customHeight="1" x14ac:dyDescent="0.2">
      <c r="A26" s="65" t="s">
        <v>150</v>
      </c>
      <c r="B26" s="66" t="s">
        <v>421</v>
      </c>
      <c r="C26" s="274">
        <f t="shared" si="19"/>
        <v>171.65</v>
      </c>
      <c r="D26" s="67">
        <v>600</v>
      </c>
      <c r="E26" s="67">
        <v>650</v>
      </c>
      <c r="F26" s="67">
        <f t="shared" si="3"/>
        <v>625</v>
      </c>
      <c r="G26" s="82" t="s">
        <v>521</v>
      </c>
      <c r="H26" s="84"/>
      <c r="I26" s="85"/>
      <c r="J26" s="85"/>
      <c r="K26" s="89"/>
      <c r="L26" s="67">
        <v>141</v>
      </c>
      <c r="M26" s="67">
        <v>118</v>
      </c>
      <c r="N26" s="67">
        <v>90</v>
      </c>
      <c r="O26" s="68">
        <v>62.4</v>
      </c>
      <c r="P26" s="68">
        <v>17.690000000000001</v>
      </c>
      <c r="Q26" s="68">
        <v>6.11</v>
      </c>
      <c r="R26" s="68">
        <v>0.106</v>
      </c>
      <c r="S26" s="68">
        <v>2.1800000000000002</v>
      </c>
      <c r="T26" s="68">
        <v>3.66</v>
      </c>
      <c r="U26" s="68">
        <v>2.74</v>
      </c>
      <c r="V26" s="68">
        <v>1.17</v>
      </c>
      <c r="W26" s="68">
        <v>0.65500000000000003</v>
      </c>
      <c r="X26" s="68">
        <v>0.09</v>
      </c>
      <c r="Y26" s="68">
        <v>3.81</v>
      </c>
      <c r="Z26" s="68">
        <v>100.6</v>
      </c>
      <c r="AA26" s="68">
        <v>14</v>
      </c>
      <c r="AB26" s="68">
        <v>3</v>
      </c>
      <c r="AC26" s="68">
        <v>108</v>
      </c>
      <c r="AD26" s="68">
        <v>20</v>
      </c>
      <c r="AE26" s="68">
        <v>15</v>
      </c>
      <c r="AF26" s="68">
        <v>0</v>
      </c>
      <c r="AG26" s="68">
        <v>50</v>
      </c>
      <c r="AH26" s="68">
        <v>100</v>
      </c>
      <c r="AI26" s="68">
        <v>19</v>
      </c>
      <c r="AJ26" s="68">
        <v>1</v>
      </c>
      <c r="AK26" s="68">
        <v>0</v>
      </c>
      <c r="AL26" s="68">
        <v>127</v>
      </c>
      <c r="AM26" s="68">
        <v>330</v>
      </c>
      <c r="AN26" s="68">
        <f>'O.G.Chem Results'!AN26/'O.G.Chem Results'!$AN$142</f>
        <v>41.666666666666664</v>
      </c>
      <c r="AO26" s="68">
        <v>139</v>
      </c>
      <c r="AP26" s="68">
        <v>6</v>
      </c>
      <c r="AQ26" s="68" t="s">
        <v>72</v>
      </c>
      <c r="AR26" s="68" t="s">
        <v>74</v>
      </c>
      <c r="AS26" s="68" t="s">
        <v>73</v>
      </c>
      <c r="AT26" s="68">
        <v>1</v>
      </c>
      <c r="AU26" s="68" t="s">
        <v>74</v>
      </c>
      <c r="AV26" s="68">
        <v>1</v>
      </c>
      <c r="AW26" s="68">
        <v>431</v>
      </c>
      <c r="AX26" s="68" t="s">
        <v>75</v>
      </c>
      <c r="AY26" s="68">
        <f>'O.G.Chem Results'!AY26/'O.G.Chem Results'!AY$142</f>
        <v>137.87234042553192</v>
      </c>
      <c r="AZ26" s="68">
        <f>'O.G.Chem Results'!AZ26/'O.G.Chem Results'!AZ$142</f>
        <v>78.249336870026525</v>
      </c>
      <c r="BA26" s="68">
        <f>'O.G.Chem Results'!BA26/'O.G.Chem Results'!BA$142</f>
        <v>87.654320987654316</v>
      </c>
      <c r="BB26" s="68">
        <f>'O.G.Chem Results'!BB26/'O.G.Chem Results'!BB$142</f>
        <v>67.418213969938108</v>
      </c>
      <c r="BC26" s="68">
        <f>'O.G.Chem Results'!BC26/'O.G.Chem Results'!BC$142</f>
        <v>41.468388851121688</v>
      </c>
      <c r="BD26" s="68">
        <f>'O.G.Chem Results'!BD26/'O.G.Chem Results'!BD$142</f>
        <v>30.535714285714285</v>
      </c>
      <c r="BE26" s="68">
        <f>'O.G.Chem Results'!BE26/'O.G.Chem Results'!BE$142</f>
        <v>41.477272727272727</v>
      </c>
      <c r="BF26" s="68">
        <f>'O.G.Chem Results'!BF26/'O.G.Chem Results'!BF$142</f>
        <v>41.32231404958678</v>
      </c>
      <c r="BG26" s="68">
        <f>'O.G.Chem Results'!BG26/'O.G.Chem Results'!BG$142</f>
        <v>39.967037494849606</v>
      </c>
      <c r="BH26" s="68">
        <f>'O.G.Chem Results'!BH26/'O.G.Chem Results'!BH$142</f>
        <v>34.172661870503596</v>
      </c>
      <c r="BI26" s="68">
        <f>'O.G.Chem Results'!BI26/'O.G.Chem Results'!BI$142</f>
        <v>33.354310887350529</v>
      </c>
      <c r="BJ26" s="68">
        <f>'O.G.Chem Results'!BJ26/'O.G.Chem Results'!BJ$142</f>
        <v>28.925619834710744</v>
      </c>
      <c r="BK26" s="68">
        <f>'O.G.Chem Results'!BK26/'O.G.Chem Results'!BK$142</f>
        <v>27.076923076923077</v>
      </c>
      <c r="BL26" s="68">
        <f>'O.G.Chem Results'!BL26/'O.G.Chem Results'!BL$142</f>
        <v>30.452674897119337</v>
      </c>
      <c r="BM26" s="68">
        <v>3.5</v>
      </c>
      <c r="BN26" s="68">
        <v>0.3</v>
      </c>
      <c r="BO26" s="68">
        <v>0</v>
      </c>
      <c r="BP26" s="68">
        <v>0.5</v>
      </c>
      <c r="BQ26" s="68">
        <v>16</v>
      </c>
      <c r="BR26" s="68">
        <v>7.9</v>
      </c>
      <c r="BS26" s="68">
        <v>0.6</v>
      </c>
      <c r="BT26" s="69">
        <f t="shared" si="4"/>
        <v>0.36206149169856844</v>
      </c>
      <c r="BU26" s="117">
        <f t="shared" si="5"/>
        <v>719.94713022830319</v>
      </c>
      <c r="BV26" s="48">
        <f t="shared" si="6"/>
        <v>625</v>
      </c>
      <c r="BW26" s="70">
        <f t="shared" si="7"/>
        <v>70.031670625494854</v>
      </c>
      <c r="BX26" s="69">
        <f t="shared" si="11"/>
        <v>0.89270370232002094</v>
      </c>
      <c r="BY26" s="69">
        <v>10</v>
      </c>
      <c r="BZ26" s="69">
        <v>1.56</v>
      </c>
      <c r="CA26" s="69">
        <v>21.46</v>
      </c>
      <c r="CB26" s="69">
        <v>0</v>
      </c>
      <c r="CC26" s="69">
        <v>23.46</v>
      </c>
      <c r="CD26" s="69">
        <v>0</v>
      </c>
      <c r="CE26" s="69">
        <v>0</v>
      </c>
      <c r="CF26" s="69">
        <v>7.86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11.84</v>
      </c>
      <c r="CM26" s="69">
        <v>0.04</v>
      </c>
      <c r="CN26" s="69">
        <v>0</v>
      </c>
      <c r="CO26" s="69">
        <v>0</v>
      </c>
      <c r="CP26" s="69">
        <v>0</v>
      </c>
      <c r="CQ26" s="69">
        <v>20.82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117">
        <v>97.04000000000002</v>
      </c>
      <c r="CZ26" s="283">
        <v>0.25105287786616748</v>
      </c>
      <c r="DA26" s="283">
        <v>0</v>
      </c>
      <c r="DB26" s="283">
        <v>0.27445016378100134</v>
      </c>
      <c r="DC26" s="283">
        <v>0</v>
      </c>
      <c r="DD26" s="283">
        <v>0</v>
      </c>
      <c r="DE26" s="283">
        <v>9.1951333645297131E-2</v>
      </c>
      <c r="DF26" s="283">
        <v>0</v>
      </c>
      <c r="DG26" s="283">
        <v>0</v>
      </c>
      <c r="DH26" s="283">
        <v>0</v>
      </c>
      <c r="DI26" s="283">
        <v>0</v>
      </c>
      <c r="DJ26" s="283">
        <v>0</v>
      </c>
      <c r="DK26" s="283">
        <v>0.13851193261581654</v>
      </c>
      <c r="DL26" s="283">
        <v>4.679457182966775E-4</v>
      </c>
      <c r="DM26" s="283">
        <v>0</v>
      </c>
      <c r="DN26" s="283">
        <v>0</v>
      </c>
      <c r="DO26" s="283">
        <v>0</v>
      </c>
      <c r="DP26" s="283">
        <v>0.24356574637342063</v>
      </c>
      <c r="DQ26" s="283">
        <v>0</v>
      </c>
      <c r="DR26" s="283">
        <v>0</v>
      </c>
      <c r="DS26" s="283">
        <v>0</v>
      </c>
      <c r="DT26" s="283">
        <v>0</v>
      </c>
      <c r="DU26" s="283">
        <v>0</v>
      </c>
      <c r="DV26" s="283">
        <v>0</v>
      </c>
      <c r="DW26" s="283">
        <v>0</v>
      </c>
      <c r="DX26" s="69">
        <v>0.99999999999999989</v>
      </c>
      <c r="DY26" s="70">
        <v>65.756696054686998</v>
      </c>
      <c r="DZ26" s="70">
        <v>15.619107788212617</v>
      </c>
      <c r="EA26" s="70">
        <v>1.4186700026865668</v>
      </c>
      <c r="EB26" s="70">
        <v>4.3302845759878155</v>
      </c>
      <c r="EC26" s="70">
        <v>0</v>
      </c>
      <c r="ED26" s="70">
        <v>3.7804194805047651</v>
      </c>
      <c r="EE26" s="70">
        <v>1.246404533148294</v>
      </c>
      <c r="EF26" s="70">
        <v>3.2446536358193381</v>
      </c>
      <c r="EG26" s="70">
        <v>0.97669358855181054</v>
      </c>
      <c r="EH26" s="70">
        <v>0.42533402547593918</v>
      </c>
      <c r="EI26" s="70">
        <v>0</v>
      </c>
      <c r="EJ26" s="70">
        <v>3.2017363149258529</v>
      </c>
      <c r="EK26" s="70">
        <v>0</v>
      </c>
      <c r="EL26" s="70">
        <v>99.999999999999986</v>
      </c>
      <c r="EM26" s="69">
        <v>74.070336335947644</v>
      </c>
      <c r="EN26" s="69" t="s">
        <v>150</v>
      </c>
      <c r="EO26" s="287">
        <v>6.1386801905132855E-2</v>
      </c>
      <c r="EP26" s="257">
        <f t="shared" si="12"/>
        <v>6.138680190513286</v>
      </c>
      <c r="EQ26" s="257">
        <f t="shared" si="13"/>
        <v>51.04720225070335</v>
      </c>
      <c r="ER26" s="324">
        <f t="shared" si="14"/>
        <v>0.73628237341513214</v>
      </c>
      <c r="ES26" s="257">
        <f t="shared" si="15"/>
        <v>0.6840716585414256</v>
      </c>
      <c r="ET26">
        <f t="shared" si="8"/>
        <v>625</v>
      </c>
      <c r="EU26" s="324">
        <f t="shared" si="16"/>
        <v>1.0763234585467698</v>
      </c>
      <c r="EV26" s="39">
        <f t="shared" si="17"/>
        <v>171.65</v>
      </c>
      <c r="EW26"/>
      <c r="EX26">
        <f t="shared" si="18"/>
        <v>1.2192982456140351</v>
      </c>
      <c r="EY26"/>
      <c r="EZ26"/>
      <c r="FA26"/>
      <c r="FB26"/>
      <c r="FC26"/>
      <c r="FD26"/>
    </row>
    <row r="27" spans="1:160" s="54" customFormat="1" ht="13" customHeight="1" x14ac:dyDescent="0.2">
      <c r="A27" s="49" t="s">
        <v>85</v>
      </c>
      <c r="B27" s="50" t="s">
        <v>461</v>
      </c>
      <c r="C27" s="275">
        <f>149.1-F27/100</f>
        <v>149.06</v>
      </c>
      <c r="D27" s="51">
        <v>0</v>
      </c>
      <c r="E27" s="51">
        <v>8</v>
      </c>
      <c r="F27" s="51">
        <f t="shared" si="3"/>
        <v>4</v>
      </c>
      <c r="G27" s="83" t="s">
        <v>514</v>
      </c>
      <c r="H27" s="84">
        <v>7.5</v>
      </c>
      <c r="I27" s="85">
        <v>4</v>
      </c>
      <c r="J27" s="85">
        <v>4</v>
      </c>
      <c r="K27" s="89">
        <f t="shared" ref="K27:K90" si="20">H27*I27/J27</f>
        <v>7.5</v>
      </c>
      <c r="L27" s="51">
        <v>124</v>
      </c>
      <c r="M27" s="51">
        <v>89</v>
      </c>
      <c r="N27" s="51">
        <v>58</v>
      </c>
      <c r="O27" s="52">
        <v>73.95</v>
      </c>
      <c r="P27" s="52">
        <v>11.01</v>
      </c>
      <c r="Q27" s="52">
        <v>2.61</v>
      </c>
      <c r="R27" s="52">
        <v>0.13900000000000001</v>
      </c>
      <c r="S27" s="52">
        <v>0.14000000000000001</v>
      </c>
      <c r="T27" s="52">
        <v>0.13</v>
      </c>
      <c r="U27" s="52">
        <v>0.3</v>
      </c>
      <c r="V27" s="52">
        <v>4.91</v>
      </c>
      <c r="W27" s="52">
        <v>0.34799999999999998</v>
      </c>
      <c r="X27" s="52">
        <v>0.05</v>
      </c>
      <c r="Y27" s="52">
        <v>5.89</v>
      </c>
      <c r="Z27" s="52">
        <v>99.48</v>
      </c>
      <c r="AA27" s="52">
        <v>4</v>
      </c>
      <c r="AB27" s="52">
        <v>1</v>
      </c>
      <c r="AC27" s="52">
        <v>34</v>
      </c>
      <c r="AD27" s="52">
        <v>0</v>
      </c>
      <c r="AE27" s="52">
        <v>8</v>
      </c>
      <c r="AF27" s="52">
        <v>0</v>
      </c>
      <c r="AG27" s="52">
        <v>20</v>
      </c>
      <c r="AH27" s="52">
        <v>30</v>
      </c>
      <c r="AI27" s="52">
        <v>12</v>
      </c>
      <c r="AJ27" s="52">
        <v>1</v>
      </c>
      <c r="AK27" s="52">
        <v>0</v>
      </c>
      <c r="AL27" s="52">
        <v>105</v>
      </c>
      <c r="AM27" s="52">
        <v>132</v>
      </c>
      <c r="AN27" s="68">
        <f>'O.G.Chem Results'!AN27/'O.G.Chem Results'!$AN$142</f>
        <v>17.307692307692307</v>
      </c>
      <c r="AO27" s="52">
        <v>344</v>
      </c>
      <c r="AP27" s="52">
        <v>4</v>
      </c>
      <c r="AQ27" s="52" t="s">
        <v>72</v>
      </c>
      <c r="AR27" s="52">
        <v>0.5</v>
      </c>
      <c r="AS27" s="52" t="s">
        <v>73</v>
      </c>
      <c r="AT27" s="52">
        <v>5</v>
      </c>
      <c r="AU27" s="52" t="s">
        <v>74</v>
      </c>
      <c r="AV27" s="52">
        <v>1.4</v>
      </c>
      <c r="AW27" s="52">
        <v>691</v>
      </c>
      <c r="AX27" s="52" t="s">
        <v>75</v>
      </c>
      <c r="AY27" s="68">
        <f>'O.G.Chem Results'!AY27/'O.G.Chem Results'!AY$142</f>
        <v>371.91489361702133</v>
      </c>
      <c r="AZ27" s="68">
        <f>'O.G.Chem Results'!AZ27/'O.G.Chem Results'!AZ$142</f>
        <v>291.77718832891242</v>
      </c>
      <c r="BA27" s="68">
        <f>'O.G.Chem Results'!BA27/'O.G.Chem Results'!BA$142</f>
        <v>196.40852974186308</v>
      </c>
      <c r="BB27" s="68">
        <f>'O.G.Chem Results'!BB27/'O.G.Chem Results'!BB$142</f>
        <v>124.44739168877101</v>
      </c>
      <c r="BC27" s="68">
        <f>'O.G.Chem Results'!BC27/'O.G.Chem Results'!BC$142</f>
        <v>58.463630183548609</v>
      </c>
      <c r="BD27" s="68">
        <f>'O.G.Chem Results'!BD27/'O.G.Chem Results'!BD$142</f>
        <v>27.142857142857142</v>
      </c>
      <c r="BE27" s="68">
        <f>'O.G.Chem Results'!BE27/'O.G.Chem Results'!BE$142</f>
        <v>32.38636363636364</v>
      </c>
      <c r="BF27" s="68">
        <f>'O.G.Chem Results'!BF27/'O.G.Chem Results'!BF$142</f>
        <v>22.03856749311295</v>
      </c>
      <c r="BG27" s="68">
        <f>'O.G.Chem Results'!BG27/'O.G.Chem Results'!BG$142</f>
        <v>19.777503090234855</v>
      </c>
      <c r="BH27" s="68">
        <f>'O.G.Chem Results'!BH27/'O.G.Chem Results'!BH$142</f>
        <v>16.187050359712231</v>
      </c>
      <c r="BI27" s="68">
        <f>'O.G.Chem Results'!BI27/'O.G.Chem Results'!BI$142</f>
        <v>16.991818753933291</v>
      </c>
      <c r="BJ27" s="68">
        <f>'O.G.Chem Results'!BJ27/'O.G.Chem Results'!BJ$142</f>
        <v>15.702479338842975</v>
      </c>
      <c r="BK27" s="68">
        <f>'O.G.Chem Results'!BK27/'O.G.Chem Results'!BK$142</f>
        <v>15.384615384615383</v>
      </c>
      <c r="BL27" s="68">
        <f>'O.G.Chem Results'!BL27/'O.G.Chem Results'!BL$142</f>
        <v>17.283950617283949</v>
      </c>
      <c r="BM27" s="52">
        <v>7.7</v>
      </c>
      <c r="BN27" s="52">
        <v>0.7</v>
      </c>
      <c r="BO27" s="52">
        <v>0</v>
      </c>
      <c r="BP27" s="52">
        <v>0.6</v>
      </c>
      <c r="BQ27" s="52">
        <v>30</v>
      </c>
      <c r="BR27" s="52">
        <v>11.8</v>
      </c>
      <c r="BS27" s="52">
        <v>2.5</v>
      </c>
      <c r="BT27" s="53">
        <f t="shared" si="4"/>
        <v>0.43962734567124367</v>
      </c>
      <c r="BU27" s="280">
        <f t="shared" si="5"/>
        <v>1225.9068393770726</v>
      </c>
      <c r="BV27" s="54">
        <f t="shared" si="6"/>
        <v>4</v>
      </c>
      <c r="BW27" s="71">
        <f t="shared" si="7"/>
        <v>67.339449541284395</v>
      </c>
      <c r="BX27" s="69">
        <f t="shared" si="11"/>
        <v>1.4855627131489197</v>
      </c>
      <c r="BY27" s="53">
        <v>9.8699999999999992</v>
      </c>
      <c r="BZ27" s="53">
        <v>1.1399999999999999</v>
      </c>
      <c r="CA27" s="53">
        <v>52.23</v>
      </c>
      <c r="CB27" s="53">
        <v>22.107600000000001</v>
      </c>
      <c r="CC27" s="53">
        <v>1.9224000000000001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8.58</v>
      </c>
      <c r="CL27" s="53">
        <v>0</v>
      </c>
      <c r="CM27" s="53">
        <v>1.04</v>
      </c>
      <c r="CN27" s="53">
        <v>0</v>
      </c>
      <c r="CO27" s="53">
        <v>0.71</v>
      </c>
      <c r="CP27" s="53">
        <v>2.39</v>
      </c>
      <c r="CQ27" s="53">
        <v>0</v>
      </c>
      <c r="CR27" s="53">
        <v>0</v>
      </c>
      <c r="CS27" s="53">
        <v>0</v>
      </c>
      <c r="CT27" s="53">
        <v>0</v>
      </c>
      <c r="CU27" s="53">
        <v>0</v>
      </c>
      <c r="CV27" s="53">
        <v>0</v>
      </c>
      <c r="CW27" s="53">
        <v>0</v>
      </c>
      <c r="CX27" s="53">
        <v>0</v>
      </c>
      <c r="CY27" s="280">
        <v>99.99</v>
      </c>
      <c r="CZ27" s="284">
        <v>0.58698583951449768</v>
      </c>
      <c r="DA27" s="284">
        <v>0.24845583277140934</v>
      </c>
      <c r="DB27" s="284">
        <v>2.1604855023600811E-2</v>
      </c>
      <c r="DC27" s="284">
        <v>0</v>
      </c>
      <c r="DD27" s="284">
        <v>0</v>
      </c>
      <c r="DE27" s="284">
        <v>0</v>
      </c>
      <c r="DF27" s="284">
        <v>0</v>
      </c>
      <c r="DG27" s="284">
        <v>0</v>
      </c>
      <c r="DH27" s="284">
        <v>0</v>
      </c>
      <c r="DI27" s="284">
        <v>0</v>
      </c>
      <c r="DJ27" s="284">
        <v>9.6426163182737709E-2</v>
      </c>
      <c r="DK27" s="284">
        <v>0</v>
      </c>
      <c r="DL27" s="284">
        <v>1.1688019779725783E-2</v>
      </c>
      <c r="DM27" s="284">
        <v>0</v>
      </c>
      <c r="DN27" s="284">
        <v>7.9793211957743318E-3</v>
      </c>
      <c r="DO27" s="284">
        <v>2.6859968532254443E-2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v>0</v>
      </c>
      <c r="DV27" s="284">
        <v>0</v>
      </c>
      <c r="DW27" s="284">
        <v>0</v>
      </c>
      <c r="DX27" s="53">
        <v>1</v>
      </c>
      <c r="DY27" s="71">
        <v>82.918779263022429</v>
      </c>
      <c r="DZ27" s="71">
        <v>10.004957088181358</v>
      </c>
      <c r="EA27" s="71">
        <v>0.19405421724914101</v>
      </c>
      <c r="EB27" s="71">
        <v>0.24470993099685287</v>
      </c>
      <c r="EC27" s="71">
        <v>0</v>
      </c>
      <c r="ED27" s="71">
        <v>0.13020249902618344</v>
      </c>
      <c r="EE27" s="71">
        <v>1.1802129941601326E-2</v>
      </c>
      <c r="EF27" s="71">
        <v>0.25542076724578994</v>
      </c>
      <c r="EG27" s="71">
        <v>4.6064289149606319</v>
      </c>
      <c r="EH27" s="71">
        <v>1.7229505963741228E-2</v>
      </c>
      <c r="EI27" s="71">
        <v>0</v>
      </c>
      <c r="EJ27" s="71">
        <v>1.6164156834122707</v>
      </c>
      <c r="EK27" s="71">
        <v>0</v>
      </c>
      <c r="EL27" s="71">
        <v>100.00000000000003</v>
      </c>
      <c r="EM27" s="53">
        <v>67.24390132978003</v>
      </c>
      <c r="EN27" s="53" t="s">
        <v>85</v>
      </c>
      <c r="EO27" s="288">
        <v>4.6078804203571067E-3</v>
      </c>
      <c r="EP27" s="257">
        <f t="shared" si="12"/>
        <v>0.46078804203571067</v>
      </c>
      <c r="EQ27" s="257">
        <f t="shared" si="13"/>
        <v>24.026883225987117</v>
      </c>
      <c r="ER27" s="324">
        <f t="shared" si="14"/>
        <v>0.59753129310412889</v>
      </c>
      <c r="ES27" s="257">
        <f t="shared" si="15"/>
        <v>1.0081245784585462</v>
      </c>
      <c r="ET27">
        <f t="shared" si="8"/>
        <v>4</v>
      </c>
      <c r="EU27" s="324">
        <f t="shared" si="16"/>
        <v>0.59271572767105118</v>
      </c>
      <c r="EV27" s="39">
        <f t="shared" si="17"/>
        <v>149.06</v>
      </c>
      <c r="EW27"/>
      <c r="EX27">
        <f t="shared" si="18"/>
        <v>1.0692307692307692</v>
      </c>
      <c r="EY27"/>
      <c r="EZ27" s="324">
        <f>AVERAGE(ER27:ER40)</f>
        <v>0.59292852939977725</v>
      </c>
      <c r="FA27" s="260" t="s">
        <v>665</v>
      </c>
      <c r="FB27"/>
      <c r="FC27"/>
      <c r="FD27"/>
    </row>
    <row r="28" spans="1:160" s="54" customFormat="1" ht="13" customHeight="1" x14ac:dyDescent="0.2">
      <c r="A28" s="49" t="s">
        <v>86</v>
      </c>
      <c r="B28" s="50" t="s">
        <v>461</v>
      </c>
      <c r="C28" s="275">
        <f t="shared" ref="C28:C38" si="21">149.1-F28/100</f>
        <v>148.96</v>
      </c>
      <c r="D28" s="51">
        <v>8</v>
      </c>
      <c r="E28" s="51">
        <v>20</v>
      </c>
      <c r="F28" s="51">
        <f t="shared" si="3"/>
        <v>14</v>
      </c>
      <c r="G28" s="83" t="s">
        <v>514</v>
      </c>
      <c r="H28" s="84">
        <v>7.5</v>
      </c>
      <c r="I28" s="85">
        <v>4</v>
      </c>
      <c r="J28" s="85">
        <v>4</v>
      </c>
      <c r="K28" s="89">
        <f t="shared" si="20"/>
        <v>7.5</v>
      </c>
      <c r="L28" s="51">
        <v>124</v>
      </c>
      <c r="M28" s="51">
        <v>89</v>
      </c>
      <c r="N28" s="51">
        <v>58</v>
      </c>
      <c r="O28" s="52">
        <v>76.709999999999994</v>
      </c>
      <c r="P28" s="52">
        <v>11.4</v>
      </c>
      <c r="Q28" s="52">
        <v>2.4500000000000002</v>
      </c>
      <c r="R28" s="52">
        <v>0.1</v>
      </c>
      <c r="S28" s="52">
        <v>0.14000000000000001</v>
      </c>
      <c r="T28" s="52">
        <v>0.11</v>
      </c>
      <c r="U28" s="52">
        <v>0.3</v>
      </c>
      <c r="V28" s="52">
        <v>5.0599999999999996</v>
      </c>
      <c r="W28" s="52">
        <v>0.33100000000000002</v>
      </c>
      <c r="X28" s="52">
        <v>0.03</v>
      </c>
      <c r="Y28" s="52">
        <v>3.85</v>
      </c>
      <c r="Z28" s="52">
        <v>100.5</v>
      </c>
      <c r="AA28" s="52">
        <v>4</v>
      </c>
      <c r="AB28" s="52">
        <v>1</v>
      </c>
      <c r="AC28" s="52">
        <v>34</v>
      </c>
      <c r="AD28" s="52">
        <v>0</v>
      </c>
      <c r="AE28" s="52">
        <v>7</v>
      </c>
      <c r="AF28" s="52">
        <v>0</v>
      </c>
      <c r="AG28" s="52">
        <v>10</v>
      </c>
      <c r="AH28" s="52">
        <v>0</v>
      </c>
      <c r="AI28" s="52">
        <v>13</v>
      </c>
      <c r="AJ28" s="52">
        <v>1</v>
      </c>
      <c r="AK28" s="52">
        <v>0</v>
      </c>
      <c r="AL28" s="52">
        <v>110</v>
      </c>
      <c r="AM28" s="52">
        <v>137</v>
      </c>
      <c r="AN28" s="68">
        <f>'O.G.Chem Results'!AN28/'O.G.Chem Results'!$AN$142</f>
        <v>24.358974358974358</v>
      </c>
      <c r="AO28" s="52">
        <v>333</v>
      </c>
      <c r="AP28" s="52">
        <v>4</v>
      </c>
      <c r="AQ28" s="52" t="s">
        <v>72</v>
      </c>
      <c r="AR28" s="52">
        <v>0.7</v>
      </c>
      <c r="AS28" s="52" t="s">
        <v>73</v>
      </c>
      <c r="AT28" s="52">
        <v>3</v>
      </c>
      <c r="AU28" s="52" t="s">
        <v>74</v>
      </c>
      <c r="AV28" s="52">
        <v>1.4</v>
      </c>
      <c r="AW28" s="52">
        <v>668</v>
      </c>
      <c r="AX28" s="52" t="s">
        <v>75</v>
      </c>
      <c r="AY28" s="68">
        <f>'O.G.Chem Results'!AY28/'O.G.Chem Results'!AY$142</f>
        <v>595.74468085106389</v>
      </c>
      <c r="AZ28" s="68">
        <f>'O.G.Chem Results'!AZ28/'O.G.Chem Results'!AZ$142</f>
        <v>314.98673740053044</v>
      </c>
      <c r="BA28" s="68">
        <f>'O.G.Chem Results'!BA28/'O.G.Chem Results'!BA$142</f>
        <v>319.86531986531986</v>
      </c>
      <c r="BB28" s="68">
        <f>'O.G.Chem Results'!BB28/'O.G.Chem Results'!BB$142</f>
        <v>199.82316534040675</v>
      </c>
      <c r="BC28" s="68">
        <f>'O.G.Chem Results'!BC28/'O.G.Chem Results'!BC$142</f>
        <v>84.296397008837545</v>
      </c>
      <c r="BD28" s="68">
        <f>'O.G.Chem Results'!BD28/'O.G.Chem Results'!BD$142</f>
        <v>40.892857142857146</v>
      </c>
      <c r="BE28" s="68">
        <f>'O.G.Chem Results'!BE28/'O.G.Chem Results'!BE$142</f>
        <v>48.295454545454547</v>
      </c>
      <c r="BF28" s="68">
        <f>'O.G.Chem Results'!BF28/'O.G.Chem Results'!BF$142</f>
        <v>30.303030303030308</v>
      </c>
      <c r="BG28" s="68">
        <f>'O.G.Chem Results'!BG28/'O.G.Chem Results'!BG$142</f>
        <v>26.782035434693036</v>
      </c>
      <c r="BH28" s="68">
        <f>'O.G.Chem Results'!BH28/'O.G.Chem Results'!BH$142</f>
        <v>23.381294964028775</v>
      </c>
      <c r="BI28" s="68">
        <f>'O.G.Chem Results'!BI28/'O.G.Chem Results'!BI$142</f>
        <v>23.285084959093769</v>
      </c>
      <c r="BJ28" s="68">
        <f>'O.G.Chem Results'!BJ28/'O.G.Chem Results'!BJ$142</f>
        <v>21.900826446280995</v>
      </c>
      <c r="BK28" s="68">
        <f>'O.G.Chem Results'!BK28/'O.G.Chem Results'!BK$142</f>
        <v>20.923076923076923</v>
      </c>
      <c r="BL28" s="68">
        <f>'O.G.Chem Results'!BL28/'O.G.Chem Results'!BL$142</f>
        <v>22.633744855967077</v>
      </c>
      <c r="BM28" s="52">
        <v>8.5</v>
      </c>
      <c r="BN28" s="52">
        <v>0.5</v>
      </c>
      <c r="BO28" s="52">
        <v>0</v>
      </c>
      <c r="BP28" s="52">
        <v>0.5</v>
      </c>
      <c r="BQ28" s="52">
        <v>26</v>
      </c>
      <c r="BR28" s="52">
        <v>12.9</v>
      </c>
      <c r="BS28" s="52">
        <v>2.2999999999999998</v>
      </c>
      <c r="BT28" s="53">
        <f t="shared" si="4"/>
        <v>0.34586128367596702</v>
      </c>
      <c r="BU28" s="280">
        <f t="shared" si="5"/>
        <v>1773.1137060406409</v>
      </c>
      <c r="BV28" s="54">
        <f t="shared" si="6"/>
        <v>14</v>
      </c>
      <c r="BW28" s="71">
        <f t="shared" si="7"/>
        <v>67.575577949021934</v>
      </c>
      <c r="BX28" s="69">
        <f t="shared" si="11"/>
        <v>0.98474801061007944</v>
      </c>
      <c r="BY28" s="53">
        <v>9.9</v>
      </c>
      <c r="BZ28" s="53">
        <v>1.1200000000000001</v>
      </c>
      <c r="CA28" s="53">
        <v>47.96</v>
      </c>
      <c r="CB28" s="53">
        <v>25.1252</v>
      </c>
      <c r="CC28" s="53">
        <v>2.1848000000000001</v>
      </c>
      <c r="CD28" s="53">
        <v>0</v>
      </c>
      <c r="CE28" s="53">
        <v>0</v>
      </c>
      <c r="CF28" s="53">
        <v>0</v>
      </c>
      <c r="CG28" s="53">
        <v>0</v>
      </c>
      <c r="CH28" s="53">
        <v>0.06</v>
      </c>
      <c r="CI28" s="53">
        <v>0.2</v>
      </c>
      <c r="CJ28" s="53">
        <v>0</v>
      </c>
      <c r="CK28" s="53">
        <v>8.4700000000000006</v>
      </c>
      <c r="CL28" s="53">
        <v>0</v>
      </c>
      <c r="CM28" s="53">
        <v>0.93</v>
      </c>
      <c r="CN28" s="53">
        <v>0</v>
      </c>
      <c r="CO28" s="53">
        <v>0.91</v>
      </c>
      <c r="CP28" s="53">
        <v>3.15</v>
      </c>
      <c r="CQ28" s="53">
        <v>0</v>
      </c>
      <c r="CR28" s="53">
        <v>0</v>
      </c>
      <c r="CS28" s="53">
        <v>0</v>
      </c>
      <c r="CT28" s="53">
        <v>0</v>
      </c>
      <c r="CU28" s="53">
        <v>0</v>
      </c>
      <c r="CV28" s="53">
        <v>0</v>
      </c>
      <c r="CW28" s="53">
        <v>0</v>
      </c>
      <c r="CX28" s="53">
        <v>0</v>
      </c>
      <c r="CY28" s="280">
        <v>100.01</v>
      </c>
      <c r="CZ28" s="284">
        <v>0.53893695920889984</v>
      </c>
      <c r="DA28" s="284">
        <v>0.28233734127430044</v>
      </c>
      <c r="DB28" s="284">
        <v>2.4551073154286996E-2</v>
      </c>
      <c r="DC28" s="284">
        <v>0</v>
      </c>
      <c r="DD28" s="284">
        <v>0</v>
      </c>
      <c r="DE28" s="284">
        <v>0</v>
      </c>
      <c r="DF28" s="284">
        <v>0</v>
      </c>
      <c r="DG28" s="284">
        <v>6.7423305989437006E-4</v>
      </c>
      <c r="DH28" s="284">
        <v>2.2474435329812338E-3</v>
      </c>
      <c r="DI28" s="284">
        <v>0</v>
      </c>
      <c r="DJ28" s="284">
        <v>9.5179233621755246E-2</v>
      </c>
      <c r="DK28" s="284">
        <v>0</v>
      </c>
      <c r="DL28" s="284">
        <v>1.0450612428362737E-2</v>
      </c>
      <c r="DM28" s="284">
        <v>0</v>
      </c>
      <c r="DN28" s="284">
        <v>1.0225868075064613E-2</v>
      </c>
      <c r="DO28" s="284">
        <v>3.5397235644454426E-2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v>0</v>
      </c>
      <c r="DV28" s="284">
        <v>0</v>
      </c>
      <c r="DW28" s="284">
        <v>0</v>
      </c>
      <c r="DX28" s="53">
        <v>0.99999999999999989</v>
      </c>
      <c r="DY28" s="71">
        <v>80.938580860693705</v>
      </c>
      <c r="DZ28" s="71">
        <v>11.009635469121488</v>
      </c>
      <c r="EA28" s="71">
        <v>0.24366071341198442</v>
      </c>
      <c r="EB28" s="71">
        <v>0.31798268798432494</v>
      </c>
      <c r="EC28" s="71">
        <v>0</v>
      </c>
      <c r="ED28" s="71">
        <v>0.1618332215947175</v>
      </c>
      <c r="EE28" s="71">
        <v>1.0978537465603361E-2</v>
      </c>
      <c r="EF28" s="71">
        <v>0.29025207227381605</v>
      </c>
      <c r="EG28" s="71">
        <v>5.2863441766204122</v>
      </c>
      <c r="EH28" s="71">
        <v>2.2080406423175603E-2</v>
      </c>
      <c r="EI28" s="71">
        <v>0</v>
      </c>
      <c r="EJ28" s="71">
        <v>1.718651854410773</v>
      </c>
      <c r="EK28" s="71">
        <v>0</v>
      </c>
      <c r="EL28" s="71">
        <v>99.999999999999972</v>
      </c>
      <c r="EM28" s="53">
        <v>66.334253164537074</v>
      </c>
      <c r="EN28" s="53" t="s">
        <v>86</v>
      </c>
      <c r="EO28" s="288">
        <v>5.9026184331489855E-3</v>
      </c>
      <c r="EP28" s="257">
        <f t="shared" si="12"/>
        <v>0.5902618433148985</v>
      </c>
      <c r="EQ28" s="257">
        <f t="shared" si="13"/>
        <v>21.770573566084789</v>
      </c>
      <c r="ER28" s="324">
        <f t="shared" si="14"/>
        <v>0.6168230802043343</v>
      </c>
      <c r="ES28" s="257">
        <f t="shared" si="15"/>
        <v>0.67918615971226881</v>
      </c>
      <c r="ET28">
        <f t="shared" si="8"/>
        <v>14</v>
      </c>
      <c r="EU28" s="324">
        <f t="shared" si="16"/>
        <v>0.90817969622002592</v>
      </c>
      <c r="EV28" s="39">
        <f t="shared" si="17"/>
        <v>148.96</v>
      </c>
      <c r="EW28"/>
      <c r="EX28">
        <f t="shared" si="18"/>
        <v>1.0418145956607494</v>
      </c>
      <c r="EY28"/>
      <c r="EZ28"/>
      <c r="FA28"/>
      <c r="FB28"/>
      <c r="FC28"/>
      <c r="FD28"/>
    </row>
    <row r="29" spans="1:160" s="54" customFormat="1" ht="13" customHeight="1" x14ac:dyDescent="0.2">
      <c r="A29" s="49" t="s">
        <v>87</v>
      </c>
      <c r="B29" s="50" t="s">
        <v>461</v>
      </c>
      <c r="C29" s="275">
        <f t="shared" si="21"/>
        <v>148.85</v>
      </c>
      <c r="D29" s="51">
        <v>20</v>
      </c>
      <c r="E29" s="51">
        <v>30</v>
      </c>
      <c r="F29" s="51">
        <f t="shared" si="3"/>
        <v>25</v>
      </c>
      <c r="G29" s="83" t="s">
        <v>517</v>
      </c>
      <c r="H29" s="84">
        <v>5</v>
      </c>
      <c r="I29" s="85">
        <v>5</v>
      </c>
      <c r="J29" s="85">
        <v>6</v>
      </c>
      <c r="K29" s="89">
        <f t="shared" si="20"/>
        <v>4.166666666666667</v>
      </c>
      <c r="L29" s="51">
        <v>164</v>
      </c>
      <c r="M29" s="51">
        <v>109</v>
      </c>
      <c r="N29" s="51">
        <v>70</v>
      </c>
      <c r="O29" s="52">
        <v>73.75</v>
      </c>
      <c r="P29" s="52">
        <v>12.91</v>
      </c>
      <c r="Q29" s="52">
        <v>2.84</v>
      </c>
      <c r="R29" s="52">
        <v>0.06</v>
      </c>
      <c r="S29" s="52">
        <v>0.15</v>
      </c>
      <c r="T29" s="52">
        <v>0.09</v>
      </c>
      <c r="U29" s="52">
        <v>0.28999999999999998</v>
      </c>
      <c r="V29" s="52">
        <v>5.46</v>
      </c>
      <c r="W29" s="52">
        <v>0.35899999999999999</v>
      </c>
      <c r="X29" s="52">
        <v>0.03</v>
      </c>
      <c r="Y29" s="52">
        <v>3.54</v>
      </c>
      <c r="Z29" s="52">
        <v>99.49</v>
      </c>
      <c r="AA29" s="52">
        <v>5</v>
      </c>
      <c r="AB29" s="52">
        <v>0</v>
      </c>
      <c r="AC29" s="52">
        <v>38</v>
      </c>
      <c r="AD29" s="52">
        <v>0</v>
      </c>
      <c r="AE29" s="52">
        <v>7</v>
      </c>
      <c r="AF29" s="52">
        <v>0</v>
      </c>
      <c r="AG29" s="52">
        <v>20</v>
      </c>
      <c r="AH29" s="52">
        <v>0</v>
      </c>
      <c r="AI29" s="52">
        <v>15</v>
      </c>
      <c r="AJ29" s="52">
        <v>1</v>
      </c>
      <c r="AK29" s="52">
        <v>0</v>
      </c>
      <c r="AL29" s="52">
        <v>124</v>
      </c>
      <c r="AM29" s="52">
        <v>146</v>
      </c>
      <c r="AN29" s="68">
        <f>'O.G.Chem Results'!AN29/'O.G.Chem Results'!$AN$142</f>
        <v>26.282051282051281</v>
      </c>
      <c r="AO29" s="52">
        <v>340</v>
      </c>
      <c r="AP29" s="52">
        <v>6</v>
      </c>
      <c r="AQ29" s="52" t="s">
        <v>72</v>
      </c>
      <c r="AR29" s="52">
        <v>0.6</v>
      </c>
      <c r="AS29" s="52" t="s">
        <v>73</v>
      </c>
      <c r="AT29" s="52">
        <v>5</v>
      </c>
      <c r="AU29" s="52" t="s">
        <v>74</v>
      </c>
      <c r="AV29" s="52">
        <v>1.6</v>
      </c>
      <c r="AW29" s="52">
        <v>702</v>
      </c>
      <c r="AX29" s="52" t="s">
        <v>75</v>
      </c>
      <c r="AY29" s="68">
        <f>'O.G.Chem Results'!AY29/'O.G.Chem Results'!AY$142</f>
        <v>706.38297872340434</v>
      </c>
      <c r="AZ29" s="68">
        <f>'O.G.Chem Results'!AZ29/'O.G.Chem Results'!AZ$142</f>
        <v>459.21750663129967</v>
      </c>
      <c r="BA29" s="68">
        <f>'O.G.Chem Results'!BA29/'O.G.Chem Results'!BA$142</f>
        <v>362.51402918069584</v>
      </c>
      <c r="BB29" s="68">
        <f>'O.G.Chem Results'!BB29/'O.G.Chem Results'!BB$142</f>
        <v>232.09549071618039</v>
      </c>
      <c r="BC29" s="68">
        <f>'O.G.Chem Results'!BC29/'O.G.Chem Results'!BC$142</f>
        <v>95.85316111488784</v>
      </c>
      <c r="BD29" s="68">
        <f>'O.G.Chem Results'!BD29/'O.G.Chem Results'!BD$142</f>
        <v>45.178571428571423</v>
      </c>
      <c r="BE29" s="68">
        <f>'O.G.Chem Results'!BE29/'O.G.Chem Results'!BE$142</f>
        <v>54.545454545454547</v>
      </c>
      <c r="BF29" s="68">
        <f>'O.G.Chem Results'!BF29/'O.G.Chem Results'!BF$142</f>
        <v>35.812672176308546</v>
      </c>
      <c r="BG29" s="68">
        <f>'O.G.Chem Results'!BG29/'O.G.Chem Results'!BG$142</f>
        <v>28.43016069221261</v>
      </c>
      <c r="BH29" s="68">
        <f>'O.G.Chem Results'!BH29/'O.G.Chem Results'!BH$142</f>
        <v>23.381294964028775</v>
      </c>
      <c r="BI29" s="68">
        <f>'O.G.Chem Results'!BI29/'O.G.Chem Results'!BI$142</f>
        <v>23.914411579609816</v>
      </c>
      <c r="BJ29" s="68">
        <f>'O.G.Chem Results'!BJ29/'O.G.Chem Results'!BJ$142</f>
        <v>23.1404958677686</v>
      </c>
      <c r="BK29" s="68">
        <f>'O.G.Chem Results'!BK29/'O.G.Chem Results'!BK$142</f>
        <v>22.153846153846153</v>
      </c>
      <c r="BL29" s="68">
        <f>'O.G.Chem Results'!BL29/'O.G.Chem Results'!BL$142</f>
        <v>23.868312757201643</v>
      </c>
      <c r="BM29" s="52">
        <v>8.9</v>
      </c>
      <c r="BN29" s="52">
        <v>0.8</v>
      </c>
      <c r="BO29" s="52">
        <v>1</v>
      </c>
      <c r="BP29" s="52">
        <v>0.6</v>
      </c>
      <c r="BQ29" s="52">
        <v>29</v>
      </c>
      <c r="BR29" s="52">
        <v>18.5</v>
      </c>
      <c r="BS29" s="52">
        <v>3</v>
      </c>
      <c r="BT29" s="53">
        <f t="shared" si="4"/>
        <v>0.3939750475408863</v>
      </c>
      <c r="BU29" s="280">
        <f t="shared" si="5"/>
        <v>2136.48838653147</v>
      </c>
      <c r="BV29" s="54">
        <f t="shared" si="6"/>
        <v>25</v>
      </c>
      <c r="BW29" s="71">
        <f t="shared" si="7"/>
        <v>68.853333333333339</v>
      </c>
      <c r="BX29" s="69">
        <f t="shared" si="11"/>
        <v>1.2667578898095604</v>
      </c>
      <c r="BY29" s="53">
        <v>9.85</v>
      </c>
      <c r="BZ29" s="53">
        <v>0.65</v>
      </c>
      <c r="CA29" s="53">
        <v>43.46</v>
      </c>
      <c r="CB29" s="53">
        <v>29.890800000000002</v>
      </c>
      <c r="CC29" s="53">
        <v>2.5992000000000002</v>
      </c>
      <c r="CD29" s="53">
        <v>0</v>
      </c>
      <c r="CE29" s="53">
        <v>0</v>
      </c>
      <c r="CF29" s="53">
        <v>0</v>
      </c>
      <c r="CG29" s="53">
        <v>0</v>
      </c>
      <c r="CH29" s="53">
        <v>0.12</v>
      </c>
      <c r="CI29" s="53">
        <v>0.18</v>
      </c>
      <c r="CJ29" s="53">
        <v>0</v>
      </c>
      <c r="CK29" s="53">
        <v>8.11</v>
      </c>
      <c r="CL29" s="53">
        <v>0</v>
      </c>
      <c r="CM29" s="53">
        <v>0.69</v>
      </c>
      <c r="CN29" s="53">
        <v>0</v>
      </c>
      <c r="CO29" s="53">
        <v>1.01</v>
      </c>
      <c r="CP29" s="53">
        <v>3.46</v>
      </c>
      <c r="CQ29" s="53">
        <v>0</v>
      </c>
      <c r="CR29" s="53">
        <v>0</v>
      </c>
      <c r="CS29" s="53">
        <v>0</v>
      </c>
      <c r="CT29" s="53">
        <v>0</v>
      </c>
      <c r="CU29" s="53">
        <v>0</v>
      </c>
      <c r="CV29" s="53">
        <v>0</v>
      </c>
      <c r="CW29" s="53">
        <v>0</v>
      </c>
      <c r="CX29" s="53">
        <v>0</v>
      </c>
      <c r="CY29" s="280">
        <v>100.02000000000001</v>
      </c>
      <c r="CZ29" s="284">
        <v>0.48547810545129577</v>
      </c>
      <c r="DA29" s="284">
        <v>0.33390080428954422</v>
      </c>
      <c r="DB29" s="284">
        <v>2.903485254691689E-2</v>
      </c>
      <c r="DC29" s="284">
        <v>0</v>
      </c>
      <c r="DD29" s="284">
        <v>0</v>
      </c>
      <c r="DE29" s="284">
        <v>0</v>
      </c>
      <c r="DF29" s="284">
        <v>0</v>
      </c>
      <c r="DG29" s="284">
        <v>1.3404825737265414E-3</v>
      </c>
      <c r="DH29" s="284">
        <v>2.0107238605898119E-3</v>
      </c>
      <c r="DI29" s="284">
        <v>0</v>
      </c>
      <c r="DJ29" s="284">
        <v>9.0594280607685415E-2</v>
      </c>
      <c r="DK29" s="284">
        <v>0</v>
      </c>
      <c r="DL29" s="284">
        <v>7.7077747989276121E-3</v>
      </c>
      <c r="DM29" s="284">
        <v>0</v>
      </c>
      <c r="DN29" s="284">
        <v>1.1282394995531724E-2</v>
      </c>
      <c r="DO29" s="284">
        <v>3.8650580875781944E-2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v>0</v>
      </c>
      <c r="DV29" s="284">
        <v>0</v>
      </c>
      <c r="DW29" s="284">
        <v>0</v>
      </c>
      <c r="DX29" s="53">
        <v>0.99999999999999978</v>
      </c>
      <c r="DY29" s="71">
        <v>79.130661055257093</v>
      </c>
      <c r="DZ29" s="71">
        <v>11.855709381083015</v>
      </c>
      <c r="EA29" s="71">
        <v>0.28157627460284973</v>
      </c>
      <c r="EB29" s="71">
        <v>0.34902379072882744</v>
      </c>
      <c r="EC29" s="71">
        <v>0</v>
      </c>
      <c r="ED29" s="71">
        <v>0.17126151172467763</v>
      </c>
      <c r="EE29" s="71">
        <v>8.6124603925182355E-3</v>
      </c>
      <c r="EF29" s="71">
        <v>0.34326100806048693</v>
      </c>
      <c r="EG29" s="71">
        <v>6.1917622886495227</v>
      </c>
      <c r="EH29" s="71">
        <v>2.4361732920808177E-2</v>
      </c>
      <c r="EI29" s="71">
        <v>0</v>
      </c>
      <c r="EJ29" s="71">
        <v>1.643770496580206</v>
      </c>
      <c r="EK29" s="71">
        <v>0</v>
      </c>
      <c r="EL29" s="71">
        <v>100</v>
      </c>
      <c r="EM29" s="53">
        <v>64.4354964377399</v>
      </c>
      <c r="EN29" s="53" t="s">
        <v>87</v>
      </c>
      <c r="EO29" s="288">
        <v>6.6201220649727173E-3</v>
      </c>
      <c r="EP29" s="257">
        <f t="shared" si="12"/>
        <v>0.66201220649727177</v>
      </c>
      <c r="EQ29" s="257">
        <f t="shared" si="13"/>
        <v>18.536477848798764</v>
      </c>
      <c r="ER29" s="324">
        <f t="shared" si="14"/>
        <v>0.60078440523152055</v>
      </c>
      <c r="ES29" s="257">
        <f t="shared" si="15"/>
        <v>0.83754927895749887</v>
      </c>
      <c r="ET29">
        <f t="shared" si="8"/>
        <v>25</v>
      </c>
      <c r="EU29" s="324">
        <f t="shared" si="16"/>
        <v>0.71731230666131007</v>
      </c>
      <c r="EV29" s="39">
        <f t="shared" si="17"/>
        <v>148.85</v>
      </c>
      <c r="EW29"/>
      <c r="EX29">
        <f t="shared" si="18"/>
        <v>1.1240631163708088</v>
      </c>
      <c r="EY29"/>
      <c r="EZ29"/>
      <c r="FA29"/>
      <c r="FB29"/>
      <c r="FC29"/>
      <c r="FD29"/>
    </row>
    <row r="30" spans="1:160" s="54" customFormat="1" ht="13" customHeight="1" x14ac:dyDescent="0.2">
      <c r="A30" s="49" t="s">
        <v>88</v>
      </c>
      <c r="B30" s="50" t="s">
        <v>461</v>
      </c>
      <c r="C30" s="275">
        <f t="shared" si="21"/>
        <v>148.75</v>
      </c>
      <c r="D30" s="51">
        <v>30</v>
      </c>
      <c r="E30" s="51">
        <v>40</v>
      </c>
      <c r="F30" s="51">
        <f t="shared" si="3"/>
        <v>35</v>
      </c>
      <c r="G30" s="83" t="s">
        <v>517</v>
      </c>
      <c r="H30" s="84">
        <v>5</v>
      </c>
      <c r="I30" s="85">
        <v>5</v>
      </c>
      <c r="J30" s="85">
        <v>6</v>
      </c>
      <c r="K30" s="89">
        <f t="shared" si="20"/>
        <v>4.166666666666667</v>
      </c>
      <c r="L30" s="51">
        <v>164</v>
      </c>
      <c r="M30" s="51">
        <v>109</v>
      </c>
      <c r="N30" s="51">
        <v>70</v>
      </c>
      <c r="O30" s="52">
        <v>70.12</v>
      </c>
      <c r="P30" s="52">
        <v>14.94</v>
      </c>
      <c r="Q30" s="52">
        <v>3.17</v>
      </c>
      <c r="R30" s="52">
        <v>3.6999999999999998E-2</v>
      </c>
      <c r="S30" s="52">
        <v>0.26</v>
      </c>
      <c r="T30" s="52">
        <v>0.14000000000000001</v>
      </c>
      <c r="U30" s="52">
        <v>0.35</v>
      </c>
      <c r="V30" s="52">
        <v>5.37</v>
      </c>
      <c r="W30" s="52">
        <v>0.36499999999999999</v>
      </c>
      <c r="X30" s="52">
        <v>0.01</v>
      </c>
      <c r="Y30" s="52">
        <v>4.6500000000000004</v>
      </c>
      <c r="Z30" s="52">
        <v>99.41</v>
      </c>
      <c r="AA30" s="52">
        <v>6</v>
      </c>
      <c r="AB30" s="52">
        <v>1</v>
      </c>
      <c r="AC30" s="52">
        <v>47</v>
      </c>
      <c r="AD30" s="52">
        <v>30</v>
      </c>
      <c r="AE30" s="52">
        <v>7</v>
      </c>
      <c r="AF30" s="52">
        <v>0</v>
      </c>
      <c r="AG30" s="52">
        <v>30</v>
      </c>
      <c r="AH30" s="52">
        <v>40</v>
      </c>
      <c r="AI30" s="52">
        <v>18</v>
      </c>
      <c r="AJ30" s="52">
        <v>1</v>
      </c>
      <c r="AK30" s="52">
        <v>0</v>
      </c>
      <c r="AL30" s="52">
        <v>132</v>
      </c>
      <c r="AM30" s="52">
        <v>133</v>
      </c>
      <c r="AN30" s="68">
        <f>'O.G.Chem Results'!AN30/'O.G.Chem Results'!$AN$142</f>
        <v>21.794871794871796</v>
      </c>
      <c r="AO30" s="52">
        <v>335</v>
      </c>
      <c r="AP30" s="52">
        <v>5</v>
      </c>
      <c r="AQ30" s="52" t="s">
        <v>72</v>
      </c>
      <c r="AR30" s="52" t="s">
        <v>74</v>
      </c>
      <c r="AS30" s="52" t="s">
        <v>73</v>
      </c>
      <c r="AT30" s="52">
        <v>4</v>
      </c>
      <c r="AU30" s="52" t="s">
        <v>74</v>
      </c>
      <c r="AV30" s="52">
        <v>1.8</v>
      </c>
      <c r="AW30" s="52">
        <v>640</v>
      </c>
      <c r="AX30" s="52" t="s">
        <v>75</v>
      </c>
      <c r="AY30" s="68">
        <f>'O.G.Chem Results'!AY30/'O.G.Chem Results'!AY$142</f>
        <v>612.76595744680856</v>
      </c>
      <c r="AZ30" s="68">
        <f>'O.G.Chem Results'!AZ30/'O.G.Chem Results'!AZ$142</f>
        <v>525.53050397877973</v>
      </c>
      <c r="BA30" s="68">
        <f>'O.G.Chem Results'!BA30/'O.G.Chem Results'!BA$142</f>
        <v>313.13131313131311</v>
      </c>
      <c r="BB30" s="68">
        <f>'O.G.Chem Results'!BB30/'O.G.Chem Results'!BB$142</f>
        <v>195.84438549955792</v>
      </c>
      <c r="BC30" s="68">
        <f>'O.G.Chem Results'!BC30/'O.G.Chem Results'!BC$142</f>
        <v>78.857919782460925</v>
      </c>
      <c r="BD30" s="68">
        <f>'O.G.Chem Results'!BD30/'O.G.Chem Results'!BD$142</f>
        <v>37.5</v>
      </c>
      <c r="BE30" s="68">
        <f>'O.G.Chem Results'!BE30/'O.G.Chem Results'!BE$142</f>
        <v>43.18181818181818</v>
      </c>
      <c r="BF30" s="68">
        <f>'O.G.Chem Results'!BF30/'O.G.Chem Results'!BF$142</f>
        <v>27.548209366391184</v>
      </c>
      <c r="BG30" s="68">
        <f>'O.G.Chem Results'!BG30/'O.G.Chem Results'!BG$142</f>
        <v>23.073753605274</v>
      </c>
      <c r="BH30" s="68">
        <f>'O.G.Chem Results'!BH30/'O.G.Chem Results'!BH$142</f>
        <v>19.784172661870503</v>
      </c>
      <c r="BI30" s="68">
        <f>'O.G.Chem Results'!BI30/'O.G.Chem Results'!BI$142</f>
        <v>19.50912523599748</v>
      </c>
      <c r="BJ30" s="68">
        <f>'O.G.Chem Results'!BJ30/'O.G.Chem Results'!BJ$142</f>
        <v>17.768595041322314</v>
      </c>
      <c r="BK30" s="68">
        <f>'O.G.Chem Results'!BK30/'O.G.Chem Results'!BK$142</f>
        <v>17.23076923076923</v>
      </c>
      <c r="BL30" s="68">
        <f>'O.G.Chem Results'!BL30/'O.G.Chem Results'!BL$142</f>
        <v>18.10699588477366</v>
      </c>
      <c r="BM30" s="52">
        <v>8.4</v>
      </c>
      <c r="BN30" s="52">
        <v>0.6</v>
      </c>
      <c r="BO30" s="52">
        <v>0</v>
      </c>
      <c r="BP30" s="52">
        <v>0.6</v>
      </c>
      <c r="BQ30" s="52">
        <v>30</v>
      </c>
      <c r="BR30" s="52">
        <v>30.5</v>
      </c>
      <c r="BS30" s="52">
        <v>2.9</v>
      </c>
      <c r="BT30" s="53">
        <f t="shared" si="4"/>
        <v>0.4616815757475094</v>
      </c>
      <c r="BU30" s="280">
        <f t="shared" si="5"/>
        <v>1949.8335190471371</v>
      </c>
      <c r="BV30" s="54">
        <f t="shared" si="6"/>
        <v>35</v>
      </c>
      <c r="BW30" s="71">
        <f t="shared" si="7"/>
        <v>71.82692307692308</v>
      </c>
      <c r="BX30" s="69">
        <f t="shared" si="11"/>
        <v>1.6783070933515871</v>
      </c>
      <c r="BY30" s="53">
        <v>9.66</v>
      </c>
      <c r="BZ30" s="53">
        <v>1.03</v>
      </c>
      <c r="CA30" s="53">
        <v>40.14</v>
      </c>
      <c r="CB30" s="53">
        <v>29.164000000000001</v>
      </c>
      <c r="CC30" s="53">
        <v>2.536</v>
      </c>
      <c r="CD30" s="53">
        <v>0</v>
      </c>
      <c r="CE30" s="53">
        <v>0</v>
      </c>
      <c r="CF30" s="53">
        <v>0</v>
      </c>
      <c r="CG30" s="53">
        <v>0</v>
      </c>
      <c r="CH30" s="53">
        <v>0.12</v>
      </c>
      <c r="CI30" s="53">
        <v>0.28999999999999998</v>
      </c>
      <c r="CJ30" s="53">
        <v>0</v>
      </c>
      <c r="CK30" s="53">
        <v>11.15</v>
      </c>
      <c r="CL30" s="53">
        <v>0</v>
      </c>
      <c r="CM30" s="53">
        <v>0.69</v>
      </c>
      <c r="CN30" s="53">
        <v>0</v>
      </c>
      <c r="CO30" s="53">
        <v>1.06</v>
      </c>
      <c r="CP30" s="53">
        <v>4.17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280">
        <v>100.01000000000002</v>
      </c>
      <c r="CZ30" s="284">
        <v>0.44939543215405275</v>
      </c>
      <c r="DA30" s="284">
        <v>0.32651141961486785</v>
      </c>
      <c r="DB30" s="284">
        <v>2.8392297357814594E-2</v>
      </c>
      <c r="DC30" s="284">
        <v>0</v>
      </c>
      <c r="DD30" s="284">
        <v>0</v>
      </c>
      <c r="DE30" s="284">
        <v>0</v>
      </c>
      <c r="DF30" s="284">
        <v>0</v>
      </c>
      <c r="DG30" s="284">
        <v>1.3434841021047915E-3</v>
      </c>
      <c r="DH30" s="284">
        <v>3.2467532467532457E-3</v>
      </c>
      <c r="DI30" s="284">
        <v>0</v>
      </c>
      <c r="DJ30" s="284">
        <v>0.12483206448723687</v>
      </c>
      <c r="DK30" s="284">
        <v>0</v>
      </c>
      <c r="DL30" s="284">
        <v>7.7250335871025498E-3</v>
      </c>
      <c r="DM30" s="284">
        <v>0</v>
      </c>
      <c r="DN30" s="284">
        <v>1.1867442901925658E-2</v>
      </c>
      <c r="DO30" s="284">
        <v>4.66860725481415E-2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v>0</v>
      </c>
      <c r="DV30" s="284">
        <v>0</v>
      </c>
      <c r="DW30" s="284">
        <v>0</v>
      </c>
      <c r="DX30" s="53">
        <v>0.99999999999999978</v>
      </c>
      <c r="DY30" s="71">
        <v>77.025531991868533</v>
      </c>
      <c r="DZ30" s="71">
        <v>13.317994867264622</v>
      </c>
      <c r="EA30" s="71">
        <v>0.33456413963819981</v>
      </c>
      <c r="EB30" s="71">
        <v>0.39419111990162525</v>
      </c>
      <c r="EC30" s="71">
        <v>0</v>
      </c>
      <c r="ED30" s="71">
        <v>0.19449758210436874</v>
      </c>
      <c r="EE30" s="71">
        <v>8.7088674198541657E-3</v>
      </c>
      <c r="EF30" s="71">
        <v>0.33566447759458062</v>
      </c>
      <c r="EG30" s="71">
        <v>6.1632574070160802</v>
      </c>
      <c r="EH30" s="71">
        <v>2.5625009099943159E-2</v>
      </c>
      <c r="EI30" s="71">
        <v>0</v>
      </c>
      <c r="EJ30" s="71">
        <v>2.1999645380921642</v>
      </c>
      <c r="EK30" s="71">
        <v>0</v>
      </c>
      <c r="EL30" s="71">
        <v>99.999999999999972</v>
      </c>
      <c r="EM30" s="53">
        <v>67.175660042238405</v>
      </c>
      <c r="EN30" s="53" t="s">
        <v>88</v>
      </c>
      <c r="EO30" s="288">
        <v>7.6423246033097136E-3</v>
      </c>
      <c r="EP30" s="257">
        <f t="shared" si="12"/>
        <v>0.76423246033097136</v>
      </c>
      <c r="EQ30" s="257">
        <f t="shared" si="13"/>
        <v>23.839967003505876</v>
      </c>
      <c r="ER30" s="324">
        <f t="shared" si="14"/>
        <v>0.61455392523009522</v>
      </c>
      <c r="ES30" s="257">
        <f t="shared" si="15"/>
        <v>1.1092006469365145</v>
      </c>
      <c r="ET30">
        <f t="shared" si="8"/>
        <v>35</v>
      </c>
      <c r="EU30" s="324">
        <f t="shared" si="16"/>
        <v>0.55405117814114424</v>
      </c>
      <c r="EV30" s="39">
        <f t="shared" si="17"/>
        <v>148.75</v>
      </c>
      <c r="EW30"/>
      <c r="EX30">
        <f t="shared" si="18"/>
        <v>1.1016317016317017</v>
      </c>
      <c r="EY30"/>
      <c r="EZ30"/>
      <c r="FA30"/>
      <c r="FB30"/>
      <c r="FC30"/>
      <c r="FD30"/>
    </row>
    <row r="31" spans="1:160" s="54" customFormat="1" ht="13" customHeight="1" x14ac:dyDescent="0.2">
      <c r="A31" s="49" t="s">
        <v>89</v>
      </c>
      <c r="B31" s="50" t="s">
        <v>461</v>
      </c>
      <c r="C31" s="275">
        <f t="shared" si="21"/>
        <v>148.47499999999999</v>
      </c>
      <c r="D31" s="51">
        <v>40</v>
      </c>
      <c r="E31" s="51">
        <v>85</v>
      </c>
      <c r="F31" s="51">
        <f t="shared" si="3"/>
        <v>62.5</v>
      </c>
      <c r="G31" s="83" t="s">
        <v>507</v>
      </c>
      <c r="H31" s="84">
        <v>2.5</v>
      </c>
      <c r="I31" s="85">
        <v>4</v>
      </c>
      <c r="J31" s="85">
        <v>6</v>
      </c>
      <c r="K31" s="89">
        <f t="shared" si="20"/>
        <v>1.6666666666666667</v>
      </c>
      <c r="L31" s="51">
        <v>140</v>
      </c>
      <c r="M31" s="51">
        <v>81</v>
      </c>
      <c r="N31" s="51">
        <v>54</v>
      </c>
      <c r="O31" s="52">
        <v>65.98</v>
      </c>
      <c r="P31" s="52">
        <v>17.100000000000001</v>
      </c>
      <c r="Q31" s="52">
        <v>3.96</v>
      </c>
      <c r="R31" s="52">
        <v>2.4E-2</v>
      </c>
      <c r="S31" s="52">
        <v>0.26</v>
      </c>
      <c r="T31" s="52">
        <v>0.06</v>
      </c>
      <c r="U31" s="52">
        <v>0.26</v>
      </c>
      <c r="V31" s="52">
        <v>5.17</v>
      </c>
      <c r="W31" s="52">
        <v>0.38700000000000001</v>
      </c>
      <c r="X31" s="52">
        <v>0.02</v>
      </c>
      <c r="Y31" s="52">
        <v>5.59</v>
      </c>
      <c r="Z31" s="52">
        <v>98.81</v>
      </c>
      <c r="AA31" s="52">
        <v>8</v>
      </c>
      <c r="AB31" s="52">
        <v>1</v>
      </c>
      <c r="AC31" s="52">
        <v>52</v>
      </c>
      <c r="AD31" s="52">
        <v>0</v>
      </c>
      <c r="AE31" s="52">
        <v>6</v>
      </c>
      <c r="AF31" s="52">
        <v>0</v>
      </c>
      <c r="AG31" s="52">
        <v>40</v>
      </c>
      <c r="AH31" s="52">
        <v>40</v>
      </c>
      <c r="AI31" s="52">
        <v>23</v>
      </c>
      <c r="AJ31" s="52">
        <v>2</v>
      </c>
      <c r="AK31" s="52">
        <v>0</v>
      </c>
      <c r="AL31" s="52">
        <v>132</v>
      </c>
      <c r="AM31" s="52">
        <v>122</v>
      </c>
      <c r="AN31" s="68">
        <f>'O.G.Chem Results'!AN31/'O.G.Chem Results'!$AN$142</f>
        <v>12.179487179487179</v>
      </c>
      <c r="AO31" s="52">
        <v>242</v>
      </c>
      <c r="AP31" s="52">
        <v>5</v>
      </c>
      <c r="AQ31" s="52" t="s">
        <v>72</v>
      </c>
      <c r="AR31" s="52" t="s">
        <v>74</v>
      </c>
      <c r="AS31" s="52" t="s">
        <v>73</v>
      </c>
      <c r="AT31" s="52">
        <v>3</v>
      </c>
      <c r="AU31" s="52" t="s">
        <v>74</v>
      </c>
      <c r="AV31" s="52">
        <v>1.8</v>
      </c>
      <c r="AW31" s="52">
        <v>535</v>
      </c>
      <c r="AX31" s="52" t="s">
        <v>75</v>
      </c>
      <c r="AY31" s="68">
        <f>'O.G.Chem Results'!AY31/'O.G.Chem Results'!AY$142</f>
        <v>659.57446808510645</v>
      </c>
      <c r="AZ31" s="68">
        <f>'O.G.Chem Results'!AZ31/'O.G.Chem Results'!AZ$142</f>
        <v>643.23607427055697</v>
      </c>
      <c r="BA31" s="68">
        <f>'O.G.Chem Results'!BA31/'O.G.Chem Results'!BA$142</f>
        <v>352.41301907968574</v>
      </c>
      <c r="BB31" s="68">
        <f>'O.G.Chem Results'!BB31/'O.G.Chem Results'!BB$142</f>
        <v>223.25375773651638</v>
      </c>
      <c r="BC31" s="68">
        <f>'O.G.Chem Results'!BC31/'O.G.Chem Results'!BC$142</f>
        <v>82.256968048946305</v>
      </c>
      <c r="BD31" s="68">
        <f>'O.G.Chem Results'!BD31/'O.G.Chem Results'!BD$142</f>
        <v>31.607142857142858</v>
      </c>
      <c r="BE31" s="68">
        <f>'O.G.Chem Results'!BE31/'O.G.Chem Results'!BE$142</f>
        <v>34.090909090909093</v>
      </c>
      <c r="BF31" s="68">
        <f>'O.G.Chem Results'!BF31/'O.G.Chem Results'!BF$142</f>
        <v>22.03856749311295</v>
      </c>
      <c r="BG31" s="68">
        <f>'O.G.Chem Results'!BG31/'O.G.Chem Results'!BG$142</f>
        <v>16.481252575195715</v>
      </c>
      <c r="BH31" s="68">
        <f>'O.G.Chem Results'!BH31/'O.G.Chem Results'!BH$142</f>
        <v>12.589928057553955</v>
      </c>
      <c r="BI31" s="68">
        <f>'O.G.Chem Results'!BI31/'O.G.Chem Results'!BI$142</f>
        <v>13.215859030837004</v>
      </c>
      <c r="BJ31" s="68">
        <f>'O.G.Chem Results'!BJ31/'O.G.Chem Results'!BJ$142</f>
        <v>12.396694214876034</v>
      </c>
      <c r="BK31" s="68">
        <f>'O.G.Chem Results'!BK31/'O.G.Chem Results'!BK$142</f>
        <v>12.307692307692307</v>
      </c>
      <c r="BL31" s="68">
        <f>'O.G.Chem Results'!BL31/'O.G.Chem Results'!BL$142</f>
        <v>13.580246913580247</v>
      </c>
      <c r="BM31" s="52">
        <v>6.6</v>
      </c>
      <c r="BN31" s="52">
        <v>0.5</v>
      </c>
      <c r="BO31" s="52">
        <v>0</v>
      </c>
      <c r="BP31" s="52">
        <v>0.6</v>
      </c>
      <c r="BQ31" s="52">
        <v>33</v>
      </c>
      <c r="BR31" s="52">
        <v>53.7</v>
      </c>
      <c r="BS31" s="52">
        <v>3.2</v>
      </c>
      <c r="BT31" s="53">
        <f t="shared" si="4"/>
        <v>0.49372955879486224</v>
      </c>
      <c r="BU31" s="280">
        <f t="shared" si="5"/>
        <v>2129.0425797617117</v>
      </c>
      <c r="BV31" s="54">
        <f t="shared" si="6"/>
        <v>62.5</v>
      </c>
      <c r="BW31" s="71">
        <f t="shared" si="7"/>
        <v>75.697211155378483</v>
      </c>
      <c r="BX31" s="69">
        <f t="shared" si="11"/>
        <v>1.8252335738059435</v>
      </c>
      <c r="BY31" s="53">
        <v>9.6999999999999993</v>
      </c>
      <c r="BZ31" s="53">
        <v>1.75</v>
      </c>
      <c r="CA31" s="53">
        <v>33.92</v>
      </c>
      <c r="CB31" s="53">
        <v>24.996400000000001</v>
      </c>
      <c r="CC31" s="53">
        <v>2.1736</v>
      </c>
      <c r="CD31" s="53">
        <v>0</v>
      </c>
      <c r="CE31" s="53">
        <v>0</v>
      </c>
      <c r="CF31" s="53">
        <v>0</v>
      </c>
      <c r="CG31" s="53">
        <v>0</v>
      </c>
      <c r="CH31" s="53">
        <v>0.17</v>
      </c>
      <c r="CI31" s="53">
        <v>0.62</v>
      </c>
      <c r="CJ31" s="53">
        <v>0</v>
      </c>
      <c r="CK31" s="53">
        <v>23.3</v>
      </c>
      <c r="CL31" s="53">
        <v>0</v>
      </c>
      <c r="CM31" s="53">
        <v>0.06</v>
      </c>
      <c r="CN31" s="53">
        <v>0</v>
      </c>
      <c r="CO31" s="53">
        <v>1.28</v>
      </c>
      <c r="CP31" s="53">
        <v>2.0299999999999998</v>
      </c>
      <c r="CQ31" s="53">
        <v>0</v>
      </c>
      <c r="CR31" s="53">
        <v>0</v>
      </c>
      <c r="CS31" s="53">
        <v>0</v>
      </c>
      <c r="CT31" s="53">
        <v>0</v>
      </c>
      <c r="CU31" s="53">
        <v>0</v>
      </c>
      <c r="CV31" s="53">
        <v>0</v>
      </c>
      <c r="CW31" s="53">
        <v>0</v>
      </c>
      <c r="CX31" s="53">
        <v>0</v>
      </c>
      <c r="CY31" s="280">
        <v>100</v>
      </c>
      <c r="CZ31" s="284">
        <v>0.38306041784302652</v>
      </c>
      <c r="DA31" s="284">
        <v>0.28228571428571425</v>
      </c>
      <c r="DB31" s="284">
        <v>2.4546583850931673E-2</v>
      </c>
      <c r="DC31" s="284">
        <v>0</v>
      </c>
      <c r="DD31" s="284">
        <v>0</v>
      </c>
      <c r="DE31" s="284">
        <v>0</v>
      </c>
      <c r="DF31" s="284">
        <v>0</v>
      </c>
      <c r="DG31" s="284">
        <v>1.9198193111236589E-3</v>
      </c>
      <c r="DH31" s="284">
        <v>7.0016939582156967E-3</v>
      </c>
      <c r="DI31" s="284">
        <v>0</v>
      </c>
      <c r="DJ31" s="284">
        <v>0.2631281761716544</v>
      </c>
      <c r="DK31" s="284">
        <v>0</v>
      </c>
      <c r="DL31" s="284">
        <v>6.7758328627893832E-4</v>
      </c>
      <c r="DM31" s="284">
        <v>0</v>
      </c>
      <c r="DN31" s="284">
        <v>1.4455110107284019E-2</v>
      </c>
      <c r="DO31" s="284">
        <v>2.2924901185770747E-2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v>0</v>
      </c>
      <c r="DV31" s="284">
        <v>0</v>
      </c>
      <c r="DW31" s="284">
        <v>0</v>
      </c>
      <c r="DX31" s="53">
        <v>1</v>
      </c>
      <c r="DY31" s="71">
        <v>72.259652942307468</v>
      </c>
      <c r="DZ31" s="71">
        <v>17.171848233074012</v>
      </c>
      <c r="EA31" s="71">
        <v>0.56792548390810216</v>
      </c>
      <c r="EB31" s="71">
        <v>0.3278143306543353</v>
      </c>
      <c r="EC31" s="71">
        <v>0</v>
      </c>
      <c r="ED31" s="71">
        <v>0.13821684343858484</v>
      </c>
      <c r="EE31" s="71">
        <v>2.6119726789774304E-3</v>
      </c>
      <c r="EF31" s="71">
        <v>0.29019899803165317</v>
      </c>
      <c r="EG31" s="71">
        <v>5.1251209814828496</v>
      </c>
      <c r="EH31" s="71">
        <v>3.1212480321243324E-2</v>
      </c>
      <c r="EI31" s="71">
        <v>0</v>
      </c>
      <c r="EJ31" s="71">
        <v>4.0853977341027656</v>
      </c>
      <c r="EK31" s="71">
        <v>0</v>
      </c>
      <c r="EL31" s="71">
        <v>99.999999999999986</v>
      </c>
      <c r="EM31" s="53">
        <v>76.016004105578133</v>
      </c>
      <c r="EN31" s="53" t="s">
        <v>89</v>
      </c>
      <c r="EO31" s="288">
        <v>9.2524310432132769E-3</v>
      </c>
      <c r="EP31" s="257">
        <f t="shared" si="12"/>
        <v>0.92524310432132773</v>
      </c>
      <c r="EQ31" s="257">
        <f t="shared" si="13"/>
        <v>44.145134689389778</v>
      </c>
      <c r="ER31" s="324">
        <f t="shared" si="14"/>
        <v>0.54332135031822959</v>
      </c>
      <c r="ES31" s="257">
        <f t="shared" si="15"/>
        <v>1.2511053244622785</v>
      </c>
      <c r="ET31">
        <f t="shared" si="8"/>
        <v>62.5</v>
      </c>
      <c r="EU31" s="324">
        <f t="shared" si="16"/>
        <v>0.43427307013639921</v>
      </c>
      <c r="EV31" s="39">
        <f t="shared" si="17"/>
        <v>148.47499999999999</v>
      </c>
      <c r="EW31"/>
      <c r="EX31">
        <f t="shared" si="18"/>
        <v>0.96739926739926752</v>
      </c>
      <c r="EY31"/>
      <c r="EZ31"/>
      <c r="FA31"/>
      <c r="FB31"/>
      <c r="FC31"/>
      <c r="FD31"/>
    </row>
    <row r="32" spans="1:160" s="54" customFormat="1" ht="13" customHeight="1" x14ac:dyDescent="0.2">
      <c r="A32" s="49" t="s">
        <v>90</v>
      </c>
      <c r="B32" s="50" t="s">
        <v>461</v>
      </c>
      <c r="C32" s="275">
        <f t="shared" si="21"/>
        <v>148.04999999999998</v>
      </c>
      <c r="D32" s="51">
        <v>85</v>
      </c>
      <c r="E32" s="51">
        <v>125</v>
      </c>
      <c r="F32" s="51">
        <f t="shared" si="3"/>
        <v>105</v>
      </c>
      <c r="G32" s="83" t="s">
        <v>522</v>
      </c>
      <c r="H32" s="84">
        <v>2.5</v>
      </c>
      <c r="I32" s="85">
        <v>5</v>
      </c>
      <c r="J32" s="85">
        <v>8</v>
      </c>
      <c r="K32" s="89">
        <f t="shared" si="20"/>
        <v>1.5625</v>
      </c>
      <c r="L32" s="51">
        <v>179</v>
      </c>
      <c r="M32" s="51">
        <v>101</v>
      </c>
      <c r="N32" s="51">
        <v>61</v>
      </c>
      <c r="O32" s="52">
        <v>68.989999999999995</v>
      </c>
      <c r="P32" s="52">
        <v>16.510000000000002</v>
      </c>
      <c r="Q32" s="52">
        <v>3.35</v>
      </c>
      <c r="R32" s="52">
        <v>2.5000000000000001E-2</v>
      </c>
      <c r="S32" s="52">
        <v>0.26</v>
      </c>
      <c r="T32" s="52">
        <v>7.0000000000000007E-2</v>
      </c>
      <c r="U32" s="52">
        <v>0.32</v>
      </c>
      <c r="V32" s="52">
        <v>6.03</v>
      </c>
      <c r="W32" s="52">
        <v>0.36299999999999999</v>
      </c>
      <c r="X32" s="52">
        <v>0.05</v>
      </c>
      <c r="Y32" s="52">
        <v>4.51</v>
      </c>
      <c r="Z32" s="52">
        <v>100.5</v>
      </c>
      <c r="AA32" s="52">
        <v>6</v>
      </c>
      <c r="AB32" s="52">
        <v>1</v>
      </c>
      <c r="AC32" s="52">
        <v>38</v>
      </c>
      <c r="AD32" s="52">
        <v>0</v>
      </c>
      <c r="AE32" s="52">
        <v>5</v>
      </c>
      <c r="AF32" s="52">
        <v>0</v>
      </c>
      <c r="AG32" s="52">
        <v>30</v>
      </c>
      <c r="AH32" s="52">
        <v>0</v>
      </c>
      <c r="AI32" s="52">
        <v>20</v>
      </c>
      <c r="AJ32" s="52">
        <v>1</v>
      </c>
      <c r="AK32" s="52">
        <v>0</v>
      </c>
      <c r="AL32" s="52">
        <v>136</v>
      </c>
      <c r="AM32" s="52">
        <v>138</v>
      </c>
      <c r="AN32" s="68">
        <f>'O.G.Chem Results'!AN32/'O.G.Chem Results'!$AN$142</f>
        <v>9.615384615384615</v>
      </c>
      <c r="AO32" s="52">
        <v>242</v>
      </c>
      <c r="AP32" s="52">
        <v>5</v>
      </c>
      <c r="AQ32" s="52" t="s">
        <v>72</v>
      </c>
      <c r="AR32" s="52">
        <v>0.6</v>
      </c>
      <c r="AS32" s="52" t="s">
        <v>73</v>
      </c>
      <c r="AT32" s="52">
        <v>2</v>
      </c>
      <c r="AU32" s="52" t="s">
        <v>74</v>
      </c>
      <c r="AV32" s="52">
        <v>1.3</v>
      </c>
      <c r="AW32" s="52">
        <v>605</v>
      </c>
      <c r="AX32" s="52" t="s">
        <v>75</v>
      </c>
      <c r="AY32" s="68">
        <f>'O.G.Chem Results'!AY32/'O.G.Chem Results'!AY$142</f>
        <v>936.17021276595744</v>
      </c>
      <c r="AZ32" s="68">
        <f>'O.G.Chem Results'!AZ32/'O.G.Chem Results'!AZ$142</f>
        <v>631.63129973474793</v>
      </c>
      <c r="BA32" s="68">
        <f>'O.G.Chem Results'!BA32/'O.G.Chem Results'!BA$142</f>
        <v>485.9708193041526</v>
      </c>
      <c r="BB32" s="68">
        <f>'O.G.Chem Results'!BB32/'O.G.Chem Results'!BB$142</f>
        <v>293.98762157382851</v>
      </c>
      <c r="BC32" s="68">
        <f>'O.G.Chem Results'!BC32/'O.G.Chem Results'!BC$142</f>
        <v>102.65125764785861</v>
      </c>
      <c r="BD32" s="68">
        <f>'O.G.Chem Results'!BD32/'O.G.Chem Results'!BD$142</f>
        <v>36.964285714285708</v>
      </c>
      <c r="BE32" s="68">
        <f>'O.G.Chem Results'!BE32/'O.G.Chem Results'!BE$142</f>
        <v>37.5</v>
      </c>
      <c r="BF32" s="68">
        <f>'O.G.Chem Results'!BF32/'O.G.Chem Results'!BF$142</f>
        <v>19.28374655647383</v>
      </c>
      <c r="BG32" s="68">
        <f>'O.G.Chem Results'!BG32/'O.G.Chem Results'!BG$142</f>
        <v>14.421096003296251</v>
      </c>
      <c r="BH32" s="68">
        <f>'O.G.Chem Results'!BH32/'O.G.Chem Results'!BH$142</f>
        <v>10.791366906474819</v>
      </c>
      <c r="BI32" s="68">
        <f>'O.G.Chem Results'!BI32/'O.G.Chem Results'!BI$142</f>
        <v>11.957205789804908</v>
      </c>
      <c r="BJ32" s="68">
        <f>'O.G.Chem Results'!BJ32/'O.G.Chem Results'!BJ$142</f>
        <v>10.330578512396695</v>
      </c>
      <c r="BK32" s="68">
        <f>'O.G.Chem Results'!BK32/'O.G.Chem Results'!BK$142</f>
        <v>11.076923076923077</v>
      </c>
      <c r="BL32" s="68">
        <f>'O.G.Chem Results'!BL32/'O.G.Chem Results'!BL$142</f>
        <v>11.522633744855968</v>
      </c>
      <c r="BM32" s="52">
        <v>6.4</v>
      </c>
      <c r="BN32" s="52">
        <v>0.5</v>
      </c>
      <c r="BO32" s="52">
        <v>0</v>
      </c>
      <c r="BP32" s="52">
        <v>0.6</v>
      </c>
      <c r="BQ32" s="52">
        <v>31</v>
      </c>
      <c r="BR32" s="52">
        <v>53.8</v>
      </c>
      <c r="BS32" s="52">
        <v>2.9</v>
      </c>
      <c r="BT32" s="53">
        <f t="shared" si="4"/>
        <v>0.40287708278025003</v>
      </c>
      <c r="BU32" s="280">
        <f t="shared" si="5"/>
        <v>2614.2590473310561</v>
      </c>
      <c r="BV32" s="54">
        <f t="shared" si="6"/>
        <v>105</v>
      </c>
      <c r="BW32" s="71">
        <f t="shared" si="7"/>
        <v>72.001744439598781</v>
      </c>
      <c r="BX32" s="69">
        <f t="shared" si="11"/>
        <v>1.299730919315613</v>
      </c>
      <c r="BY32" s="53">
        <v>9.76</v>
      </c>
      <c r="BZ32" s="53">
        <v>0.68</v>
      </c>
      <c r="CA32" s="53">
        <v>37.08</v>
      </c>
      <c r="CB32" s="53">
        <v>29.854000000000003</v>
      </c>
      <c r="CC32" s="53">
        <v>2.5960000000000001</v>
      </c>
      <c r="CD32" s="53">
        <v>0</v>
      </c>
      <c r="CE32" s="53">
        <v>0</v>
      </c>
      <c r="CF32" s="53">
        <v>0</v>
      </c>
      <c r="CG32" s="53">
        <v>0</v>
      </c>
      <c r="CH32" s="53">
        <v>0.23</v>
      </c>
      <c r="CI32" s="53">
        <v>0.38</v>
      </c>
      <c r="CJ32" s="53">
        <v>0</v>
      </c>
      <c r="CK32" s="53">
        <v>16.38</v>
      </c>
      <c r="CL32" s="53">
        <v>0</v>
      </c>
      <c r="CM32" s="53">
        <v>0.03</v>
      </c>
      <c r="CN32" s="53">
        <v>0</v>
      </c>
      <c r="CO32" s="53">
        <v>1.57</v>
      </c>
      <c r="CP32" s="53">
        <v>1.45</v>
      </c>
      <c r="CQ32" s="53">
        <v>0</v>
      </c>
      <c r="CR32" s="53">
        <v>0</v>
      </c>
      <c r="CS32" s="53">
        <v>0</v>
      </c>
      <c r="CT32" s="53">
        <v>0</v>
      </c>
      <c r="CU32" s="53">
        <v>0</v>
      </c>
      <c r="CV32" s="53">
        <v>0</v>
      </c>
      <c r="CW32" s="53">
        <v>0</v>
      </c>
      <c r="CX32" s="53">
        <v>0</v>
      </c>
      <c r="CY32" s="280">
        <v>100.00999999999999</v>
      </c>
      <c r="CZ32" s="284">
        <v>0.41397789438428045</v>
      </c>
      <c r="DA32" s="284">
        <v>0.33330356146031043</v>
      </c>
      <c r="DB32" s="284">
        <v>2.8982918387853079E-2</v>
      </c>
      <c r="DC32" s="284">
        <v>0</v>
      </c>
      <c r="DD32" s="284">
        <v>0</v>
      </c>
      <c r="DE32" s="284">
        <v>0</v>
      </c>
      <c r="DF32" s="284">
        <v>0</v>
      </c>
      <c r="DG32" s="284">
        <v>2.5678240482304346E-3</v>
      </c>
      <c r="DH32" s="284">
        <v>4.2424919057720226E-3</v>
      </c>
      <c r="DI32" s="284">
        <v>0</v>
      </c>
      <c r="DJ32" s="284">
        <v>0.18287373004354138</v>
      </c>
      <c r="DK32" s="284">
        <v>0</v>
      </c>
      <c r="DL32" s="284">
        <v>3.3493357150831754E-4</v>
      </c>
      <c r="DM32" s="284">
        <v>0</v>
      </c>
      <c r="DN32" s="284">
        <v>1.7528190242268617E-2</v>
      </c>
      <c r="DO32" s="284">
        <v>1.6188455956235349E-2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v>0</v>
      </c>
      <c r="DV32" s="284">
        <v>0</v>
      </c>
      <c r="DW32" s="284">
        <v>0</v>
      </c>
      <c r="DX32" s="53">
        <v>0.99999999999999978</v>
      </c>
      <c r="DY32" s="71">
        <v>75.009865843032017</v>
      </c>
      <c r="DZ32" s="71">
        <v>14.837095960398575</v>
      </c>
      <c r="EA32" s="71">
        <v>0.49729857208375089</v>
      </c>
      <c r="EB32" s="71">
        <v>0.34539878609413649</v>
      </c>
      <c r="EC32" s="71">
        <v>0</v>
      </c>
      <c r="ED32" s="71">
        <v>0.13795528831657342</v>
      </c>
      <c r="EE32" s="71">
        <v>2.7215892082188432E-3</v>
      </c>
      <c r="EF32" s="71">
        <v>0.34264702279005338</v>
      </c>
      <c r="EG32" s="71">
        <v>5.925724261291224</v>
      </c>
      <c r="EH32" s="71">
        <v>3.7848088941787601E-2</v>
      </c>
      <c r="EI32" s="71">
        <v>0</v>
      </c>
      <c r="EJ32" s="71">
        <v>2.8634445878436847</v>
      </c>
      <c r="EK32" s="71">
        <v>0</v>
      </c>
      <c r="EL32" s="71">
        <v>100</v>
      </c>
      <c r="EM32" s="53">
        <v>70.290710763014346</v>
      </c>
      <c r="EN32" s="53" t="s">
        <v>90</v>
      </c>
      <c r="EO32" s="288">
        <v>8.7378324892635958E-3</v>
      </c>
      <c r="EP32" s="257">
        <f t="shared" si="12"/>
        <v>0.87378324892635961</v>
      </c>
      <c r="EQ32" s="257">
        <f t="shared" si="13"/>
        <v>32.386580251620281</v>
      </c>
      <c r="ER32" s="324">
        <f t="shared" si="14"/>
        <v>0.52749131666248006</v>
      </c>
      <c r="ES32" s="257">
        <f t="shared" si="15"/>
        <v>0.8747031188262826</v>
      </c>
      <c r="ET32">
        <f t="shared" si="8"/>
        <v>105</v>
      </c>
      <c r="EU32" s="324">
        <f t="shared" si="16"/>
        <v>0.60305183016872344</v>
      </c>
      <c r="EV32" s="39">
        <f t="shared" si="17"/>
        <v>148.04999999999998</v>
      </c>
      <c r="EW32"/>
      <c r="EX32">
        <f t="shared" si="18"/>
        <v>0.89102564102564108</v>
      </c>
      <c r="EY32"/>
      <c r="EZ32"/>
      <c r="FA32"/>
      <c r="FB32"/>
      <c r="FC32"/>
      <c r="FD32"/>
    </row>
    <row r="33" spans="1:160" s="54" customFormat="1" ht="13" customHeight="1" x14ac:dyDescent="0.2">
      <c r="A33" s="49" t="s">
        <v>91</v>
      </c>
      <c r="B33" s="50" t="s">
        <v>461</v>
      </c>
      <c r="C33" s="275">
        <f t="shared" si="21"/>
        <v>147.69999999999999</v>
      </c>
      <c r="D33" s="51">
        <v>125</v>
      </c>
      <c r="E33" s="51">
        <v>155</v>
      </c>
      <c r="F33" s="51">
        <f t="shared" si="3"/>
        <v>140</v>
      </c>
      <c r="G33" s="83" t="s">
        <v>519</v>
      </c>
      <c r="H33" s="84">
        <v>5</v>
      </c>
      <c r="I33" s="85">
        <v>5</v>
      </c>
      <c r="J33" s="85">
        <v>8</v>
      </c>
      <c r="K33" s="89">
        <f t="shared" si="20"/>
        <v>3.125</v>
      </c>
      <c r="L33" s="51">
        <v>174</v>
      </c>
      <c r="M33" s="51">
        <v>105</v>
      </c>
      <c r="N33" s="51">
        <v>49</v>
      </c>
      <c r="O33" s="52">
        <v>71.56</v>
      </c>
      <c r="P33" s="52">
        <v>14.25</v>
      </c>
      <c r="Q33" s="52">
        <v>2.86</v>
      </c>
      <c r="R33" s="52">
        <v>3.2000000000000001E-2</v>
      </c>
      <c r="S33" s="52">
        <v>0.24</v>
      </c>
      <c r="T33" s="52">
        <v>0.05</v>
      </c>
      <c r="U33" s="52">
        <v>0.31</v>
      </c>
      <c r="V33" s="52">
        <v>6.46</v>
      </c>
      <c r="W33" s="52">
        <v>0.33100000000000002</v>
      </c>
      <c r="X33" s="52">
        <v>0.03</v>
      </c>
      <c r="Y33" s="52">
        <v>3.35</v>
      </c>
      <c r="Z33" s="52">
        <v>99.47</v>
      </c>
      <c r="AA33" s="52">
        <v>4</v>
      </c>
      <c r="AB33" s="52">
        <v>0</v>
      </c>
      <c r="AC33" s="52">
        <v>28</v>
      </c>
      <c r="AD33" s="52">
        <v>0</v>
      </c>
      <c r="AE33" s="52">
        <v>4</v>
      </c>
      <c r="AF33" s="52">
        <v>0</v>
      </c>
      <c r="AG33" s="52">
        <v>40</v>
      </c>
      <c r="AH33" s="52">
        <v>40</v>
      </c>
      <c r="AI33" s="52">
        <v>19</v>
      </c>
      <c r="AJ33" s="52">
        <v>1</v>
      </c>
      <c r="AK33" s="52">
        <v>0</v>
      </c>
      <c r="AL33" s="52">
        <v>141</v>
      </c>
      <c r="AM33" s="52">
        <v>130</v>
      </c>
      <c r="AN33" s="68">
        <f>'O.G.Chem Results'!AN33/'O.G.Chem Results'!$AN$142</f>
        <v>10.256410256410255</v>
      </c>
      <c r="AO33" s="52">
        <v>294</v>
      </c>
      <c r="AP33" s="52">
        <v>3</v>
      </c>
      <c r="AQ33" s="52" t="s">
        <v>72</v>
      </c>
      <c r="AR33" s="52" t="s">
        <v>74</v>
      </c>
      <c r="AS33" s="52" t="s">
        <v>73</v>
      </c>
      <c r="AT33" s="52">
        <v>4</v>
      </c>
      <c r="AU33" s="52" t="s">
        <v>74</v>
      </c>
      <c r="AV33" s="52">
        <v>1.1000000000000001</v>
      </c>
      <c r="AW33" s="52">
        <v>569</v>
      </c>
      <c r="AX33" s="52" t="s">
        <v>75</v>
      </c>
      <c r="AY33" s="68">
        <f>'O.G.Chem Results'!AY33/'O.G.Chem Results'!AY$142</f>
        <v>965.95744680851067</v>
      </c>
      <c r="AZ33" s="68">
        <f>'O.G.Chem Results'!AZ33/'O.G.Chem Results'!AZ$142</f>
        <v>636.60477453580893</v>
      </c>
      <c r="BA33" s="68">
        <f>'O.G.Chem Results'!BA33/'O.G.Chem Results'!BA$142</f>
        <v>521.88552188552194</v>
      </c>
      <c r="BB33" s="68">
        <f>'O.G.Chem Results'!BB33/'O.G.Chem Results'!BB$142</f>
        <v>316.09195402298855</v>
      </c>
      <c r="BC33" s="68">
        <f>'O.G.Chem Results'!BC33/'O.G.Chem Results'!BC$142</f>
        <v>110.80897348742354</v>
      </c>
      <c r="BD33" s="68">
        <f>'O.G.Chem Results'!BD33/'O.G.Chem Results'!BD$142</f>
        <v>39.464285714285715</v>
      </c>
      <c r="BE33" s="68">
        <f>'O.G.Chem Results'!BE33/'O.G.Chem Results'!BE$142</f>
        <v>39.20454545454546</v>
      </c>
      <c r="BF33" s="68">
        <f>'O.G.Chem Results'!BF33/'O.G.Chem Results'!BF$142</f>
        <v>19.28374655647383</v>
      </c>
      <c r="BG33" s="68">
        <f>'O.G.Chem Results'!BG33/'O.G.Chem Results'!BG$142</f>
        <v>14.421096003296251</v>
      </c>
      <c r="BH33" s="68">
        <f>'O.G.Chem Results'!BH33/'O.G.Chem Results'!BH$142</f>
        <v>10.791366906474819</v>
      </c>
      <c r="BI33" s="68">
        <f>'O.G.Chem Results'!BI33/'O.G.Chem Results'!BI$142</f>
        <v>11.32787916928886</v>
      </c>
      <c r="BJ33" s="68">
        <f>'O.G.Chem Results'!BJ33/'O.G.Chem Results'!BJ$142</f>
        <v>10.743801652892563</v>
      </c>
      <c r="BK33" s="68">
        <f>'O.G.Chem Results'!BK33/'O.G.Chem Results'!BK$142</f>
        <v>9.8461538461538467</v>
      </c>
      <c r="BL33" s="68">
        <f>'O.G.Chem Results'!BL33/'O.G.Chem Results'!BL$142</f>
        <v>11.522633744855968</v>
      </c>
      <c r="BM33" s="52">
        <v>6.6</v>
      </c>
      <c r="BN33" s="52">
        <v>0.1</v>
      </c>
      <c r="BO33" s="52">
        <v>0</v>
      </c>
      <c r="BP33" s="52">
        <v>0.6</v>
      </c>
      <c r="BQ33" s="52">
        <v>32</v>
      </c>
      <c r="BR33" s="52">
        <v>47</v>
      </c>
      <c r="BS33" s="52">
        <v>2.1</v>
      </c>
      <c r="BT33" s="53">
        <f t="shared" si="4"/>
        <v>0.39724184562505721</v>
      </c>
      <c r="BU33" s="280">
        <f t="shared" si="5"/>
        <v>2717.9541797885208</v>
      </c>
      <c r="BV33" s="54">
        <f t="shared" si="6"/>
        <v>140</v>
      </c>
      <c r="BW33" s="71">
        <f t="shared" si="7"/>
        <v>67.631703844328428</v>
      </c>
      <c r="BX33" s="69">
        <f t="shared" si="11"/>
        <v>1.2198168905621627</v>
      </c>
      <c r="BY33" s="53">
        <v>8.77</v>
      </c>
      <c r="BZ33" s="53">
        <v>0.28999999999999998</v>
      </c>
      <c r="CA33" s="53">
        <v>44.15</v>
      </c>
      <c r="CB33" s="53">
        <v>28.4556</v>
      </c>
      <c r="CC33" s="53">
        <v>2.4744000000000002</v>
      </c>
      <c r="CD33" s="53">
        <v>0</v>
      </c>
      <c r="CE33" s="53">
        <v>0</v>
      </c>
      <c r="CF33" s="53">
        <v>0</v>
      </c>
      <c r="CG33" s="53">
        <v>0</v>
      </c>
      <c r="CH33" s="53">
        <v>0.16</v>
      </c>
      <c r="CI33" s="53">
        <v>0.23</v>
      </c>
      <c r="CJ33" s="53">
        <v>0</v>
      </c>
      <c r="CK33" s="53">
        <v>10.95</v>
      </c>
      <c r="CL33" s="53">
        <v>0</v>
      </c>
      <c r="CM33" s="53">
        <v>0.03</v>
      </c>
      <c r="CN33" s="53">
        <v>0</v>
      </c>
      <c r="CO33" s="53">
        <v>2.72</v>
      </c>
      <c r="CP33" s="53">
        <v>1.87</v>
      </c>
      <c r="CQ33" s="53">
        <v>0</v>
      </c>
      <c r="CR33" s="53">
        <v>0</v>
      </c>
      <c r="CS33" s="53">
        <v>0</v>
      </c>
      <c r="CT33" s="53">
        <v>0</v>
      </c>
      <c r="CU33" s="53">
        <v>0</v>
      </c>
      <c r="CV33" s="53">
        <v>0</v>
      </c>
      <c r="CW33" s="53">
        <v>0</v>
      </c>
      <c r="CX33" s="53">
        <v>0</v>
      </c>
      <c r="CY33" s="280">
        <v>100.10000000000001</v>
      </c>
      <c r="CZ33" s="284">
        <v>0.48495166959578201</v>
      </c>
      <c r="DA33" s="284">
        <v>0.3125615114235501</v>
      </c>
      <c r="DB33" s="284">
        <v>2.71792618629174E-2</v>
      </c>
      <c r="DC33" s="284">
        <v>0</v>
      </c>
      <c r="DD33" s="284">
        <v>0</v>
      </c>
      <c r="DE33" s="284">
        <v>0</v>
      </c>
      <c r="DF33" s="284">
        <v>0</v>
      </c>
      <c r="DG33" s="284">
        <v>1.7574692442882249E-3</v>
      </c>
      <c r="DH33" s="284">
        <v>2.5263620386643234E-3</v>
      </c>
      <c r="DI33" s="284">
        <v>0</v>
      </c>
      <c r="DJ33" s="284">
        <v>0.12027680140597538</v>
      </c>
      <c r="DK33" s="284">
        <v>0</v>
      </c>
      <c r="DL33" s="284">
        <v>3.2952548330404213E-4</v>
      </c>
      <c r="DM33" s="284">
        <v>0</v>
      </c>
      <c r="DN33" s="284">
        <v>2.9876977152899824E-2</v>
      </c>
      <c r="DO33" s="284">
        <v>2.054042179261863E-2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v>0</v>
      </c>
      <c r="DV33" s="284">
        <v>0</v>
      </c>
      <c r="DW33" s="284">
        <v>0</v>
      </c>
      <c r="DX33" s="53">
        <v>0.99999999999999989</v>
      </c>
      <c r="DY33" s="71">
        <v>78.478904885005988</v>
      </c>
      <c r="DZ33" s="71">
        <v>12.329870413439258</v>
      </c>
      <c r="EA33" s="71">
        <v>0.33323751784104344</v>
      </c>
      <c r="EB33" s="71">
        <v>0.55708155430005601</v>
      </c>
      <c r="EC33" s="71">
        <v>0</v>
      </c>
      <c r="ED33" s="71">
        <v>0.21722624449309158</v>
      </c>
      <c r="EE33" s="71">
        <v>4.4179500027726418E-3</v>
      </c>
      <c r="EF33" s="71">
        <v>0.3213235131926182</v>
      </c>
      <c r="EG33" s="71">
        <v>5.6923287665455291</v>
      </c>
      <c r="EH33" s="71">
        <v>6.4512449543584732E-2</v>
      </c>
      <c r="EI33" s="71">
        <v>0</v>
      </c>
      <c r="EJ33" s="71">
        <v>2.0010967056360482</v>
      </c>
      <c r="EK33" s="71">
        <v>0</v>
      </c>
      <c r="EL33" s="71">
        <v>100</v>
      </c>
      <c r="EM33" s="53">
        <v>67.200295952680662</v>
      </c>
      <c r="EN33" s="53" t="s">
        <v>91</v>
      </c>
      <c r="EO33" s="288">
        <v>9.4045641202810462E-3</v>
      </c>
      <c r="EP33" s="257">
        <f t="shared" si="12"/>
        <v>0.94045641202810459</v>
      </c>
      <c r="EQ33" s="257">
        <f t="shared" si="13"/>
        <v>24.199743918053773</v>
      </c>
      <c r="ER33" s="324">
        <f t="shared" si="14"/>
        <v>0.526143056874121</v>
      </c>
      <c r="ES33" s="257">
        <f t="shared" si="15"/>
        <v>0.84955894400961351</v>
      </c>
      <c r="ET33">
        <f t="shared" si="8"/>
        <v>140</v>
      </c>
      <c r="EU33" s="324">
        <f t="shared" si="16"/>
        <v>0.61931318666473512</v>
      </c>
      <c r="EV33" s="39">
        <f t="shared" si="17"/>
        <v>147.69999999999999</v>
      </c>
      <c r="EW33"/>
      <c r="EX33">
        <f t="shared" si="18"/>
        <v>0.95042735042735049</v>
      </c>
      <c r="EY33"/>
      <c r="EZ33" s="324">
        <f>AVERAGE(EZ27,EZ41)</f>
        <v>0.64332240161926602</v>
      </c>
      <c r="FA33" s="260" t="s">
        <v>666</v>
      </c>
      <c r="FB33"/>
      <c r="FC33"/>
      <c r="FD33"/>
    </row>
    <row r="34" spans="1:160" s="54" customFormat="1" ht="13" customHeight="1" x14ac:dyDescent="0.2">
      <c r="A34" s="49" t="s">
        <v>92</v>
      </c>
      <c r="B34" s="50" t="s">
        <v>461</v>
      </c>
      <c r="C34" s="275">
        <f t="shared" si="21"/>
        <v>147.22499999999999</v>
      </c>
      <c r="D34" s="51">
        <v>155</v>
      </c>
      <c r="E34" s="51">
        <v>220</v>
      </c>
      <c r="F34" s="51">
        <f t="shared" si="3"/>
        <v>187.5</v>
      </c>
      <c r="G34" s="83" t="s">
        <v>517</v>
      </c>
      <c r="H34" s="84">
        <v>5</v>
      </c>
      <c r="I34" s="85">
        <v>5</v>
      </c>
      <c r="J34" s="85">
        <v>6</v>
      </c>
      <c r="K34" s="89">
        <f t="shared" si="20"/>
        <v>4.166666666666667</v>
      </c>
      <c r="L34" s="51">
        <v>164</v>
      </c>
      <c r="M34" s="51">
        <v>109</v>
      </c>
      <c r="N34" s="51">
        <v>70</v>
      </c>
      <c r="O34" s="52">
        <v>71.709999999999994</v>
      </c>
      <c r="P34" s="52">
        <v>14.71</v>
      </c>
      <c r="Q34" s="52">
        <v>2.5499999999999998</v>
      </c>
      <c r="R34" s="52">
        <v>2.8000000000000001E-2</v>
      </c>
      <c r="S34" s="52">
        <v>0.23</v>
      </c>
      <c r="T34" s="52">
        <v>0.06</v>
      </c>
      <c r="U34" s="52">
        <v>0.36</v>
      </c>
      <c r="V34" s="52">
        <v>6.37</v>
      </c>
      <c r="W34" s="52">
        <v>0.26300000000000001</v>
      </c>
      <c r="X34" s="52">
        <v>0.02</v>
      </c>
      <c r="Y34" s="52">
        <v>3.16</v>
      </c>
      <c r="Z34" s="52">
        <v>99.45</v>
      </c>
      <c r="AA34" s="52">
        <v>3</v>
      </c>
      <c r="AB34" s="52">
        <v>0</v>
      </c>
      <c r="AC34" s="52">
        <v>28</v>
      </c>
      <c r="AD34" s="52">
        <v>0</v>
      </c>
      <c r="AE34" s="52">
        <v>3</v>
      </c>
      <c r="AF34" s="52">
        <v>0</v>
      </c>
      <c r="AG34" s="52">
        <v>20</v>
      </c>
      <c r="AH34" s="52">
        <v>30</v>
      </c>
      <c r="AI34" s="52">
        <v>19</v>
      </c>
      <c r="AJ34" s="52">
        <v>1</v>
      </c>
      <c r="AK34" s="52">
        <v>0</v>
      </c>
      <c r="AL34" s="52">
        <v>140</v>
      </c>
      <c r="AM34" s="52">
        <v>141</v>
      </c>
      <c r="AN34" s="68">
        <f>'O.G.Chem Results'!AN34/'O.G.Chem Results'!$AN$142</f>
        <v>8.3333333333333339</v>
      </c>
      <c r="AO34" s="52">
        <v>262</v>
      </c>
      <c r="AP34" s="52">
        <v>2</v>
      </c>
      <c r="AQ34" s="52" t="s">
        <v>72</v>
      </c>
      <c r="AR34" s="52" t="s">
        <v>74</v>
      </c>
      <c r="AS34" s="52" t="s">
        <v>73</v>
      </c>
      <c r="AT34" s="52">
        <v>3</v>
      </c>
      <c r="AU34" s="52" t="s">
        <v>74</v>
      </c>
      <c r="AV34" s="52">
        <v>1</v>
      </c>
      <c r="AW34" s="52">
        <v>602</v>
      </c>
      <c r="AX34" s="52" t="s">
        <v>75</v>
      </c>
      <c r="AY34" s="68">
        <f>'O.G.Chem Results'!AY34/'O.G.Chem Results'!AY$142</f>
        <v>757.44680851063833</v>
      </c>
      <c r="AZ34" s="68">
        <f>'O.G.Chem Results'!AZ34/'O.G.Chem Results'!AZ$142</f>
        <v>606.76392572944292</v>
      </c>
      <c r="BA34" s="68">
        <f>'O.G.Chem Results'!BA34/'O.G.Chem Results'!BA$142</f>
        <v>416.38608305274977</v>
      </c>
      <c r="BB34" s="68">
        <f>'O.G.Chem Results'!BB34/'O.G.Chem Results'!BB$142</f>
        <v>254.19982316534043</v>
      </c>
      <c r="BC34" s="68">
        <f>'O.G.Chem Results'!BC34/'O.G.Chem Results'!BC$142</f>
        <v>90.414683888511234</v>
      </c>
      <c r="BD34" s="68">
        <f>'O.G.Chem Results'!BD34/'O.G.Chem Results'!BD$142</f>
        <v>32.678571428571431</v>
      </c>
      <c r="BE34" s="68">
        <f>'O.G.Chem Results'!BE34/'O.G.Chem Results'!BE$142</f>
        <v>31.818181818181817</v>
      </c>
      <c r="BF34" s="68">
        <f>'O.G.Chem Results'!BF34/'O.G.Chem Results'!BF$142</f>
        <v>16.528925619834709</v>
      </c>
      <c r="BG34" s="68">
        <f>'O.G.Chem Results'!BG34/'O.G.Chem Results'!BG$142</f>
        <v>11.536876802637</v>
      </c>
      <c r="BH34" s="68">
        <f>'O.G.Chem Results'!BH34/'O.G.Chem Results'!BH$142</f>
        <v>8.9928057553956826</v>
      </c>
      <c r="BI34" s="68">
        <f>'O.G.Chem Results'!BI34/'O.G.Chem Results'!BI$142</f>
        <v>8.8105726872246688</v>
      </c>
      <c r="BJ34" s="68">
        <f>'O.G.Chem Results'!BJ34/'O.G.Chem Results'!BJ$142</f>
        <v>8.6776859504132222</v>
      </c>
      <c r="BK34" s="68">
        <f>'O.G.Chem Results'!BK34/'O.G.Chem Results'!BK$142</f>
        <v>8</v>
      </c>
      <c r="BL34" s="68">
        <f>'O.G.Chem Results'!BL34/'O.G.Chem Results'!BL$142</f>
        <v>9.05349794238683</v>
      </c>
      <c r="BM34" s="52">
        <v>5.8</v>
      </c>
      <c r="BN34" s="52">
        <v>0.2</v>
      </c>
      <c r="BO34" s="52">
        <v>0</v>
      </c>
      <c r="BP34" s="52">
        <v>0.6</v>
      </c>
      <c r="BQ34" s="52">
        <v>30</v>
      </c>
      <c r="BR34" s="52">
        <v>47</v>
      </c>
      <c r="BS34" s="52">
        <v>2.2999999999999998</v>
      </c>
      <c r="BT34" s="53">
        <f t="shared" si="4"/>
        <v>0.44477287159555601</v>
      </c>
      <c r="BU34" s="280">
        <f t="shared" si="5"/>
        <v>2261.3084423513283</v>
      </c>
      <c r="BV34" s="54">
        <f t="shared" si="6"/>
        <v>187.5</v>
      </c>
      <c r="BW34" s="71">
        <f t="shared" si="7"/>
        <v>68.418604651162795</v>
      </c>
      <c r="BX34" s="69">
        <f t="shared" si="11"/>
        <v>1.4572147111184193</v>
      </c>
      <c r="BY34" s="53">
        <v>9.48</v>
      </c>
      <c r="BZ34" s="53">
        <v>0.37</v>
      </c>
      <c r="CA34" s="53">
        <v>39.479999999999997</v>
      </c>
      <c r="CB34" s="53">
        <v>31.298400000000004</v>
      </c>
      <c r="CC34" s="53">
        <v>2.7216000000000005</v>
      </c>
      <c r="CD34" s="53">
        <v>0</v>
      </c>
      <c r="CE34" s="53">
        <v>0</v>
      </c>
      <c r="CF34" s="53">
        <v>0</v>
      </c>
      <c r="CG34" s="53">
        <v>0</v>
      </c>
      <c r="CH34" s="53">
        <v>0.17</v>
      </c>
      <c r="CI34" s="53">
        <v>0.27</v>
      </c>
      <c r="CJ34" s="53">
        <v>0</v>
      </c>
      <c r="CK34" s="53">
        <v>11.52</v>
      </c>
      <c r="CL34" s="53">
        <v>0</v>
      </c>
      <c r="CM34" s="53">
        <v>0.04</v>
      </c>
      <c r="CN34" s="53">
        <v>0</v>
      </c>
      <c r="CO34" s="53">
        <v>1.95</v>
      </c>
      <c r="CP34" s="53">
        <v>2.7</v>
      </c>
      <c r="CQ34" s="53">
        <v>0</v>
      </c>
      <c r="CR34" s="53">
        <v>0</v>
      </c>
      <c r="CS34" s="53">
        <v>0</v>
      </c>
      <c r="CT34" s="53">
        <v>0</v>
      </c>
      <c r="CU34" s="53">
        <v>0</v>
      </c>
      <c r="CV34" s="53">
        <v>0</v>
      </c>
      <c r="CW34" s="53">
        <v>0</v>
      </c>
      <c r="CX34" s="53">
        <v>0</v>
      </c>
      <c r="CY34" s="280">
        <v>100</v>
      </c>
      <c r="CZ34" s="284">
        <v>0.43793677204658893</v>
      </c>
      <c r="DA34" s="284">
        <v>0.34718136439267888</v>
      </c>
      <c r="DB34" s="284">
        <v>3.0189683860232949E-2</v>
      </c>
      <c r="DC34" s="284">
        <v>0</v>
      </c>
      <c r="DD34" s="284">
        <v>0</v>
      </c>
      <c r="DE34" s="284">
        <v>0</v>
      </c>
      <c r="DF34" s="284">
        <v>0</v>
      </c>
      <c r="DG34" s="284">
        <v>1.8857459789240155E-3</v>
      </c>
      <c r="DH34" s="284">
        <v>2.9950083194675539E-3</v>
      </c>
      <c r="DI34" s="284">
        <v>0</v>
      </c>
      <c r="DJ34" s="284">
        <v>0.12778702163061562</v>
      </c>
      <c r="DK34" s="284">
        <v>0</v>
      </c>
      <c r="DL34" s="284">
        <v>4.4370493621741539E-4</v>
      </c>
      <c r="DM34" s="284">
        <v>0</v>
      </c>
      <c r="DN34" s="284">
        <v>2.1630615640599E-2</v>
      </c>
      <c r="DO34" s="284">
        <v>2.9950083194675542E-2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v>0</v>
      </c>
      <c r="DV34" s="284">
        <v>0</v>
      </c>
      <c r="DW34" s="284">
        <v>0</v>
      </c>
      <c r="DX34" s="53">
        <v>0.99999999999999978</v>
      </c>
      <c r="DY34" s="71">
        <v>76.725025711355158</v>
      </c>
      <c r="DZ34" s="71">
        <v>13.373439270883807</v>
      </c>
      <c r="EA34" s="71">
        <v>0.35596115562358838</v>
      </c>
      <c r="EB34" s="71">
        <v>0.47099684115555424</v>
      </c>
      <c r="EC34" s="71">
        <v>0</v>
      </c>
      <c r="ED34" s="71">
        <v>0.19507030592725191</v>
      </c>
      <c r="EE34" s="71">
        <v>3.3863899520563067E-3</v>
      </c>
      <c r="EF34" s="71">
        <v>0.35691386061443525</v>
      </c>
      <c r="EG34" s="71">
        <v>6.34314272633776</v>
      </c>
      <c r="EH34" s="71">
        <v>4.6706331533120912E-2</v>
      </c>
      <c r="EI34" s="71">
        <v>0</v>
      </c>
      <c r="EJ34" s="71">
        <v>2.1293574066172738</v>
      </c>
      <c r="EK34" s="71">
        <v>0</v>
      </c>
      <c r="EL34" s="71">
        <v>100</v>
      </c>
      <c r="EM34" s="53">
        <v>66.611135662546445</v>
      </c>
      <c r="EN34" s="53" t="s">
        <v>92</v>
      </c>
      <c r="EO34" s="288">
        <v>8.6934771248314245E-3</v>
      </c>
      <c r="EP34" s="257">
        <f t="shared" si="12"/>
        <v>0.86934771248314247</v>
      </c>
      <c r="EQ34" s="257">
        <f t="shared" si="13"/>
        <v>23.622358285601418</v>
      </c>
      <c r="ER34" s="324">
        <f t="shared" si="14"/>
        <v>0.53469369697976521</v>
      </c>
      <c r="ES34" s="257">
        <f t="shared" si="15"/>
        <v>1.0289404368580504</v>
      </c>
      <c r="ET34">
        <f t="shared" si="8"/>
        <v>187.5</v>
      </c>
      <c r="EU34" s="324">
        <f t="shared" si="16"/>
        <v>0.51965466398861138</v>
      </c>
      <c r="EV34" s="39">
        <f t="shared" si="17"/>
        <v>147.22499999999999</v>
      </c>
      <c r="EW34"/>
      <c r="EX34">
        <f t="shared" si="18"/>
        <v>0.92666666666666686</v>
      </c>
      <c r="EY34"/>
      <c r="EZ34"/>
      <c r="FA34"/>
      <c r="FB34"/>
      <c r="FC34"/>
      <c r="FD34"/>
    </row>
    <row r="35" spans="1:160" s="54" customFormat="1" ht="13" customHeight="1" x14ac:dyDescent="0.2">
      <c r="A35" s="49" t="s">
        <v>93</v>
      </c>
      <c r="B35" s="50" t="s">
        <v>461</v>
      </c>
      <c r="C35" s="275">
        <f t="shared" si="21"/>
        <v>146.35</v>
      </c>
      <c r="D35" s="51">
        <v>250</v>
      </c>
      <c r="E35" s="51">
        <v>300</v>
      </c>
      <c r="F35" s="51">
        <f t="shared" si="3"/>
        <v>275</v>
      </c>
      <c r="G35" s="83" t="s">
        <v>523</v>
      </c>
      <c r="H35" s="84">
        <v>7.5</v>
      </c>
      <c r="I35" s="85">
        <v>5</v>
      </c>
      <c r="J35" s="85">
        <v>8</v>
      </c>
      <c r="K35" s="89">
        <f t="shared" si="20"/>
        <v>4.6875</v>
      </c>
      <c r="L35" s="51">
        <v>169</v>
      </c>
      <c r="M35" s="51">
        <v>108</v>
      </c>
      <c r="N35" s="51">
        <v>39</v>
      </c>
      <c r="O35" s="52">
        <v>70.849999999999994</v>
      </c>
      <c r="P35" s="52">
        <v>15.47</v>
      </c>
      <c r="Q35" s="52">
        <v>3.46</v>
      </c>
      <c r="R35" s="52">
        <v>3.4000000000000002E-2</v>
      </c>
      <c r="S35" s="52">
        <v>0.59</v>
      </c>
      <c r="T35" s="52">
        <v>0.14000000000000001</v>
      </c>
      <c r="U35" s="52">
        <v>0.19</v>
      </c>
      <c r="V35" s="52">
        <v>3.89</v>
      </c>
      <c r="W35" s="52">
        <v>0.32200000000000001</v>
      </c>
      <c r="X35" s="52">
        <v>0</v>
      </c>
      <c r="Y35" s="52">
        <v>4.99</v>
      </c>
      <c r="Z35" s="52">
        <v>99.92</v>
      </c>
      <c r="AA35" s="52">
        <v>7</v>
      </c>
      <c r="AB35" s="52">
        <v>1</v>
      </c>
      <c r="AC35" s="52">
        <v>52</v>
      </c>
      <c r="AD35" s="52">
        <v>20</v>
      </c>
      <c r="AE35" s="52">
        <v>5</v>
      </c>
      <c r="AF35" s="52">
        <v>0</v>
      </c>
      <c r="AG35" s="52">
        <v>10</v>
      </c>
      <c r="AH35" s="52">
        <v>50</v>
      </c>
      <c r="AI35" s="52">
        <v>18</v>
      </c>
      <c r="AJ35" s="52">
        <v>1</v>
      </c>
      <c r="AK35" s="52">
        <v>0</v>
      </c>
      <c r="AL35" s="52">
        <v>115</v>
      </c>
      <c r="AM35" s="52">
        <v>76</v>
      </c>
      <c r="AN35" s="68">
        <f>'O.G.Chem Results'!AN35/'O.G.Chem Results'!$AN$142</f>
        <v>3.2051282051282048</v>
      </c>
      <c r="AO35" s="52">
        <v>197</v>
      </c>
      <c r="AP35" s="52">
        <v>4</v>
      </c>
      <c r="AQ35" s="52" t="s">
        <v>72</v>
      </c>
      <c r="AR35" s="52" t="s">
        <v>74</v>
      </c>
      <c r="AS35" s="52" t="s">
        <v>73</v>
      </c>
      <c r="AT35" s="52">
        <v>3</v>
      </c>
      <c r="AU35" s="52" t="s">
        <v>74</v>
      </c>
      <c r="AV35" s="52">
        <v>1.7</v>
      </c>
      <c r="AW35" s="52">
        <v>439</v>
      </c>
      <c r="AX35" s="52" t="s">
        <v>75</v>
      </c>
      <c r="AY35" s="68">
        <f>'O.G.Chem Results'!AY35/'O.G.Chem Results'!AY$142</f>
        <v>203.40425531914894</v>
      </c>
      <c r="AZ35" s="68">
        <f>'O.G.Chem Results'!AZ35/'O.G.Chem Results'!AZ$142</f>
        <v>283.48806366047739</v>
      </c>
      <c r="BA35" s="68">
        <f>'O.G.Chem Results'!BA35/'O.G.Chem Results'!BA$142</f>
        <v>110.1010101010101</v>
      </c>
      <c r="BB35" s="68">
        <f>'O.G.Chem Results'!BB35/'O.G.Chem Results'!BB$142</f>
        <v>68.081343943412918</v>
      </c>
      <c r="BC35" s="68">
        <f>'O.G.Chem Results'!BC35/'O.G.Chem Results'!BC$142</f>
        <v>25.832766825288921</v>
      </c>
      <c r="BD35" s="68">
        <f>'O.G.Chem Results'!BD35/'O.G.Chem Results'!BD$142</f>
        <v>9.4642857142857153</v>
      </c>
      <c r="BE35" s="68">
        <f>'O.G.Chem Results'!BE35/'O.G.Chem Results'!BE$142</f>
        <v>9.6590909090909101</v>
      </c>
      <c r="BF35" s="68">
        <f>'O.G.Chem Results'!BF35/'O.G.Chem Results'!BF$142</f>
        <v>5.5096418732782375</v>
      </c>
      <c r="BG35" s="68">
        <f>'O.G.Chem Results'!BG35/'O.G.Chem Results'!BG$142</f>
        <v>4.5323444581788221</v>
      </c>
      <c r="BH35" s="68">
        <f>'O.G.Chem Results'!BH35/'O.G.Chem Results'!BH$142</f>
        <v>3.5971223021582732</v>
      </c>
      <c r="BI35" s="68">
        <f>'O.G.Chem Results'!BI35/'O.G.Chem Results'!BI$142</f>
        <v>3.7759597230962867</v>
      </c>
      <c r="BJ35" s="68">
        <f>'O.G.Chem Results'!BJ35/'O.G.Chem Results'!BJ$142</f>
        <v>4.1322314049586781</v>
      </c>
      <c r="BK35" s="68">
        <f>'O.G.Chem Results'!BK35/'O.G.Chem Results'!BK$142</f>
        <v>4.9230769230769234</v>
      </c>
      <c r="BL35" s="68">
        <f>'O.G.Chem Results'!BL35/'O.G.Chem Results'!BL$142</f>
        <v>5.761316872427984</v>
      </c>
      <c r="BM35" s="52">
        <v>5.3</v>
      </c>
      <c r="BN35" s="52">
        <v>0.4</v>
      </c>
      <c r="BO35" s="52">
        <v>3</v>
      </c>
      <c r="BP35" s="52">
        <v>0.5</v>
      </c>
      <c r="BQ35" s="52">
        <v>23</v>
      </c>
      <c r="BR35" s="52">
        <v>25.8</v>
      </c>
      <c r="BS35" s="52">
        <v>2.8</v>
      </c>
      <c r="BT35" s="53">
        <f t="shared" si="4"/>
        <v>0.58223975324683597</v>
      </c>
      <c r="BU35" s="280">
        <f t="shared" si="5"/>
        <v>742.26251002989</v>
      </c>
      <c r="BV35" s="54">
        <f t="shared" si="6"/>
        <v>275</v>
      </c>
      <c r="BW35" s="71">
        <f t="shared" si="7"/>
        <v>78.567800914169624</v>
      </c>
      <c r="BX35" s="69">
        <f t="shared" si="11"/>
        <v>2.5747998442557121</v>
      </c>
      <c r="BY35" s="53">
        <v>12.23</v>
      </c>
      <c r="BZ35" s="53">
        <v>1.36</v>
      </c>
      <c r="CA35" s="53">
        <v>41.7</v>
      </c>
      <c r="CB35" s="53">
        <v>16.523200000000003</v>
      </c>
      <c r="CC35" s="53">
        <v>1.4368000000000001</v>
      </c>
      <c r="CD35" s="53">
        <v>0</v>
      </c>
      <c r="CE35" s="53">
        <v>0</v>
      </c>
      <c r="CF35" s="53">
        <v>0</v>
      </c>
      <c r="CG35" s="53">
        <v>0</v>
      </c>
      <c r="CH35" s="53">
        <v>0.26</v>
      </c>
      <c r="CI35" s="53">
        <v>0.28000000000000003</v>
      </c>
      <c r="CJ35" s="53">
        <v>0</v>
      </c>
      <c r="CK35" s="53">
        <v>22.26</v>
      </c>
      <c r="CL35" s="53">
        <v>0</v>
      </c>
      <c r="CM35" s="53">
        <v>0.02</v>
      </c>
      <c r="CN35" s="53">
        <v>0</v>
      </c>
      <c r="CO35" s="53">
        <v>2.61</v>
      </c>
      <c r="CP35" s="53">
        <v>1.31</v>
      </c>
      <c r="CQ35" s="53">
        <v>0</v>
      </c>
      <c r="CR35" s="53">
        <v>0</v>
      </c>
      <c r="CS35" s="53">
        <v>0</v>
      </c>
      <c r="CT35" s="53">
        <v>0</v>
      </c>
      <c r="CU35" s="53">
        <v>0</v>
      </c>
      <c r="CV35" s="53">
        <v>0</v>
      </c>
      <c r="CW35" s="53">
        <v>0</v>
      </c>
      <c r="CX35" s="53">
        <v>0</v>
      </c>
      <c r="CY35" s="280">
        <v>99.990000000000023</v>
      </c>
      <c r="CZ35" s="284">
        <v>0.4826388888888889</v>
      </c>
      <c r="DA35" s="284">
        <v>0.19124074074074077</v>
      </c>
      <c r="DB35" s="284">
        <v>1.662962962962963E-2</v>
      </c>
      <c r="DC35" s="284">
        <v>0</v>
      </c>
      <c r="DD35" s="284">
        <v>0</v>
      </c>
      <c r="DE35" s="284">
        <v>0</v>
      </c>
      <c r="DF35" s="284">
        <v>0</v>
      </c>
      <c r="DG35" s="284">
        <v>3.0092592592592593E-3</v>
      </c>
      <c r="DH35" s="284">
        <v>3.2407407407407406E-3</v>
      </c>
      <c r="DI35" s="284">
        <v>0</v>
      </c>
      <c r="DJ35" s="284">
        <v>0.25763888888888892</v>
      </c>
      <c r="DK35" s="284">
        <v>0</v>
      </c>
      <c r="DL35" s="284">
        <v>2.3148148148148146E-4</v>
      </c>
      <c r="DM35" s="284">
        <v>0</v>
      </c>
      <c r="DN35" s="284">
        <v>3.020833333333333E-2</v>
      </c>
      <c r="DO35" s="284">
        <v>1.5162037037037036E-2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v>0</v>
      </c>
      <c r="DV35" s="284">
        <v>0</v>
      </c>
      <c r="DW35" s="284">
        <v>0</v>
      </c>
      <c r="DX35" s="53">
        <v>1</v>
      </c>
      <c r="DY35" s="71">
        <v>75.755028049044896</v>
      </c>
      <c r="DZ35" s="71">
        <v>15.087447439335728</v>
      </c>
      <c r="EA35" s="71">
        <v>0.64881162336506126</v>
      </c>
      <c r="EB35" s="71">
        <v>0.53809901801022231</v>
      </c>
      <c r="EC35" s="71">
        <v>0</v>
      </c>
      <c r="ED35" s="71">
        <v>0.20553973690625357</v>
      </c>
      <c r="EE35" s="71">
        <v>4.373821885551763E-3</v>
      </c>
      <c r="EF35" s="71">
        <v>0.19660177096182133</v>
      </c>
      <c r="EG35" s="71">
        <v>3.5779535635586974</v>
      </c>
      <c r="EH35" s="71">
        <v>6.5227936882272783E-2</v>
      </c>
      <c r="EI35" s="71">
        <v>0</v>
      </c>
      <c r="EJ35" s="71">
        <v>3.9209170400495195</v>
      </c>
      <c r="EK35" s="71">
        <v>0</v>
      </c>
      <c r="EL35" s="71">
        <v>100.00000000000003</v>
      </c>
      <c r="EM35" s="53">
        <v>79.970032203963399</v>
      </c>
      <c r="EN35" s="53" t="s">
        <v>93</v>
      </c>
      <c r="EO35" s="288">
        <v>1.2353395529962036E-2</v>
      </c>
      <c r="EP35" s="257">
        <f t="shared" si="12"/>
        <v>1.2353395529962037</v>
      </c>
      <c r="EQ35" s="257">
        <f t="shared" si="13"/>
        <v>51.02954341987467</v>
      </c>
      <c r="ER35" s="324">
        <f t="shared" si="14"/>
        <v>0.53332151757826762</v>
      </c>
      <c r="ES35" s="257">
        <f t="shared" si="15"/>
        <v>1.7908662035547849</v>
      </c>
      <c r="ET35">
        <f t="shared" si="8"/>
        <v>275</v>
      </c>
      <c r="EU35" s="324">
        <f t="shared" si="16"/>
        <v>0.2978008722927763</v>
      </c>
      <c r="EV35" s="39">
        <f t="shared" si="17"/>
        <v>146.35</v>
      </c>
      <c r="EW35"/>
      <c r="EX35">
        <f t="shared" si="18"/>
        <v>0.89102564102564097</v>
      </c>
      <c r="EY35"/>
      <c r="EZ35"/>
      <c r="FA35"/>
      <c r="FB35"/>
      <c r="FC35"/>
      <c r="FD35"/>
    </row>
    <row r="36" spans="1:160" s="54" customFormat="1" ht="13" customHeight="1" x14ac:dyDescent="0.2">
      <c r="A36" s="49" t="s">
        <v>95</v>
      </c>
      <c r="B36" s="50" t="s">
        <v>461</v>
      </c>
      <c r="C36" s="275">
        <f t="shared" si="21"/>
        <v>145.6</v>
      </c>
      <c r="D36" s="51">
        <v>300</v>
      </c>
      <c r="E36" s="51">
        <v>400</v>
      </c>
      <c r="F36" s="51">
        <f t="shared" si="3"/>
        <v>350</v>
      </c>
      <c r="G36" s="83" t="s">
        <v>513</v>
      </c>
      <c r="H36" s="84">
        <v>7.5</v>
      </c>
      <c r="I36" s="85">
        <v>4</v>
      </c>
      <c r="J36" s="85">
        <v>6</v>
      </c>
      <c r="K36" s="89">
        <f t="shared" si="20"/>
        <v>5</v>
      </c>
      <c r="L36" s="51">
        <v>132</v>
      </c>
      <c r="M36" s="51">
        <v>86</v>
      </c>
      <c r="N36" s="51">
        <v>40</v>
      </c>
      <c r="O36" s="52">
        <v>66.010000000000005</v>
      </c>
      <c r="P36" s="52">
        <v>16.77</v>
      </c>
      <c r="Q36" s="52">
        <v>4.8</v>
      </c>
      <c r="R36" s="52">
        <v>7.4999999999999997E-2</v>
      </c>
      <c r="S36" s="52">
        <v>1.1200000000000001</v>
      </c>
      <c r="T36" s="52">
        <v>0.28000000000000003</v>
      </c>
      <c r="U36" s="52">
        <v>0.15</v>
      </c>
      <c r="V36" s="52">
        <v>3.11</v>
      </c>
      <c r="W36" s="52">
        <v>0.39200000000000002</v>
      </c>
      <c r="X36" s="52">
        <v>0.03</v>
      </c>
      <c r="Y36" s="52">
        <v>6.04</v>
      </c>
      <c r="Z36" s="52">
        <v>98.77</v>
      </c>
      <c r="AA36" s="52">
        <v>13</v>
      </c>
      <c r="AB36" s="52">
        <v>2</v>
      </c>
      <c r="AC36" s="52">
        <v>75</v>
      </c>
      <c r="AD36" s="52">
        <v>0</v>
      </c>
      <c r="AE36" s="52">
        <v>10</v>
      </c>
      <c r="AF36" s="52">
        <v>0</v>
      </c>
      <c r="AG36" s="52">
        <v>20</v>
      </c>
      <c r="AH36" s="52">
        <v>60</v>
      </c>
      <c r="AI36" s="52">
        <v>19</v>
      </c>
      <c r="AJ36" s="52">
        <v>2</v>
      </c>
      <c r="AK36" s="52">
        <v>0</v>
      </c>
      <c r="AL36" s="52">
        <v>126</v>
      </c>
      <c r="AM36" s="52">
        <v>51</v>
      </c>
      <c r="AN36" s="68">
        <f>'O.G.Chem Results'!AN36/'O.G.Chem Results'!$AN$142</f>
        <v>3.8461538461538458</v>
      </c>
      <c r="AO36" s="52">
        <v>152</v>
      </c>
      <c r="AP36" s="52">
        <v>5</v>
      </c>
      <c r="AQ36" s="52" t="s">
        <v>72</v>
      </c>
      <c r="AR36" s="52" t="s">
        <v>74</v>
      </c>
      <c r="AS36" s="52" t="s">
        <v>73</v>
      </c>
      <c r="AT36" s="52">
        <v>2</v>
      </c>
      <c r="AU36" s="52" t="s">
        <v>74</v>
      </c>
      <c r="AV36" s="52">
        <v>1.9</v>
      </c>
      <c r="AW36" s="52">
        <v>526</v>
      </c>
      <c r="AX36" s="52" t="s">
        <v>75</v>
      </c>
      <c r="AY36" s="68">
        <f>'O.G.Chem Results'!AY36/'O.G.Chem Results'!AY$142</f>
        <v>95.744680851063833</v>
      </c>
      <c r="AZ36" s="68">
        <f>'O.G.Chem Results'!AZ36/'O.G.Chem Results'!AZ$142</f>
        <v>156.00132625994692</v>
      </c>
      <c r="BA36" s="68">
        <f>'O.G.Chem Results'!BA36/'O.G.Chem Results'!BA$142</f>
        <v>53.872053872053868</v>
      </c>
      <c r="BB36" s="68">
        <f>'O.G.Chem Results'!BB36/'O.G.Chem Results'!BB$142</f>
        <v>35.145888594164461</v>
      </c>
      <c r="BC36" s="68">
        <f>'O.G.Chem Results'!BC36/'O.G.Chem Results'!BC$142</f>
        <v>14.955812372535693</v>
      </c>
      <c r="BD36" s="68">
        <f>'O.G.Chem Results'!BD36/'O.G.Chem Results'!BD$142</f>
        <v>7.1428571428571432</v>
      </c>
      <c r="BE36" s="68">
        <f>'O.G.Chem Results'!BE36/'O.G.Chem Results'!BE$142</f>
        <v>7.9545454545454541</v>
      </c>
      <c r="BF36" s="68">
        <f>'O.G.Chem Results'!BF36/'O.G.Chem Results'!BF$142</f>
        <v>5.5096418732782375</v>
      </c>
      <c r="BG36" s="68">
        <f>'O.G.Chem Results'!BG36/'O.G.Chem Results'!BG$142</f>
        <v>4.5323444581788221</v>
      </c>
      <c r="BH36" s="68">
        <f>'O.G.Chem Results'!BH36/'O.G.Chem Results'!BH$142</f>
        <v>3.5971223021582732</v>
      </c>
      <c r="BI36" s="68">
        <f>'O.G.Chem Results'!BI36/'O.G.Chem Results'!BI$142</f>
        <v>4.4052863436123344</v>
      </c>
      <c r="BJ36" s="68">
        <f>'O.G.Chem Results'!BJ36/'O.G.Chem Results'!BJ$142</f>
        <v>4.5454545454545459</v>
      </c>
      <c r="BK36" s="68">
        <f>'O.G.Chem Results'!BK36/'O.G.Chem Results'!BK$142</f>
        <v>4.9230769230769234</v>
      </c>
      <c r="BL36" s="68">
        <f>'O.G.Chem Results'!BL36/'O.G.Chem Results'!BL$142</f>
        <v>5.761316872427984</v>
      </c>
      <c r="BM36" s="52">
        <v>3.8</v>
      </c>
      <c r="BN36" s="52">
        <v>0.3</v>
      </c>
      <c r="BO36" s="52">
        <v>0</v>
      </c>
      <c r="BP36" s="52">
        <v>0.6</v>
      </c>
      <c r="BQ36" s="52">
        <v>20</v>
      </c>
      <c r="BR36" s="52">
        <v>13.4</v>
      </c>
      <c r="BS36" s="52">
        <v>1.7</v>
      </c>
      <c r="BT36" s="53">
        <f t="shared" si="4"/>
        <v>0.61967746003278634</v>
      </c>
      <c r="BU36" s="280">
        <f t="shared" si="5"/>
        <v>404.09140786535454</v>
      </c>
      <c r="BV36" s="54">
        <f t="shared" si="6"/>
        <v>350</v>
      </c>
      <c r="BW36" s="71">
        <f t="shared" ref="BW36:BW67" si="22">100*P36/(P36+T36+U36+V36)</f>
        <v>82.570162481536201</v>
      </c>
      <c r="BX36" s="69">
        <f t="shared" si="11"/>
        <v>2.8957746187002651</v>
      </c>
      <c r="BY36" s="53">
        <v>9.6</v>
      </c>
      <c r="BZ36" s="53">
        <v>0.81</v>
      </c>
      <c r="CA36" s="53">
        <v>37.979999999999997</v>
      </c>
      <c r="CB36" s="53">
        <v>14.959200000000003</v>
      </c>
      <c r="CC36" s="53">
        <v>1.3008000000000002</v>
      </c>
      <c r="CD36" s="53">
        <v>0</v>
      </c>
      <c r="CE36" s="53">
        <v>0</v>
      </c>
      <c r="CF36" s="53">
        <v>0</v>
      </c>
      <c r="CG36" s="53">
        <v>0</v>
      </c>
      <c r="CH36" s="53">
        <v>0.21</v>
      </c>
      <c r="CI36" s="53">
        <v>0.08</v>
      </c>
      <c r="CJ36" s="53">
        <v>0</v>
      </c>
      <c r="CK36" s="53">
        <v>22.6</v>
      </c>
      <c r="CL36" s="53">
        <v>0</v>
      </c>
      <c r="CM36" s="53">
        <v>0.01</v>
      </c>
      <c r="CN36" s="53">
        <v>0</v>
      </c>
      <c r="CO36" s="53">
        <v>7.38</v>
      </c>
      <c r="CP36" s="53">
        <v>5.07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280">
        <v>100</v>
      </c>
      <c r="CZ36" s="284">
        <v>0.42393124232615242</v>
      </c>
      <c r="DA36" s="284">
        <v>0.16697399263310639</v>
      </c>
      <c r="DB36" s="284">
        <v>1.4519477620270121E-2</v>
      </c>
      <c r="DC36" s="284">
        <v>0</v>
      </c>
      <c r="DD36" s="284">
        <v>0</v>
      </c>
      <c r="DE36" s="284">
        <v>0</v>
      </c>
      <c r="DF36" s="284">
        <v>0</v>
      </c>
      <c r="DG36" s="284">
        <v>2.3440116084384416E-3</v>
      </c>
      <c r="DH36" s="284">
        <v>8.9295680321464452E-4</v>
      </c>
      <c r="DI36" s="284">
        <v>0</v>
      </c>
      <c r="DJ36" s="284">
        <v>0.25226029690813706</v>
      </c>
      <c r="DK36" s="284">
        <v>0</v>
      </c>
      <c r="DL36" s="284">
        <v>1.1161960040183056E-4</v>
      </c>
      <c r="DM36" s="284">
        <v>0</v>
      </c>
      <c r="DN36" s="284">
        <v>8.2375265096550951E-2</v>
      </c>
      <c r="DO36" s="284">
        <v>5.6591137403728092E-2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v>0</v>
      </c>
      <c r="DV36" s="284">
        <v>0</v>
      </c>
      <c r="DW36" s="284">
        <v>0</v>
      </c>
      <c r="DX36" s="53">
        <v>1</v>
      </c>
      <c r="DY36" s="71">
        <v>72.216479824073673</v>
      </c>
      <c r="DZ36" s="71">
        <v>16.601926385299613</v>
      </c>
      <c r="EA36" s="71">
        <v>0.58445500551207386</v>
      </c>
      <c r="EB36" s="71">
        <v>1.5357687572292125</v>
      </c>
      <c r="EC36" s="71">
        <v>0</v>
      </c>
      <c r="ED36" s="71">
        <v>0.59750995569382814</v>
      </c>
      <c r="EE36" s="71">
        <v>1.1451188896501341E-2</v>
      </c>
      <c r="EF36" s="71">
        <v>0.17165475582808951</v>
      </c>
      <c r="EG36" s="71">
        <v>3.931509559894903</v>
      </c>
      <c r="EH36" s="71">
        <v>0.17787040857528211</v>
      </c>
      <c r="EI36" s="71">
        <v>0</v>
      </c>
      <c r="EJ36" s="71">
        <v>4.1713741589968247</v>
      </c>
      <c r="EK36" s="71">
        <v>0</v>
      </c>
      <c r="EL36" s="71">
        <v>100.00000000000003</v>
      </c>
      <c r="EM36" s="53">
        <v>80.138502234189417</v>
      </c>
      <c r="EN36" s="53" t="s">
        <v>95</v>
      </c>
      <c r="EO36" s="288">
        <v>2.2584429508919156E-2</v>
      </c>
      <c r="EP36" s="257">
        <f t="shared" si="12"/>
        <v>2.2584429508919155</v>
      </c>
      <c r="EQ36" s="257">
        <f t="shared" si="13"/>
        <v>44.360465116279066</v>
      </c>
      <c r="ER36" s="324">
        <f t="shared" si="14"/>
        <v>0.62354828298787568</v>
      </c>
      <c r="ES36" s="257">
        <f t="shared" si="15"/>
        <v>2.0650096495050732</v>
      </c>
      <c r="ET36">
        <f t="shared" si="8"/>
        <v>350</v>
      </c>
      <c r="EU36" s="324">
        <f t="shared" si="16"/>
        <v>0.30195901657763358</v>
      </c>
      <c r="EV36" s="39">
        <f t="shared" si="17"/>
        <v>145.6</v>
      </c>
      <c r="EW36"/>
      <c r="EX36">
        <f t="shared" si="18"/>
        <v>1.0692307692307692</v>
      </c>
      <c r="EY36"/>
      <c r="EZ36"/>
      <c r="FA36"/>
      <c r="FB36"/>
      <c r="FC36"/>
      <c r="FD36"/>
    </row>
    <row r="37" spans="1:160" s="54" customFormat="1" ht="13" customHeight="1" x14ac:dyDescent="0.2">
      <c r="A37" s="49" t="s">
        <v>96</v>
      </c>
      <c r="B37" s="50" t="s">
        <v>461</v>
      </c>
      <c r="C37" s="275">
        <f t="shared" si="21"/>
        <v>144.6</v>
      </c>
      <c r="D37" s="51">
        <v>400</v>
      </c>
      <c r="E37" s="51">
        <v>500</v>
      </c>
      <c r="F37" s="51">
        <f t="shared" si="3"/>
        <v>450</v>
      </c>
      <c r="G37" s="83" t="s">
        <v>513</v>
      </c>
      <c r="H37" s="84">
        <v>7.5</v>
      </c>
      <c r="I37" s="85">
        <v>4</v>
      </c>
      <c r="J37" s="85">
        <v>6</v>
      </c>
      <c r="K37" s="89">
        <f t="shared" si="20"/>
        <v>5</v>
      </c>
      <c r="L37" s="51">
        <v>132</v>
      </c>
      <c r="M37" s="51">
        <v>86</v>
      </c>
      <c r="N37" s="51">
        <v>40</v>
      </c>
      <c r="O37" s="52">
        <v>65.290000000000006</v>
      </c>
      <c r="P37" s="52">
        <v>17.05</v>
      </c>
      <c r="Q37" s="52">
        <v>5.58</v>
      </c>
      <c r="R37" s="52">
        <v>0.111</v>
      </c>
      <c r="S37" s="52">
        <v>1.05</v>
      </c>
      <c r="T37" s="52">
        <v>0.12</v>
      </c>
      <c r="U37" s="52">
        <v>0.1</v>
      </c>
      <c r="V37" s="52">
        <v>2.57</v>
      </c>
      <c r="W37" s="52">
        <v>0.46600000000000003</v>
      </c>
      <c r="X37" s="52">
        <v>0</v>
      </c>
      <c r="Y37" s="52">
        <v>6.81</v>
      </c>
      <c r="Z37" s="52">
        <v>99.14</v>
      </c>
      <c r="AA37" s="52">
        <v>18</v>
      </c>
      <c r="AB37" s="52">
        <v>2</v>
      </c>
      <c r="AC37" s="52">
        <v>91</v>
      </c>
      <c r="AD37" s="52">
        <v>0</v>
      </c>
      <c r="AE37" s="52">
        <v>15</v>
      </c>
      <c r="AF37" s="52">
        <v>0</v>
      </c>
      <c r="AG37" s="52">
        <v>40</v>
      </c>
      <c r="AH37" s="52">
        <v>70</v>
      </c>
      <c r="AI37" s="52">
        <v>20</v>
      </c>
      <c r="AJ37" s="52">
        <v>2</v>
      </c>
      <c r="AK37" s="52">
        <v>0</v>
      </c>
      <c r="AL37" s="52">
        <v>116</v>
      </c>
      <c r="AM37" s="52">
        <v>37</v>
      </c>
      <c r="AN37" s="68">
        <f>'O.G.Chem Results'!AN37/'O.G.Chem Results'!$AN$142</f>
        <v>5.1282051282051277</v>
      </c>
      <c r="AO37" s="52">
        <v>145</v>
      </c>
      <c r="AP37" s="52">
        <v>6</v>
      </c>
      <c r="AQ37" s="52" t="s">
        <v>72</v>
      </c>
      <c r="AR37" s="52" t="s">
        <v>74</v>
      </c>
      <c r="AS37" s="52" t="s">
        <v>73</v>
      </c>
      <c r="AT37" s="52">
        <v>3</v>
      </c>
      <c r="AU37" s="52" t="s">
        <v>74</v>
      </c>
      <c r="AV37" s="52">
        <v>1.8</v>
      </c>
      <c r="AW37" s="52">
        <v>511</v>
      </c>
      <c r="AX37" s="52" t="s">
        <v>75</v>
      </c>
      <c r="AY37" s="68">
        <f>'O.G.Chem Results'!AY37/'O.G.Chem Results'!AY$142</f>
        <v>100.42553191489363</v>
      </c>
      <c r="AZ37" s="68">
        <f>'O.G.Chem Results'!AZ37/'O.G.Chem Results'!AZ$142</f>
        <v>102.28779840848806</v>
      </c>
      <c r="BA37" s="68">
        <f>'O.G.Chem Results'!BA37/'O.G.Chem Results'!BA$142</f>
        <v>56.565656565656568</v>
      </c>
      <c r="BB37" s="68">
        <f>'O.G.Chem Results'!BB37/'O.G.Chem Results'!BB$142</f>
        <v>39.124668435013263</v>
      </c>
      <c r="BC37" s="68">
        <f>'O.G.Chem Results'!BC37/'O.G.Chem Results'!BC$142</f>
        <v>18.354860639021076</v>
      </c>
      <c r="BD37" s="68">
        <f>'O.G.Chem Results'!BD37/'O.G.Chem Results'!BD$142</f>
        <v>8.9285714285714288</v>
      </c>
      <c r="BE37" s="68">
        <f>'O.G.Chem Results'!BE37/'O.G.Chem Results'!BE$142</f>
        <v>10.227272727272728</v>
      </c>
      <c r="BF37" s="68">
        <f>'O.G.Chem Results'!BF37/'O.G.Chem Results'!BF$142</f>
        <v>5.5096418732782375</v>
      </c>
      <c r="BG37" s="68">
        <f>'O.G.Chem Results'!BG37/'O.G.Chem Results'!BG$142</f>
        <v>5.7684384013184999</v>
      </c>
      <c r="BH37" s="68">
        <f>'O.G.Chem Results'!BH37/'O.G.Chem Results'!BH$142</f>
        <v>5.3956834532374094</v>
      </c>
      <c r="BI37" s="68">
        <f>'O.G.Chem Results'!BI37/'O.G.Chem Results'!BI$142</f>
        <v>5.6639395846444298</v>
      </c>
      <c r="BJ37" s="68">
        <f>'O.G.Chem Results'!BJ37/'O.G.Chem Results'!BJ$142</f>
        <v>6.1983471074380168</v>
      </c>
      <c r="BK37" s="68">
        <f>'O.G.Chem Results'!BK37/'O.G.Chem Results'!BK$142</f>
        <v>6.7692307692307692</v>
      </c>
      <c r="BL37" s="68">
        <f>'O.G.Chem Results'!BL37/'O.G.Chem Results'!BL$142</f>
        <v>7.8189300411522629</v>
      </c>
      <c r="BM37" s="52">
        <v>3.6</v>
      </c>
      <c r="BN37" s="52">
        <v>0.3</v>
      </c>
      <c r="BO37" s="52">
        <v>0</v>
      </c>
      <c r="BP37" s="52">
        <v>0.5</v>
      </c>
      <c r="BQ37" s="52">
        <v>17</v>
      </c>
      <c r="BR37" s="52">
        <v>8.4</v>
      </c>
      <c r="BS37" s="52">
        <v>1.3</v>
      </c>
      <c r="BT37" s="53">
        <f t="shared" si="4"/>
        <v>0.50459334985672533</v>
      </c>
      <c r="BU37" s="280">
        <f t="shared" si="5"/>
        <v>379.0385713492164</v>
      </c>
      <c r="BV37" s="54">
        <f t="shared" si="6"/>
        <v>450</v>
      </c>
      <c r="BW37" s="71">
        <f t="shared" si="22"/>
        <v>85.937499999999986</v>
      </c>
      <c r="BX37" s="69">
        <f t="shared" si="11"/>
        <v>1.808302150435771</v>
      </c>
      <c r="BY37" s="53">
        <v>9.99</v>
      </c>
      <c r="BZ37" s="53">
        <v>1.48</v>
      </c>
      <c r="CA37" s="53">
        <v>38.92</v>
      </c>
      <c r="CB37" s="53">
        <v>8.4456000000000007</v>
      </c>
      <c r="CC37" s="53">
        <v>0.73439999999999994</v>
      </c>
      <c r="CD37" s="53">
        <v>0</v>
      </c>
      <c r="CE37" s="53">
        <v>0</v>
      </c>
      <c r="CF37" s="53">
        <v>0</v>
      </c>
      <c r="CG37" s="53">
        <v>0</v>
      </c>
      <c r="CH37" s="53">
        <v>0.25</v>
      </c>
      <c r="CI37" s="53">
        <v>0.11</v>
      </c>
      <c r="CJ37" s="53">
        <v>0</v>
      </c>
      <c r="CK37" s="53">
        <v>27.24</v>
      </c>
      <c r="CL37" s="53">
        <v>0</v>
      </c>
      <c r="CM37" s="53">
        <v>0.01</v>
      </c>
      <c r="CN37" s="53">
        <v>0</v>
      </c>
      <c r="CO37" s="53">
        <v>8.11</v>
      </c>
      <c r="CP37" s="53">
        <v>4.71</v>
      </c>
      <c r="CQ37" s="53">
        <v>0</v>
      </c>
      <c r="CR37" s="53">
        <v>0</v>
      </c>
      <c r="CS37" s="53">
        <v>0</v>
      </c>
      <c r="CT37" s="53">
        <v>0</v>
      </c>
      <c r="CU37" s="53">
        <v>0</v>
      </c>
      <c r="CV37" s="53">
        <v>0</v>
      </c>
      <c r="CW37" s="53">
        <v>0</v>
      </c>
      <c r="CX37" s="53">
        <v>0</v>
      </c>
      <c r="CY37" s="280">
        <v>100</v>
      </c>
      <c r="CZ37" s="284">
        <v>0.43962498588049248</v>
      </c>
      <c r="DA37" s="284">
        <v>9.5398170111826511E-2</v>
      </c>
      <c r="DB37" s="284">
        <v>8.2954930532023029E-3</v>
      </c>
      <c r="DC37" s="284">
        <v>0</v>
      </c>
      <c r="DD37" s="284">
        <v>0</v>
      </c>
      <c r="DE37" s="284">
        <v>0</v>
      </c>
      <c r="DF37" s="284">
        <v>0</v>
      </c>
      <c r="DG37" s="284">
        <v>2.823901502315599E-3</v>
      </c>
      <c r="DH37" s="284">
        <v>1.2425166610188637E-3</v>
      </c>
      <c r="DI37" s="284">
        <v>0</v>
      </c>
      <c r="DJ37" s="284">
        <v>0.30769230769230765</v>
      </c>
      <c r="DK37" s="284">
        <v>0</v>
      </c>
      <c r="DL37" s="284">
        <v>1.1295606009262397E-4</v>
      </c>
      <c r="DM37" s="284">
        <v>0</v>
      </c>
      <c r="DN37" s="284">
        <v>9.1607364735118033E-2</v>
      </c>
      <c r="DO37" s="284">
        <v>5.3202304303625887E-2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v>0</v>
      </c>
      <c r="DV37" s="284">
        <v>0</v>
      </c>
      <c r="DW37" s="284">
        <v>0</v>
      </c>
      <c r="DX37" s="53">
        <v>0.99999999999999989</v>
      </c>
      <c r="DY37" s="71">
        <v>71.494692982597201</v>
      </c>
      <c r="DZ37" s="71">
        <v>17.468178075300024</v>
      </c>
      <c r="EA37" s="71">
        <v>0.70985168801096232</v>
      </c>
      <c r="EB37" s="71">
        <v>1.6642137211400048</v>
      </c>
      <c r="EC37" s="71">
        <v>0</v>
      </c>
      <c r="ED37" s="71">
        <v>0.64027987152847854</v>
      </c>
      <c r="EE37" s="71">
        <v>1.2724334506307739E-2</v>
      </c>
      <c r="EF37" s="71">
        <v>9.8072456307457881E-2</v>
      </c>
      <c r="EG37" s="71">
        <v>2.7309519759143268</v>
      </c>
      <c r="EH37" s="71">
        <v>0.19780500098958193</v>
      </c>
      <c r="EI37" s="71">
        <v>0</v>
      </c>
      <c r="EJ37" s="71">
        <v>4.9832298937056558</v>
      </c>
      <c r="EK37" s="71">
        <v>0</v>
      </c>
      <c r="EL37" s="71">
        <v>100.00000000000003</v>
      </c>
      <c r="EM37" s="53">
        <v>86.008079749221181</v>
      </c>
      <c r="EN37" s="53" t="s">
        <v>96</v>
      </c>
      <c r="EO37" s="288">
        <v>2.5238446440535679E-2</v>
      </c>
      <c r="EP37" s="257">
        <f t="shared" si="12"/>
        <v>2.5238446440535678</v>
      </c>
      <c r="EQ37" s="257">
        <f t="shared" si="13"/>
        <v>55.645161290322577</v>
      </c>
      <c r="ER37" s="324">
        <f t="shared" si="14"/>
        <v>0.62476592031444866</v>
      </c>
      <c r="ES37" s="257">
        <f t="shared" si="15"/>
        <v>1.2787267792847348</v>
      </c>
      <c r="ET37">
        <f t="shared" si="8"/>
        <v>450</v>
      </c>
      <c r="EU37" s="324">
        <f t="shared" si="16"/>
        <v>0.48858437192025966</v>
      </c>
      <c r="EV37" s="39">
        <f t="shared" si="17"/>
        <v>144.6</v>
      </c>
      <c r="EW37"/>
      <c r="EX37">
        <f t="shared" si="18"/>
        <v>0.95042735042735049</v>
      </c>
      <c r="EY37"/>
      <c r="EZ37"/>
      <c r="FA37"/>
      <c r="FB37"/>
      <c r="FC37"/>
      <c r="FD37"/>
    </row>
    <row r="38" spans="1:160" s="54" customFormat="1" ht="13" customHeight="1" x14ac:dyDescent="0.2">
      <c r="A38" s="49" t="s">
        <v>97</v>
      </c>
      <c r="B38" s="50" t="s">
        <v>461</v>
      </c>
      <c r="C38" s="275">
        <f t="shared" si="21"/>
        <v>143.6</v>
      </c>
      <c r="D38" s="51">
        <v>500</v>
      </c>
      <c r="E38" s="51">
        <v>600</v>
      </c>
      <c r="F38" s="51">
        <f t="shared" si="3"/>
        <v>550</v>
      </c>
      <c r="G38" s="83" t="s">
        <v>524</v>
      </c>
      <c r="H38" s="84">
        <v>7.5</v>
      </c>
      <c r="I38" s="85">
        <v>5</v>
      </c>
      <c r="J38" s="85">
        <v>4</v>
      </c>
      <c r="K38" s="89">
        <f t="shared" si="20"/>
        <v>9.375</v>
      </c>
      <c r="L38" s="51">
        <v>150</v>
      </c>
      <c r="M38" s="51">
        <v>115</v>
      </c>
      <c r="N38" s="51">
        <v>84</v>
      </c>
      <c r="O38" s="52">
        <v>67.42</v>
      </c>
      <c r="P38" s="52">
        <v>15.94</v>
      </c>
      <c r="Q38" s="52">
        <v>4.54</v>
      </c>
      <c r="R38" s="52">
        <v>8.2000000000000003E-2</v>
      </c>
      <c r="S38" s="52">
        <v>0.88</v>
      </c>
      <c r="T38" s="52">
        <v>0.17</v>
      </c>
      <c r="U38" s="52">
        <v>0.25</v>
      </c>
      <c r="V38" s="52">
        <v>4.18</v>
      </c>
      <c r="W38" s="52">
        <v>0.40100000000000002</v>
      </c>
      <c r="X38" s="52">
        <v>0</v>
      </c>
      <c r="Y38" s="52">
        <v>5.3</v>
      </c>
      <c r="Z38" s="52">
        <v>99.16</v>
      </c>
      <c r="AA38" s="52">
        <v>13</v>
      </c>
      <c r="AB38" s="52">
        <v>2</v>
      </c>
      <c r="AC38" s="52">
        <v>69</v>
      </c>
      <c r="AD38" s="52">
        <v>0</v>
      </c>
      <c r="AE38" s="52">
        <v>10</v>
      </c>
      <c r="AF38" s="52">
        <v>0</v>
      </c>
      <c r="AG38" s="52">
        <v>30</v>
      </c>
      <c r="AH38" s="52">
        <v>70</v>
      </c>
      <c r="AI38" s="52">
        <v>20</v>
      </c>
      <c r="AJ38" s="52">
        <v>2</v>
      </c>
      <c r="AK38" s="52">
        <v>0</v>
      </c>
      <c r="AL38" s="52">
        <v>148</v>
      </c>
      <c r="AM38" s="52">
        <v>86</v>
      </c>
      <c r="AN38" s="68">
        <f>'O.G.Chem Results'!AN38/'O.G.Chem Results'!$AN$142</f>
        <v>7.0512820512820511</v>
      </c>
      <c r="AO38" s="52">
        <v>197</v>
      </c>
      <c r="AP38" s="52">
        <v>5</v>
      </c>
      <c r="AQ38" s="52" t="s">
        <v>72</v>
      </c>
      <c r="AR38" s="52" t="s">
        <v>74</v>
      </c>
      <c r="AS38" s="52" t="s">
        <v>73</v>
      </c>
      <c r="AT38" s="52">
        <v>3</v>
      </c>
      <c r="AU38" s="52" t="s">
        <v>74</v>
      </c>
      <c r="AV38" s="52">
        <v>1.7</v>
      </c>
      <c r="AW38" s="52">
        <v>597</v>
      </c>
      <c r="AX38" s="52" t="s">
        <v>75</v>
      </c>
      <c r="AY38" s="68">
        <f>'O.G.Chem Results'!AY38/'O.G.Chem Results'!AY$142</f>
        <v>238.29787234042556</v>
      </c>
      <c r="AZ38" s="68">
        <f>'O.G.Chem Results'!AZ38/'O.G.Chem Results'!AZ$142</f>
        <v>273.54111405835539</v>
      </c>
      <c r="BA38" s="68">
        <f>'O.G.Chem Results'!BA38/'O.G.Chem Results'!BA$142</f>
        <v>133.55780022446689</v>
      </c>
      <c r="BB38" s="68">
        <f>'O.G.Chem Results'!BB38/'O.G.Chem Results'!BB$142</f>
        <v>84.659593280282934</v>
      </c>
      <c r="BC38" s="68">
        <f>'O.G.Chem Results'!BC38/'O.G.Chem Results'!BC$142</f>
        <v>36.029911624745075</v>
      </c>
      <c r="BD38" s="68">
        <f>'O.G.Chem Results'!BD38/'O.G.Chem Results'!BD$142</f>
        <v>16.428571428571431</v>
      </c>
      <c r="BE38" s="68">
        <f>'O.G.Chem Results'!BE38/'O.G.Chem Results'!BE$142</f>
        <v>17.045454545454547</v>
      </c>
      <c r="BF38" s="68">
        <f>'O.G.Chem Results'!BF38/'O.G.Chem Results'!BF$142</f>
        <v>11.019283746556475</v>
      </c>
      <c r="BG38" s="68">
        <f>'O.G.Chem Results'!BG38/'O.G.Chem Results'!BG$142</f>
        <v>8.2406262875978573</v>
      </c>
      <c r="BH38" s="68">
        <f>'O.G.Chem Results'!BH38/'O.G.Chem Results'!BH$142</f>
        <v>7.1942446043165464</v>
      </c>
      <c r="BI38" s="68">
        <f>'O.G.Chem Results'!BI38/'O.G.Chem Results'!BI$142</f>
        <v>7.5519194461925734</v>
      </c>
      <c r="BJ38" s="68">
        <f>'O.G.Chem Results'!BJ38/'O.G.Chem Results'!BJ$142</f>
        <v>7.0247933884297531</v>
      </c>
      <c r="BK38" s="68">
        <f>'O.G.Chem Results'!BK38/'O.G.Chem Results'!BK$142</f>
        <v>7.3846153846153841</v>
      </c>
      <c r="BL38" s="68">
        <f>'O.G.Chem Results'!BL38/'O.G.Chem Results'!BL$142</f>
        <v>8.6419753086419746</v>
      </c>
      <c r="BM38" s="52">
        <v>5</v>
      </c>
      <c r="BN38" s="52">
        <v>0.3</v>
      </c>
      <c r="BO38" s="52">
        <v>2</v>
      </c>
      <c r="BP38" s="52">
        <v>0.5</v>
      </c>
      <c r="BQ38" s="52">
        <v>23</v>
      </c>
      <c r="BR38" s="52">
        <v>22.3</v>
      </c>
      <c r="BS38" s="52">
        <v>1.3</v>
      </c>
      <c r="BT38" s="53">
        <f t="shared" si="4"/>
        <v>0.53442805516427716</v>
      </c>
      <c r="BU38" s="280">
        <f t="shared" si="5"/>
        <v>856.61777566865226</v>
      </c>
      <c r="BV38" s="54">
        <f t="shared" si="6"/>
        <v>550</v>
      </c>
      <c r="BW38" s="71">
        <f t="shared" si="22"/>
        <v>77.604673807205458</v>
      </c>
      <c r="BX38" s="69">
        <f t="shared" si="11"/>
        <v>2.0481103582016358</v>
      </c>
      <c r="BY38" s="53">
        <v>10.16</v>
      </c>
      <c r="BZ38" s="53">
        <v>0.89</v>
      </c>
      <c r="CA38" s="53">
        <v>37.92</v>
      </c>
      <c r="CB38" s="53">
        <v>9.0619999999999994</v>
      </c>
      <c r="CC38" s="53">
        <v>0.78800000000000003</v>
      </c>
      <c r="CD38" s="53">
        <v>0</v>
      </c>
      <c r="CE38" s="53">
        <v>0</v>
      </c>
      <c r="CF38" s="53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23.41</v>
      </c>
      <c r="CL38" s="53">
        <v>0</v>
      </c>
      <c r="CM38" s="53">
        <v>0</v>
      </c>
      <c r="CN38" s="53">
        <v>0</v>
      </c>
      <c r="CO38" s="53">
        <v>13.06</v>
      </c>
      <c r="CP38" s="53">
        <v>4.71</v>
      </c>
      <c r="CQ38" s="53">
        <v>0</v>
      </c>
      <c r="CR38" s="53">
        <v>0</v>
      </c>
      <c r="CS38" s="53">
        <v>0</v>
      </c>
      <c r="CT38" s="53">
        <v>0</v>
      </c>
      <c r="CU38" s="53">
        <v>0</v>
      </c>
      <c r="CV38" s="53">
        <v>0</v>
      </c>
      <c r="CW38" s="53">
        <v>0</v>
      </c>
      <c r="CX38" s="53">
        <v>0</v>
      </c>
      <c r="CY38" s="280">
        <v>99.999999999999986</v>
      </c>
      <c r="CZ38" s="284">
        <v>0.4263069139966274</v>
      </c>
      <c r="DA38" s="284">
        <v>0.10187745924676786</v>
      </c>
      <c r="DB38" s="284">
        <v>8.8589094997189449E-3</v>
      </c>
      <c r="DC38" s="284">
        <v>0</v>
      </c>
      <c r="DD38" s="284">
        <v>0</v>
      </c>
      <c r="DE38" s="284">
        <v>0</v>
      </c>
      <c r="DF38" s="284">
        <v>0</v>
      </c>
      <c r="DG38" s="284">
        <v>0</v>
      </c>
      <c r="DH38" s="284">
        <v>0</v>
      </c>
      <c r="DI38" s="284">
        <v>0</v>
      </c>
      <c r="DJ38" s="284">
        <v>0.26318156267566051</v>
      </c>
      <c r="DK38" s="284">
        <v>0</v>
      </c>
      <c r="DL38" s="284">
        <v>0</v>
      </c>
      <c r="DM38" s="284">
        <v>0</v>
      </c>
      <c r="DN38" s="284">
        <v>0.14682405845980889</v>
      </c>
      <c r="DO38" s="284">
        <v>5.2951096121416533E-2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v>0</v>
      </c>
      <c r="DV38" s="284">
        <v>0</v>
      </c>
      <c r="DW38" s="284">
        <v>0</v>
      </c>
      <c r="DX38" s="53">
        <v>1.0000000000000002</v>
      </c>
      <c r="DY38" s="71">
        <v>70.824705584805642</v>
      </c>
      <c r="DZ38" s="71">
        <v>17.187980320193954</v>
      </c>
      <c r="EA38" s="71">
        <v>0.40486335278306851</v>
      </c>
      <c r="EB38" s="71">
        <v>2.5222747582661151</v>
      </c>
      <c r="EC38" s="71">
        <v>0</v>
      </c>
      <c r="ED38" s="71">
        <v>0.94561754026464884</v>
      </c>
      <c r="EE38" s="71">
        <v>2.0228196033059219E-2</v>
      </c>
      <c r="EF38" s="71">
        <v>0.10473337862750927</v>
      </c>
      <c r="EG38" s="71">
        <v>3.1374878190211217</v>
      </c>
      <c r="EH38" s="71">
        <v>0.31703273107913527</v>
      </c>
      <c r="EI38" s="71">
        <v>0</v>
      </c>
      <c r="EJ38" s="71">
        <v>4.5350763189257597</v>
      </c>
      <c r="EK38" s="71">
        <v>0</v>
      </c>
      <c r="EL38" s="71">
        <v>100.00000000000003</v>
      </c>
      <c r="EM38" s="53">
        <v>84.047037449447259</v>
      </c>
      <c r="EN38" s="53" t="s">
        <v>97</v>
      </c>
      <c r="EO38" s="288">
        <v>3.1541428392931344E-2</v>
      </c>
      <c r="EP38" s="257">
        <f t="shared" si="12"/>
        <v>3.1541428392931343</v>
      </c>
      <c r="EQ38" s="257">
        <f t="shared" si="13"/>
        <v>45.874975504605132</v>
      </c>
      <c r="ER38" s="324">
        <f t="shared" si="14"/>
        <v>0.61906577811970431</v>
      </c>
      <c r="ES38" s="257">
        <f t="shared" si="15"/>
        <v>1.462121224817452</v>
      </c>
      <c r="ET38">
        <f t="shared" si="8"/>
        <v>550</v>
      </c>
      <c r="EU38" s="324">
        <f t="shared" si="16"/>
        <v>0.42340249742082475</v>
      </c>
      <c r="EV38" s="39">
        <f t="shared" si="17"/>
        <v>143.6</v>
      </c>
      <c r="EW38"/>
      <c r="EX38">
        <f t="shared" si="18"/>
        <v>0.9801282051282052</v>
      </c>
      <c r="EY38"/>
      <c r="EZ38"/>
      <c r="FA38"/>
      <c r="FB38"/>
      <c r="FC38"/>
      <c r="FD38"/>
    </row>
    <row r="39" spans="1:160" s="54" customFormat="1" ht="13" customHeight="1" x14ac:dyDescent="0.2">
      <c r="A39" s="49" t="s">
        <v>98</v>
      </c>
      <c r="B39" s="50" t="s">
        <v>461</v>
      </c>
      <c r="C39" s="275">
        <f>149.1-F39/100</f>
        <v>142.6</v>
      </c>
      <c r="D39" s="51">
        <v>600</v>
      </c>
      <c r="E39" s="51">
        <v>700</v>
      </c>
      <c r="F39" s="51">
        <f t="shared" ref="F39:F70" si="23">AVERAGE(D39:E39)</f>
        <v>650</v>
      </c>
      <c r="G39" s="83" t="s">
        <v>516</v>
      </c>
      <c r="H39" s="84">
        <v>10</v>
      </c>
      <c r="I39" s="85">
        <v>5</v>
      </c>
      <c r="J39" s="85">
        <v>4</v>
      </c>
      <c r="K39" s="89">
        <f t="shared" si="20"/>
        <v>12.5</v>
      </c>
      <c r="L39" s="51">
        <v>146</v>
      </c>
      <c r="M39" s="51">
        <v>116</v>
      </c>
      <c r="N39" s="51">
        <v>79</v>
      </c>
      <c r="O39" s="52">
        <v>70.25</v>
      </c>
      <c r="P39" s="52">
        <v>15.82</v>
      </c>
      <c r="Q39" s="52">
        <v>3.29</v>
      </c>
      <c r="R39" s="52">
        <v>5.8000000000000003E-2</v>
      </c>
      <c r="S39" s="52">
        <v>0.59</v>
      </c>
      <c r="T39" s="52">
        <v>0.19</v>
      </c>
      <c r="U39" s="52">
        <v>0.44</v>
      </c>
      <c r="V39" s="52">
        <v>5.61</v>
      </c>
      <c r="W39" s="52">
        <v>0.29499999999999998</v>
      </c>
      <c r="X39" s="52">
        <v>0.01</v>
      </c>
      <c r="Y39" s="52">
        <v>3.87</v>
      </c>
      <c r="Z39" s="52">
        <v>100.4</v>
      </c>
      <c r="AA39" s="52">
        <v>7</v>
      </c>
      <c r="AB39" s="52">
        <v>2</v>
      </c>
      <c r="AC39" s="52">
        <v>45</v>
      </c>
      <c r="AD39" s="52">
        <v>0</v>
      </c>
      <c r="AE39" s="52">
        <v>6</v>
      </c>
      <c r="AF39" s="52">
        <v>0</v>
      </c>
      <c r="AG39" s="52">
        <v>30</v>
      </c>
      <c r="AH39" s="52">
        <v>50</v>
      </c>
      <c r="AI39" s="52">
        <v>18</v>
      </c>
      <c r="AJ39" s="52">
        <v>1</v>
      </c>
      <c r="AK39" s="52">
        <v>0</v>
      </c>
      <c r="AL39" s="52">
        <v>154</v>
      </c>
      <c r="AM39" s="52">
        <v>127</v>
      </c>
      <c r="AN39" s="68">
        <f>'O.G.Chem Results'!AN39/'O.G.Chem Results'!$AN$142</f>
        <v>5.1282051282051277</v>
      </c>
      <c r="AO39" s="52">
        <v>178</v>
      </c>
      <c r="AP39" s="52">
        <v>4</v>
      </c>
      <c r="AQ39" s="52" t="s">
        <v>72</v>
      </c>
      <c r="AR39" s="52" t="s">
        <v>74</v>
      </c>
      <c r="AS39" s="52" t="s">
        <v>73</v>
      </c>
      <c r="AT39" s="52">
        <v>1</v>
      </c>
      <c r="AU39" s="52" t="s">
        <v>74</v>
      </c>
      <c r="AV39" s="52">
        <v>1.7</v>
      </c>
      <c r="AW39" s="52">
        <v>739</v>
      </c>
      <c r="AX39" s="52" t="s">
        <v>75</v>
      </c>
      <c r="AY39" s="68">
        <f>'O.G.Chem Results'!AY39/'O.G.Chem Results'!AY$142</f>
        <v>230.63829787234044</v>
      </c>
      <c r="AZ39" s="68">
        <f>'O.G.Chem Results'!AZ39/'O.G.Chem Results'!AZ$142</f>
        <v>245.35809018567636</v>
      </c>
      <c r="BA39" s="68">
        <f>'O.G.Chem Results'!BA39/'O.G.Chem Results'!BA$142</f>
        <v>125.70145903479236</v>
      </c>
      <c r="BB39" s="68">
        <f>'O.G.Chem Results'!BB39/'O.G.Chem Results'!BB$142</f>
        <v>77.365163572060126</v>
      </c>
      <c r="BC39" s="68">
        <f>'O.G.Chem Results'!BC39/'O.G.Chem Results'!BC$142</f>
        <v>31.271244051665537</v>
      </c>
      <c r="BD39" s="68">
        <f>'O.G.Chem Results'!BD39/'O.G.Chem Results'!BD$142</f>
        <v>15.178571428571427</v>
      </c>
      <c r="BE39" s="68">
        <f>'O.G.Chem Results'!BE39/'O.G.Chem Results'!BE$142</f>
        <v>13.636363636363637</v>
      </c>
      <c r="BF39" s="68">
        <f>'O.G.Chem Results'!BF39/'O.G.Chem Results'!BF$142</f>
        <v>8.2644628099173545</v>
      </c>
      <c r="BG39" s="68">
        <f>'O.G.Chem Results'!BG39/'O.G.Chem Results'!BG$142</f>
        <v>7.0045323444581786</v>
      </c>
      <c r="BH39" s="68">
        <f>'O.G.Chem Results'!BH39/'O.G.Chem Results'!BH$142</f>
        <v>5.3956834532374094</v>
      </c>
      <c r="BI39" s="68">
        <f>'O.G.Chem Results'!BI39/'O.G.Chem Results'!BI$142</f>
        <v>6.293266205160478</v>
      </c>
      <c r="BJ39" s="68">
        <f>'O.G.Chem Results'!BJ39/'O.G.Chem Results'!BJ$142</f>
        <v>6.6115702479338845</v>
      </c>
      <c r="BK39" s="68">
        <f>'O.G.Chem Results'!BK39/'O.G.Chem Results'!BK$142</f>
        <v>6.1538461538461533</v>
      </c>
      <c r="BL39" s="68">
        <f>'O.G.Chem Results'!BL39/'O.G.Chem Results'!BL$142</f>
        <v>7.4074074074074066</v>
      </c>
      <c r="BM39" s="52">
        <v>4.4000000000000004</v>
      </c>
      <c r="BN39" s="52">
        <v>0.3</v>
      </c>
      <c r="BO39" s="52">
        <v>0</v>
      </c>
      <c r="BP39" s="52">
        <v>0.6</v>
      </c>
      <c r="BQ39" s="52">
        <v>26</v>
      </c>
      <c r="BR39" s="52">
        <v>20.100000000000001</v>
      </c>
      <c r="BS39" s="52">
        <v>1.4</v>
      </c>
      <c r="BT39" s="53">
        <f t="shared" ref="BT39:BT70" si="24">AZ39/(AY39+AZ39)</f>
        <v>0.51546208404373628</v>
      </c>
      <c r="BU39" s="280">
        <f t="shared" ref="BU39:BU70" si="25">SUM(AY39:BL39)</f>
        <v>786.2799584034309</v>
      </c>
      <c r="BV39" s="54">
        <f t="shared" ref="BV39:BV70" si="26">F39</f>
        <v>650</v>
      </c>
      <c r="BW39" s="71">
        <f t="shared" si="22"/>
        <v>71.713508612873966</v>
      </c>
      <c r="BX39" s="69">
        <f t="shared" si="11"/>
        <v>1.9519112353164074</v>
      </c>
      <c r="BY39" s="53">
        <v>9.31</v>
      </c>
      <c r="BZ39" s="53">
        <v>0.51</v>
      </c>
      <c r="CA39" s="53">
        <v>38.81</v>
      </c>
      <c r="CB39" s="53">
        <v>19.439599999999999</v>
      </c>
      <c r="CC39" s="53">
        <v>1.6903999999999999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16.510000000000002</v>
      </c>
      <c r="CL39" s="53">
        <v>0</v>
      </c>
      <c r="CM39" s="53">
        <v>0</v>
      </c>
      <c r="CN39" s="53">
        <v>0</v>
      </c>
      <c r="CO39" s="53">
        <v>5.24</v>
      </c>
      <c r="CP39" s="53">
        <v>8.48</v>
      </c>
      <c r="CQ39" s="53">
        <v>0</v>
      </c>
      <c r="CR39" s="53">
        <v>0</v>
      </c>
      <c r="CS39" s="53">
        <v>0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280">
        <v>99.990000000000009</v>
      </c>
      <c r="CZ39" s="284">
        <v>0.43040922701563716</v>
      </c>
      <c r="DA39" s="284">
        <v>0.21558833314849726</v>
      </c>
      <c r="DB39" s="284">
        <v>1.8746811578130199E-2</v>
      </c>
      <c r="DC39" s="284">
        <v>0</v>
      </c>
      <c r="DD39" s="284">
        <v>0</v>
      </c>
      <c r="DE39" s="284">
        <v>0</v>
      </c>
      <c r="DF39" s="284">
        <v>0</v>
      </c>
      <c r="DG39" s="284">
        <v>0</v>
      </c>
      <c r="DH39" s="284">
        <v>0</v>
      </c>
      <c r="DI39" s="284">
        <v>0</v>
      </c>
      <c r="DJ39" s="284">
        <v>0.18309859154929578</v>
      </c>
      <c r="DK39" s="284">
        <v>0</v>
      </c>
      <c r="DL39" s="284">
        <v>0</v>
      </c>
      <c r="DM39" s="284">
        <v>0</v>
      </c>
      <c r="DN39" s="284">
        <v>5.8112454253077518E-2</v>
      </c>
      <c r="DO39" s="284">
        <v>9.4044582455362097E-2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v>0</v>
      </c>
      <c r="DV39" s="284">
        <v>0</v>
      </c>
      <c r="DW39" s="284">
        <v>0</v>
      </c>
      <c r="DX39" s="53">
        <v>1</v>
      </c>
      <c r="DY39" s="71">
        <v>74.036366804202189</v>
      </c>
      <c r="DZ39" s="71">
        <v>15.173517712803275</v>
      </c>
      <c r="EA39" s="71">
        <v>0.28166832399221542</v>
      </c>
      <c r="EB39" s="71">
        <v>1.3263255578580964</v>
      </c>
      <c r="EC39" s="71">
        <v>0</v>
      </c>
      <c r="ED39" s="71">
        <v>0.55585350803844225</v>
      </c>
      <c r="EE39" s="71">
        <v>8.006249990121464E-3</v>
      </c>
      <c r="EF39" s="71">
        <v>0.22163189669486696</v>
      </c>
      <c r="EG39" s="71">
        <v>5.0568513117051763</v>
      </c>
      <c r="EH39" s="71">
        <v>0.12548045786792958</v>
      </c>
      <c r="EI39" s="71">
        <v>0</v>
      </c>
      <c r="EJ39" s="71">
        <v>3.2142981768477075</v>
      </c>
      <c r="EK39" s="71">
        <v>0</v>
      </c>
      <c r="EL39" s="71">
        <v>100.00000000000003</v>
      </c>
      <c r="EM39" s="53">
        <v>74.161839660382654</v>
      </c>
      <c r="EN39" s="53" t="s">
        <v>98</v>
      </c>
      <c r="EO39" s="288">
        <v>1.7273631820575407E-2</v>
      </c>
      <c r="EP39" s="257">
        <f t="shared" si="12"/>
        <v>1.7273631820575408</v>
      </c>
      <c r="EQ39" s="257">
        <f t="shared" si="13"/>
        <v>32.145638629283489</v>
      </c>
      <c r="ER39" s="324">
        <f t="shared" si="14"/>
        <v>0.67599109416008873</v>
      </c>
      <c r="ES39" s="257">
        <f t="shared" si="15"/>
        <v>1.366537699362055</v>
      </c>
      <c r="ET39">
        <f t="shared" si="8"/>
        <v>650</v>
      </c>
      <c r="EU39" s="324">
        <f t="shared" si="16"/>
        <v>0.49467431046773441</v>
      </c>
      <c r="EV39" s="39">
        <f t="shared" si="17"/>
        <v>142.6</v>
      </c>
      <c r="EW39"/>
      <c r="EX39">
        <f t="shared" si="18"/>
        <v>0.95042735042735049</v>
      </c>
      <c r="EY39"/>
      <c r="EZ39"/>
      <c r="FA39"/>
      <c r="FB39"/>
      <c r="FC39"/>
      <c r="FD39"/>
    </row>
    <row r="40" spans="1:160" s="54" customFormat="1" ht="13" customHeight="1" x14ac:dyDescent="0.2">
      <c r="A40" s="49" t="s">
        <v>99</v>
      </c>
      <c r="B40" s="50" t="s">
        <v>461</v>
      </c>
      <c r="C40" s="275">
        <f>149.1-F40/100</f>
        <v>141.6</v>
      </c>
      <c r="D40" s="51">
        <v>700</v>
      </c>
      <c r="E40" s="51">
        <v>800</v>
      </c>
      <c r="F40" s="51">
        <f t="shared" si="23"/>
        <v>750</v>
      </c>
      <c r="G40" s="83" t="s">
        <v>516</v>
      </c>
      <c r="H40" s="84">
        <v>10</v>
      </c>
      <c r="I40" s="85">
        <v>5</v>
      </c>
      <c r="J40" s="85">
        <v>4</v>
      </c>
      <c r="K40" s="89">
        <f t="shared" si="20"/>
        <v>12.5</v>
      </c>
      <c r="L40" s="51">
        <v>146</v>
      </c>
      <c r="M40" s="51">
        <v>116</v>
      </c>
      <c r="N40" s="51">
        <v>79</v>
      </c>
      <c r="O40" s="52">
        <v>68.19</v>
      </c>
      <c r="P40" s="52">
        <v>15.9</v>
      </c>
      <c r="Q40" s="52">
        <v>4</v>
      </c>
      <c r="R40" s="52">
        <v>7.6999999999999999E-2</v>
      </c>
      <c r="S40" s="52">
        <v>0.63</v>
      </c>
      <c r="T40" s="52">
        <v>0.31</v>
      </c>
      <c r="U40" s="52">
        <v>0.4</v>
      </c>
      <c r="V40" s="52">
        <v>3.95</v>
      </c>
      <c r="W40" s="52">
        <v>0.31900000000000001</v>
      </c>
      <c r="X40" s="52">
        <v>0</v>
      </c>
      <c r="Y40" s="52">
        <v>5.05</v>
      </c>
      <c r="Z40" s="52">
        <v>98.82</v>
      </c>
      <c r="AA40" s="52">
        <v>10</v>
      </c>
      <c r="AB40" s="52">
        <v>2</v>
      </c>
      <c r="AC40" s="52">
        <v>58</v>
      </c>
      <c r="AD40" s="52">
        <v>0</v>
      </c>
      <c r="AE40" s="52">
        <v>8</v>
      </c>
      <c r="AF40" s="52">
        <v>0</v>
      </c>
      <c r="AG40" s="52">
        <v>40</v>
      </c>
      <c r="AH40" s="52">
        <v>180</v>
      </c>
      <c r="AI40" s="52">
        <v>19</v>
      </c>
      <c r="AJ40" s="52">
        <v>2</v>
      </c>
      <c r="AK40" s="52">
        <v>0</v>
      </c>
      <c r="AL40" s="52">
        <v>129</v>
      </c>
      <c r="AM40" s="52">
        <v>88</v>
      </c>
      <c r="AN40" s="68">
        <f>'O.G.Chem Results'!AN40/'O.G.Chem Results'!$AN$142</f>
        <v>7.6923076923076916</v>
      </c>
      <c r="AO40" s="52">
        <v>158</v>
      </c>
      <c r="AP40" s="52">
        <v>4</v>
      </c>
      <c r="AQ40" s="52" t="s">
        <v>72</v>
      </c>
      <c r="AR40" s="52" t="s">
        <v>74</v>
      </c>
      <c r="AS40" s="52" t="s">
        <v>73</v>
      </c>
      <c r="AT40" s="52">
        <v>2</v>
      </c>
      <c r="AU40" s="52" t="s">
        <v>74</v>
      </c>
      <c r="AV40" s="52">
        <v>1.7</v>
      </c>
      <c r="AW40" s="52">
        <v>653</v>
      </c>
      <c r="AX40" s="52" t="s">
        <v>75</v>
      </c>
      <c r="AY40" s="68">
        <f>'O.G.Chem Results'!AY40/'O.G.Chem Results'!AY$142</f>
        <v>233.19148936170214</v>
      </c>
      <c r="AZ40" s="68">
        <f>'O.G.Chem Results'!AZ40/'O.G.Chem Results'!AZ$142</f>
        <v>188.99204244031827</v>
      </c>
      <c r="BA40" s="68">
        <f>'O.G.Chem Results'!BA40/'O.G.Chem Results'!BA$142</f>
        <v>127.94612794612796</v>
      </c>
      <c r="BB40" s="68">
        <f>'O.G.Chem Results'!BB40/'O.G.Chem Results'!BB$142</f>
        <v>80.680813439434132</v>
      </c>
      <c r="BC40" s="68">
        <f>'O.G.Chem Results'!BC40/'O.G.Chem Results'!BC$142</f>
        <v>34.670292318150921</v>
      </c>
      <c r="BD40" s="68">
        <f>'O.G.Chem Results'!BD40/'O.G.Chem Results'!BD$142</f>
        <v>17.142857142857142</v>
      </c>
      <c r="BE40" s="68">
        <f>'O.G.Chem Results'!BE40/'O.G.Chem Results'!BE$142</f>
        <v>17.045454545454547</v>
      </c>
      <c r="BF40" s="68">
        <f>'O.G.Chem Results'!BF40/'O.G.Chem Results'!BF$142</f>
        <v>11.019283746556475</v>
      </c>
      <c r="BG40" s="68">
        <f>'O.G.Chem Results'!BG40/'O.G.Chem Results'!BG$142</f>
        <v>9.8887515451174277</v>
      </c>
      <c r="BH40" s="68">
        <f>'O.G.Chem Results'!BH40/'O.G.Chem Results'!BH$142</f>
        <v>7.1942446043165464</v>
      </c>
      <c r="BI40" s="68">
        <f>'O.G.Chem Results'!BI40/'O.G.Chem Results'!BI$142</f>
        <v>8.1812460667086206</v>
      </c>
      <c r="BJ40" s="68">
        <f>'O.G.Chem Results'!BJ40/'O.G.Chem Results'!BJ$142</f>
        <v>8.2644628099173563</v>
      </c>
      <c r="BK40" s="68">
        <f>'O.G.Chem Results'!BK40/'O.G.Chem Results'!BK$142</f>
        <v>8.615384615384615</v>
      </c>
      <c r="BL40" s="68">
        <f>'O.G.Chem Results'!BL40/'O.G.Chem Results'!BL$142</f>
        <v>9.8765432098765427</v>
      </c>
      <c r="BM40" s="52">
        <v>4.0999999999999996</v>
      </c>
      <c r="BN40" s="52">
        <v>0.4</v>
      </c>
      <c r="BO40" s="52">
        <v>0</v>
      </c>
      <c r="BP40" s="52">
        <v>0.4</v>
      </c>
      <c r="BQ40" s="52">
        <v>21</v>
      </c>
      <c r="BR40" s="52">
        <v>16.5</v>
      </c>
      <c r="BS40" s="52">
        <v>1.9</v>
      </c>
      <c r="BT40" s="53">
        <f t="shared" si="24"/>
        <v>0.44765375293924203</v>
      </c>
      <c r="BU40" s="280">
        <f t="shared" si="25"/>
        <v>762.70899379192258</v>
      </c>
      <c r="BV40" s="54">
        <f t="shared" si="26"/>
        <v>750</v>
      </c>
      <c r="BW40" s="71">
        <f t="shared" si="22"/>
        <v>77.334630350194558</v>
      </c>
      <c r="BX40" s="69">
        <f t="shared" si="11"/>
        <v>1.477122015915119</v>
      </c>
      <c r="BY40" s="53">
        <v>9.5500000000000007</v>
      </c>
      <c r="BZ40" s="53">
        <v>0.59</v>
      </c>
      <c r="CA40" s="53">
        <v>38.82</v>
      </c>
      <c r="CB40" s="53">
        <v>15.897600000000002</v>
      </c>
      <c r="CC40" s="53">
        <v>2.6124000000000001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20.260000000000002</v>
      </c>
      <c r="CL40" s="53">
        <v>0</v>
      </c>
      <c r="CM40" s="53">
        <v>0</v>
      </c>
      <c r="CN40" s="53">
        <v>0</v>
      </c>
      <c r="CO40" s="53">
        <v>4.09</v>
      </c>
      <c r="CP40" s="53">
        <v>8.17</v>
      </c>
      <c r="CQ40" s="53">
        <v>0</v>
      </c>
      <c r="CR40" s="53">
        <v>0</v>
      </c>
      <c r="CS40" s="53">
        <v>0</v>
      </c>
      <c r="CT40" s="53">
        <v>0</v>
      </c>
      <c r="CU40" s="53">
        <v>0</v>
      </c>
      <c r="CV40" s="53">
        <v>0</v>
      </c>
      <c r="CW40" s="53">
        <v>0</v>
      </c>
      <c r="CX40" s="53">
        <v>0</v>
      </c>
      <c r="CY40" s="280">
        <v>99.990000000000009</v>
      </c>
      <c r="CZ40" s="284">
        <v>0.43205342237061767</v>
      </c>
      <c r="DA40" s="284">
        <v>0.17693489148580968</v>
      </c>
      <c r="DB40" s="284">
        <v>2.9075125208681132E-2</v>
      </c>
      <c r="DC40" s="284">
        <v>0</v>
      </c>
      <c r="DD40" s="284">
        <v>0</v>
      </c>
      <c r="DE40" s="284">
        <v>0</v>
      </c>
      <c r="DF40" s="284">
        <v>0</v>
      </c>
      <c r="DG40" s="284">
        <v>0</v>
      </c>
      <c r="DH40" s="284">
        <v>0</v>
      </c>
      <c r="DI40" s="284">
        <v>0</v>
      </c>
      <c r="DJ40" s="284">
        <v>0.22548692264885919</v>
      </c>
      <c r="DK40" s="284">
        <v>0</v>
      </c>
      <c r="DL40" s="284">
        <v>0</v>
      </c>
      <c r="DM40" s="284">
        <v>0</v>
      </c>
      <c r="DN40" s="284">
        <v>4.5520311630495261E-2</v>
      </c>
      <c r="DO40" s="284">
        <v>9.0929326655536991E-2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v>0</v>
      </c>
      <c r="DV40" s="284">
        <v>0</v>
      </c>
      <c r="DW40" s="284">
        <v>0</v>
      </c>
      <c r="DX40" s="53">
        <v>1</v>
      </c>
      <c r="DY40" s="71">
        <v>73.687842759226797</v>
      </c>
      <c r="DZ40" s="71">
        <v>15.891495218944888</v>
      </c>
      <c r="EA40" s="71">
        <v>0.34687609034702471</v>
      </c>
      <c r="EB40" s="71">
        <v>1.116406535746399</v>
      </c>
      <c r="EC40" s="71">
        <v>0</v>
      </c>
      <c r="ED40" s="71">
        <v>0.47829693688085251</v>
      </c>
      <c r="EE40" s="71">
        <v>6.2714094461546197E-3</v>
      </c>
      <c r="EF40" s="71">
        <v>0.34373712669935846</v>
      </c>
      <c r="EG40" s="71">
        <v>4.2980036800093693</v>
      </c>
      <c r="EH40" s="71">
        <v>9.8290626666879988E-2</v>
      </c>
      <c r="EI40" s="71">
        <v>0</v>
      </c>
      <c r="EJ40" s="71">
        <v>3.7327796160322819</v>
      </c>
      <c r="EK40" s="71">
        <v>0</v>
      </c>
      <c r="EL40" s="71">
        <v>99.999999999999986</v>
      </c>
      <c r="EM40" s="53">
        <v>77.370381296428093</v>
      </c>
      <c r="EN40" s="53" t="s">
        <v>99</v>
      </c>
      <c r="EO40" s="288">
        <v>1.5637592143105998E-2</v>
      </c>
      <c r="EP40" s="257">
        <f t="shared" si="12"/>
        <v>1.5637592143105998</v>
      </c>
      <c r="EQ40" s="257">
        <f t="shared" si="13"/>
        <v>39.702135998432297</v>
      </c>
      <c r="ER40" s="324">
        <f t="shared" si="14"/>
        <v>0.66296469383182344</v>
      </c>
      <c r="ES40" s="257">
        <f t="shared" si="15"/>
        <v>1.0363985616364633</v>
      </c>
      <c r="ET40">
        <f t="shared" si="8"/>
        <v>750</v>
      </c>
      <c r="EU40" s="324">
        <f t="shared" si="16"/>
        <v>0.63968121760513508</v>
      </c>
      <c r="EV40" s="39">
        <f t="shared" si="17"/>
        <v>141.6</v>
      </c>
      <c r="EW40"/>
      <c r="EX40">
        <f t="shared" si="18"/>
        <v>1.0692307692307692</v>
      </c>
      <c r="EY40"/>
      <c r="EZ40"/>
      <c r="FA40"/>
      <c r="FB40"/>
      <c r="FC40"/>
      <c r="FD40"/>
    </row>
    <row r="41" spans="1:160" s="54" customFormat="1" ht="13" customHeight="1" x14ac:dyDescent="0.2">
      <c r="A41" s="49" t="s">
        <v>100</v>
      </c>
      <c r="B41" s="50" t="s">
        <v>462</v>
      </c>
      <c r="C41" s="275">
        <f>164.2-F41/100</f>
        <v>164.125</v>
      </c>
      <c r="D41" s="51">
        <v>0</v>
      </c>
      <c r="E41" s="51">
        <v>15</v>
      </c>
      <c r="F41" s="51">
        <f t="shared" si="23"/>
        <v>7.5</v>
      </c>
      <c r="G41" s="83" t="s">
        <v>514</v>
      </c>
      <c r="H41" s="84">
        <v>7.5</v>
      </c>
      <c r="I41" s="85">
        <v>4</v>
      </c>
      <c r="J41" s="85">
        <v>4</v>
      </c>
      <c r="K41" s="89">
        <f t="shared" si="20"/>
        <v>7.5</v>
      </c>
      <c r="L41" s="51">
        <v>124</v>
      </c>
      <c r="M41" s="51">
        <v>89</v>
      </c>
      <c r="N41" s="51">
        <v>58</v>
      </c>
      <c r="O41" s="52">
        <v>71.989999999999995</v>
      </c>
      <c r="P41" s="52">
        <v>12.81</v>
      </c>
      <c r="Q41" s="52">
        <v>3.93</v>
      </c>
      <c r="R41" s="52">
        <v>3.6999999999999998E-2</v>
      </c>
      <c r="S41" s="52">
        <v>0.23</v>
      </c>
      <c r="T41" s="52">
        <v>0.08</v>
      </c>
      <c r="U41" s="52">
        <v>0.23</v>
      </c>
      <c r="V41" s="52">
        <v>2.93</v>
      </c>
      <c r="W41" s="52">
        <v>0.41799999999999998</v>
      </c>
      <c r="X41" s="52">
        <v>0</v>
      </c>
      <c r="Y41" s="52">
        <v>6.62</v>
      </c>
      <c r="Z41" s="52">
        <v>99.29</v>
      </c>
      <c r="AA41" s="52">
        <v>9</v>
      </c>
      <c r="AB41" s="52">
        <v>0</v>
      </c>
      <c r="AC41" s="52">
        <v>68</v>
      </c>
      <c r="AD41" s="52">
        <v>0</v>
      </c>
      <c r="AE41" s="52">
        <v>8</v>
      </c>
      <c r="AF41" s="52">
        <v>0</v>
      </c>
      <c r="AG41" s="52">
        <v>30</v>
      </c>
      <c r="AH41" s="52">
        <v>50</v>
      </c>
      <c r="AI41" s="52">
        <v>15</v>
      </c>
      <c r="AJ41" s="52">
        <v>1</v>
      </c>
      <c r="AK41" s="52">
        <v>0</v>
      </c>
      <c r="AL41" s="52">
        <v>81</v>
      </c>
      <c r="AM41" s="52">
        <v>104</v>
      </c>
      <c r="AN41" s="68">
        <f>'O.G.Chem Results'!AN41/'O.G.Chem Results'!$AN$142</f>
        <v>8.9743589743589745</v>
      </c>
      <c r="AO41" s="52">
        <v>431</v>
      </c>
      <c r="AP41" s="52">
        <v>4</v>
      </c>
      <c r="AQ41" s="52" t="s">
        <v>72</v>
      </c>
      <c r="AR41" s="52">
        <v>0.5</v>
      </c>
      <c r="AS41" s="52" t="s">
        <v>73</v>
      </c>
      <c r="AT41" s="52">
        <v>2</v>
      </c>
      <c r="AU41" s="52" t="s">
        <v>74</v>
      </c>
      <c r="AV41" s="52">
        <v>1.7</v>
      </c>
      <c r="AW41" s="52">
        <v>502</v>
      </c>
      <c r="AX41" s="52" t="s">
        <v>75</v>
      </c>
      <c r="AY41" s="68">
        <f>'O.G.Chem Results'!AY41/'O.G.Chem Results'!AY$142</f>
        <v>160.85106382978722</v>
      </c>
      <c r="AZ41" s="68">
        <f>'O.G.Chem Results'!AZ41/'O.G.Chem Results'!AZ$142</f>
        <v>230.43766578249335</v>
      </c>
      <c r="BA41" s="68">
        <f>'O.G.Chem Results'!BA41/'O.G.Chem Results'!BA$142</f>
        <v>93.0415263748597</v>
      </c>
      <c r="BB41" s="68">
        <f>'O.G.Chem Results'!BB41/'O.G.Chem Results'!BB$142</f>
        <v>61.450044208664906</v>
      </c>
      <c r="BC41" s="68">
        <f>'O.G.Chem Results'!BC41/'O.G.Chem Results'!BC$142</f>
        <v>27.87219578518015</v>
      </c>
      <c r="BD41" s="68">
        <f>'O.G.Chem Results'!BD41/'O.G.Chem Results'!BD$142</f>
        <v>15.714285714285714</v>
      </c>
      <c r="BE41" s="68">
        <f>'O.G.Chem Results'!BE41/'O.G.Chem Results'!BE$142</f>
        <v>17.045454545454547</v>
      </c>
      <c r="BF41" s="68">
        <f>'O.G.Chem Results'!BF41/'O.G.Chem Results'!BF$142</f>
        <v>11.019283746556475</v>
      </c>
      <c r="BG41" s="68">
        <f>'O.G.Chem Results'!BG41/'O.G.Chem Results'!BG$142</f>
        <v>10.300782859497321</v>
      </c>
      <c r="BH41" s="68">
        <f>'O.G.Chem Results'!BH41/'O.G.Chem Results'!BH$142</f>
        <v>8.9928057553956826</v>
      </c>
      <c r="BI41" s="68">
        <f>'O.G.Chem Results'!BI41/'O.G.Chem Results'!BI$142</f>
        <v>9.4398993077407169</v>
      </c>
      <c r="BJ41" s="68">
        <f>'O.G.Chem Results'!BJ41/'O.G.Chem Results'!BJ$142</f>
        <v>9.9173553719008272</v>
      </c>
      <c r="BK41" s="68">
        <f>'O.G.Chem Results'!BK41/'O.G.Chem Results'!BK$142</f>
        <v>9.8461538461538467</v>
      </c>
      <c r="BL41" s="68">
        <f>'O.G.Chem Results'!BL41/'O.G.Chem Results'!BL$142</f>
        <v>11.111111111111111</v>
      </c>
      <c r="BM41" s="52">
        <v>9.6</v>
      </c>
      <c r="BN41" s="52">
        <v>0.6</v>
      </c>
      <c r="BO41" s="52">
        <v>0</v>
      </c>
      <c r="BP41" s="52">
        <v>0.4</v>
      </c>
      <c r="BQ41" s="52">
        <v>23</v>
      </c>
      <c r="BR41" s="52">
        <v>14.1</v>
      </c>
      <c r="BS41" s="52">
        <v>2.6</v>
      </c>
      <c r="BT41" s="53">
        <f t="shared" si="24"/>
        <v>0.58891976267966872</v>
      </c>
      <c r="BU41" s="280">
        <f t="shared" si="25"/>
        <v>677.03962823908137</v>
      </c>
      <c r="BV41" s="54">
        <f t="shared" si="26"/>
        <v>7.5</v>
      </c>
      <c r="BW41" s="71">
        <f t="shared" si="22"/>
        <v>79.813084112149525</v>
      </c>
      <c r="BX41" s="69">
        <f t="shared" si="11"/>
        <v>2.4767184585307791</v>
      </c>
      <c r="BY41" s="53">
        <v>8.73</v>
      </c>
      <c r="BZ41" s="53">
        <v>0.62</v>
      </c>
      <c r="CA41" s="53">
        <v>52.24</v>
      </c>
      <c r="CB41" s="53">
        <v>14.572800000000001</v>
      </c>
      <c r="CC41" s="53">
        <v>1.2672000000000001</v>
      </c>
      <c r="CD41" s="53">
        <v>0</v>
      </c>
      <c r="CE41" s="53">
        <v>0</v>
      </c>
      <c r="CF41" s="53">
        <v>0</v>
      </c>
      <c r="CG41" s="53">
        <v>0</v>
      </c>
      <c r="CH41" s="53">
        <v>1.72</v>
      </c>
      <c r="CI41" s="53">
        <v>0.33</v>
      </c>
      <c r="CJ41" s="53">
        <v>0</v>
      </c>
      <c r="CK41" s="53">
        <v>13.73</v>
      </c>
      <c r="CL41" s="53">
        <v>0</v>
      </c>
      <c r="CM41" s="53">
        <v>0.28000000000000003</v>
      </c>
      <c r="CN41" s="53">
        <v>0</v>
      </c>
      <c r="CO41" s="53">
        <v>1.61</v>
      </c>
      <c r="CP41" s="53">
        <v>4.92</v>
      </c>
      <c r="CQ41" s="53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280">
        <v>100.02000000000001</v>
      </c>
      <c r="CZ41" s="284">
        <v>0.57615528840851427</v>
      </c>
      <c r="DA41" s="284">
        <v>0.16072350281239658</v>
      </c>
      <c r="DB41" s="284">
        <v>1.3975956766295355E-2</v>
      </c>
      <c r="DC41" s="284">
        <v>0</v>
      </c>
      <c r="DD41" s="284">
        <v>0</v>
      </c>
      <c r="DE41" s="284">
        <v>0</v>
      </c>
      <c r="DF41" s="284">
        <v>0</v>
      </c>
      <c r="DG41" s="284">
        <v>1.8969890812837759E-2</v>
      </c>
      <c r="DH41" s="284">
        <v>3.639572074556082E-3</v>
      </c>
      <c r="DI41" s="284">
        <v>0</v>
      </c>
      <c r="DJ41" s="284">
        <v>0.15142825631410609</v>
      </c>
      <c r="DK41" s="284">
        <v>0</v>
      </c>
      <c r="DL41" s="284">
        <v>3.088121760229403E-3</v>
      </c>
      <c r="DM41" s="284">
        <v>0</v>
      </c>
      <c r="DN41" s="284">
        <v>1.7756700121319066E-2</v>
      </c>
      <c r="DO41" s="284">
        <v>5.4262710929745217E-2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v>0</v>
      </c>
      <c r="DV41" s="284">
        <v>0</v>
      </c>
      <c r="DW41" s="284">
        <v>0</v>
      </c>
      <c r="DX41" s="53">
        <v>0.99999999999999978</v>
      </c>
      <c r="DY41" s="71">
        <v>79.658829027426819</v>
      </c>
      <c r="DZ41" s="71">
        <v>11.306816393713536</v>
      </c>
      <c r="EA41" s="71">
        <v>1.8308808636327965</v>
      </c>
      <c r="EB41" s="71">
        <v>0.51983418900567835</v>
      </c>
      <c r="EC41" s="71">
        <v>0</v>
      </c>
      <c r="ED41" s="71">
        <v>0.23834583298264481</v>
      </c>
      <c r="EE41" s="71">
        <v>5.2741860329613552E-3</v>
      </c>
      <c r="EF41" s="71">
        <v>0.165229046727766</v>
      </c>
      <c r="EG41" s="71">
        <v>3.4590534184586788</v>
      </c>
      <c r="EH41" s="71">
        <v>3.8341503384855584E-2</v>
      </c>
      <c r="EI41" s="71">
        <v>0</v>
      </c>
      <c r="EJ41" s="71">
        <v>2.7773955386342468</v>
      </c>
      <c r="EK41" s="71">
        <v>0</v>
      </c>
      <c r="EL41" s="71">
        <v>99.999999999999986</v>
      </c>
      <c r="EM41" s="53">
        <v>75.699879480107754</v>
      </c>
      <c r="EN41" s="53" t="s">
        <v>100</v>
      </c>
      <c r="EO41" s="288">
        <v>2.397500129648986E-2</v>
      </c>
      <c r="EP41" s="257">
        <f t="shared" si="12"/>
        <v>2.3975001296489862</v>
      </c>
      <c r="EQ41" s="257">
        <f t="shared" si="13"/>
        <v>41.363040629095671</v>
      </c>
      <c r="ER41" s="324">
        <f t="shared" si="14"/>
        <v>0.69969313170276271</v>
      </c>
      <c r="ES41" s="257">
        <f t="shared" si="15"/>
        <v>1.80427790341539</v>
      </c>
      <c r="ET41">
        <f t="shared" si="8"/>
        <v>7.5</v>
      </c>
      <c r="EU41" s="324">
        <f t="shared" si="16"/>
        <v>0.3877967636683271</v>
      </c>
      <c r="EV41" s="39">
        <f t="shared" si="17"/>
        <v>164.125</v>
      </c>
      <c r="EW41"/>
      <c r="EX41">
        <f t="shared" si="18"/>
        <v>0.99794871794871809</v>
      </c>
      <c r="EY41"/>
      <c r="EZ41" s="324">
        <f>AVERAGE(ER41:ER53)</f>
        <v>0.69371627383875478</v>
      </c>
      <c r="FA41" s="260" t="s">
        <v>665</v>
      </c>
      <c r="FB41"/>
      <c r="FC41"/>
      <c r="FD41"/>
    </row>
    <row r="42" spans="1:160" s="54" customFormat="1" ht="13" customHeight="1" x14ac:dyDescent="0.2">
      <c r="A42" s="49" t="s">
        <v>101</v>
      </c>
      <c r="B42" s="50" t="s">
        <v>462</v>
      </c>
      <c r="C42" s="275">
        <f t="shared" ref="C42:C53" si="27">164.2-F42/100</f>
        <v>163.85</v>
      </c>
      <c r="D42" s="51">
        <v>15</v>
      </c>
      <c r="E42" s="51">
        <v>55</v>
      </c>
      <c r="F42" s="51">
        <f t="shared" si="23"/>
        <v>35</v>
      </c>
      <c r="G42" s="83" t="s">
        <v>507</v>
      </c>
      <c r="H42" s="84">
        <v>2.5</v>
      </c>
      <c r="I42" s="85">
        <v>4</v>
      </c>
      <c r="J42" s="85">
        <v>6</v>
      </c>
      <c r="K42" s="89">
        <f t="shared" si="20"/>
        <v>1.6666666666666667</v>
      </c>
      <c r="L42" s="51">
        <v>140</v>
      </c>
      <c r="M42" s="51">
        <v>81</v>
      </c>
      <c r="N42" s="51">
        <v>54</v>
      </c>
      <c r="O42" s="52">
        <v>54.69</v>
      </c>
      <c r="P42" s="52">
        <v>22.09</v>
      </c>
      <c r="Q42" s="52">
        <v>8.4499999999999993</v>
      </c>
      <c r="R42" s="52">
        <v>4.1000000000000002E-2</v>
      </c>
      <c r="S42" s="52">
        <v>0.56000000000000005</v>
      </c>
      <c r="T42" s="52">
        <v>7.0000000000000007E-2</v>
      </c>
      <c r="U42" s="52">
        <v>0.06</v>
      </c>
      <c r="V42" s="52">
        <v>1.1000000000000001</v>
      </c>
      <c r="W42" s="52">
        <v>0.65100000000000002</v>
      </c>
      <c r="X42" s="52">
        <v>0.04</v>
      </c>
      <c r="Y42" s="52">
        <v>11.03</v>
      </c>
      <c r="Z42" s="52">
        <v>98.78</v>
      </c>
      <c r="AA42" s="52">
        <v>22</v>
      </c>
      <c r="AB42" s="52">
        <v>2</v>
      </c>
      <c r="AC42" s="52">
        <v>159</v>
      </c>
      <c r="AD42" s="52">
        <v>0</v>
      </c>
      <c r="AE42" s="52">
        <v>11</v>
      </c>
      <c r="AF42" s="52">
        <v>0</v>
      </c>
      <c r="AG42" s="52">
        <v>40</v>
      </c>
      <c r="AH42" s="52">
        <v>70</v>
      </c>
      <c r="AI42" s="52">
        <v>28</v>
      </c>
      <c r="AJ42" s="52">
        <v>2</v>
      </c>
      <c r="AK42" s="52">
        <v>0</v>
      </c>
      <c r="AL42" s="52">
        <v>73</v>
      </c>
      <c r="AM42" s="52">
        <v>26</v>
      </c>
      <c r="AN42" s="68">
        <f>'O.G.Chem Results'!AN42/'O.G.Chem Results'!$AN$142</f>
        <v>10.256410256410255</v>
      </c>
      <c r="AO42" s="52">
        <v>168</v>
      </c>
      <c r="AP42" s="52">
        <v>7</v>
      </c>
      <c r="AQ42" s="52" t="s">
        <v>72</v>
      </c>
      <c r="AR42" s="52" t="s">
        <v>74</v>
      </c>
      <c r="AS42" s="52" t="s">
        <v>73</v>
      </c>
      <c r="AT42" s="52">
        <v>2</v>
      </c>
      <c r="AU42" s="52" t="s">
        <v>74</v>
      </c>
      <c r="AV42" s="52">
        <v>2.8</v>
      </c>
      <c r="AW42" s="52">
        <v>193</v>
      </c>
      <c r="AX42" s="52" t="s">
        <v>75</v>
      </c>
      <c r="AY42" s="68">
        <f>'O.G.Chem Results'!AY42/'O.G.Chem Results'!AY$142</f>
        <v>244.25531914893617</v>
      </c>
      <c r="AZ42" s="68">
        <f>'O.G.Chem Results'!AZ42/'O.G.Chem Results'!AZ$142</f>
        <v>243.70026525198935</v>
      </c>
      <c r="BA42" s="68">
        <f>'O.G.Chem Results'!BA42/'O.G.Chem Results'!BA$142</f>
        <v>135.80246913580245</v>
      </c>
      <c r="BB42" s="68">
        <f>'O.G.Chem Results'!BB42/'O.G.Chem Results'!BB$142</f>
        <v>87.97524314765694</v>
      </c>
      <c r="BC42" s="68">
        <f>'O.G.Chem Results'!BC42/'O.G.Chem Results'!BC$142</f>
        <v>36.709721278042153</v>
      </c>
      <c r="BD42" s="68">
        <f>'O.G.Chem Results'!BD42/'O.G.Chem Results'!BD$142</f>
        <v>19.821428571428573</v>
      </c>
      <c r="BE42" s="68">
        <f>'O.G.Chem Results'!BE42/'O.G.Chem Results'!BE$142</f>
        <v>19.886363636363637</v>
      </c>
      <c r="BF42" s="68">
        <f>'O.G.Chem Results'!BF42/'O.G.Chem Results'!BF$142</f>
        <v>13.774104683195592</v>
      </c>
      <c r="BG42" s="68">
        <f>'O.G.Chem Results'!BG42/'O.G.Chem Results'!BG$142</f>
        <v>12.360939431396787</v>
      </c>
      <c r="BH42" s="68">
        <f>'O.G.Chem Results'!BH42/'O.G.Chem Results'!BH$142</f>
        <v>10.791366906474819</v>
      </c>
      <c r="BI42" s="68">
        <f>'O.G.Chem Results'!BI42/'O.G.Chem Results'!BI$142</f>
        <v>10.698552548772811</v>
      </c>
      <c r="BJ42" s="68">
        <f>'O.G.Chem Results'!BJ42/'O.G.Chem Results'!BJ$142</f>
        <v>10.743801652892563</v>
      </c>
      <c r="BK42" s="68">
        <f>'O.G.Chem Results'!BK42/'O.G.Chem Results'!BK$142</f>
        <v>10.461538461538462</v>
      </c>
      <c r="BL42" s="68">
        <f>'O.G.Chem Results'!BL42/'O.G.Chem Results'!BL$142</f>
        <v>11.934156378600822</v>
      </c>
      <c r="BM42" s="52">
        <v>4.5</v>
      </c>
      <c r="BN42" s="52">
        <v>0.5</v>
      </c>
      <c r="BO42" s="52">
        <v>1</v>
      </c>
      <c r="BP42" s="52">
        <v>0.4</v>
      </c>
      <c r="BQ42" s="52">
        <v>21</v>
      </c>
      <c r="BR42" s="52">
        <v>24.4</v>
      </c>
      <c r="BS42" s="52">
        <v>2.7</v>
      </c>
      <c r="BT42" s="53">
        <f t="shared" si="24"/>
        <v>0.49943124547121609</v>
      </c>
      <c r="BU42" s="280">
        <f t="shared" si="25"/>
        <v>868.91527023309095</v>
      </c>
      <c r="BV42" s="54">
        <f t="shared" si="26"/>
        <v>35</v>
      </c>
      <c r="BW42" s="71">
        <f t="shared" si="22"/>
        <v>94.725557461406524</v>
      </c>
      <c r="BX42" s="69">
        <f t="shared" si="11"/>
        <v>1.7945201350373763</v>
      </c>
      <c r="BY42" s="53">
        <v>9.9700000000000006</v>
      </c>
      <c r="BZ42" s="53">
        <v>1.02</v>
      </c>
      <c r="CA42" s="53">
        <v>29.69</v>
      </c>
      <c r="CB42" s="53">
        <v>2.8980000000000001</v>
      </c>
      <c r="CC42" s="53">
        <v>0.252</v>
      </c>
      <c r="CD42" s="53">
        <v>0</v>
      </c>
      <c r="CE42" s="53">
        <v>0</v>
      </c>
      <c r="CF42" s="53">
        <v>0</v>
      </c>
      <c r="CG42" s="53">
        <v>0</v>
      </c>
      <c r="CH42" s="53">
        <v>3.99</v>
      </c>
      <c r="CI42" s="53">
        <v>2.23</v>
      </c>
      <c r="CJ42" s="53">
        <v>0</v>
      </c>
      <c r="CK42" s="53">
        <v>37.159999999999997</v>
      </c>
      <c r="CL42" s="53">
        <v>0</v>
      </c>
      <c r="CM42" s="53">
        <v>5.39</v>
      </c>
      <c r="CN42" s="53">
        <v>0</v>
      </c>
      <c r="CO42" s="53">
        <v>5.6</v>
      </c>
      <c r="CP42" s="53">
        <v>1.81</v>
      </c>
      <c r="CQ42" s="53">
        <v>0</v>
      </c>
      <c r="CR42" s="53">
        <v>0</v>
      </c>
      <c r="CS42" s="53">
        <v>0</v>
      </c>
      <c r="CT42" s="53">
        <v>0</v>
      </c>
      <c r="CU42" s="53">
        <v>0</v>
      </c>
      <c r="CV42" s="53">
        <v>0</v>
      </c>
      <c r="CW42" s="53">
        <v>0</v>
      </c>
      <c r="CX42" s="53">
        <v>0</v>
      </c>
      <c r="CY42" s="280">
        <v>100.01</v>
      </c>
      <c r="CZ42" s="284">
        <v>0.33352055717816226</v>
      </c>
      <c r="DA42" s="284">
        <v>3.2554482138845209E-2</v>
      </c>
      <c r="DB42" s="284">
        <v>2.8308245338126265E-3</v>
      </c>
      <c r="DC42" s="284">
        <v>0</v>
      </c>
      <c r="DD42" s="284">
        <v>0</v>
      </c>
      <c r="DE42" s="284">
        <v>0</v>
      </c>
      <c r="DF42" s="284">
        <v>0</v>
      </c>
      <c r="DG42" s="284">
        <v>4.4821388452033255E-2</v>
      </c>
      <c r="DH42" s="284">
        <v>2.5050550438103798E-2</v>
      </c>
      <c r="DI42" s="284">
        <v>0</v>
      </c>
      <c r="DJ42" s="284">
        <v>0.41743428443046504</v>
      </c>
      <c r="DK42" s="284">
        <v>0</v>
      </c>
      <c r="DL42" s="284">
        <v>6.054819141765895E-2</v>
      </c>
      <c r="DM42" s="284">
        <v>0</v>
      </c>
      <c r="DN42" s="284">
        <v>6.290721186250281E-2</v>
      </c>
      <c r="DO42" s="284">
        <v>2.0332509548416089E-2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v>0</v>
      </c>
      <c r="DV42" s="284">
        <v>0</v>
      </c>
      <c r="DW42" s="284">
        <v>0</v>
      </c>
      <c r="DX42" s="53">
        <v>1</v>
      </c>
      <c r="DY42" s="71">
        <v>61.02911501923991</v>
      </c>
      <c r="DZ42" s="71">
        <v>23.035251393207592</v>
      </c>
      <c r="EA42" s="71">
        <v>4.6259893375637233</v>
      </c>
      <c r="EB42" s="71">
        <v>1.0701088853671046</v>
      </c>
      <c r="EC42" s="71">
        <v>0</v>
      </c>
      <c r="ED42" s="71">
        <v>0.49891461810477983</v>
      </c>
      <c r="EE42" s="71">
        <v>6.4111255151765301E-2</v>
      </c>
      <c r="EF42" s="71">
        <v>3.3467078282857089E-2</v>
      </c>
      <c r="EG42" s="71">
        <v>1.3677491959629424</v>
      </c>
      <c r="EH42" s="71">
        <v>0.1358336323798211</v>
      </c>
      <c r="EI42" s="71">
        <v>0</v>
      </c>
      <c r="EJ42" s="71">
        <v>8.139459584739523</v>
      </c>
      <c r="EK42" s="71">
        <v>0</v>
      </c>
      <c r="EL42" s="71">
        <v>100.00000000000003</v>
      </c>
      <c r="EM42" s="53">
        <v>94.019212631561132</v>
      </c>
      <c r="EN42" s="53" t="s">
        <v>101</v>
      </c>
      <c r="EO42" s="288">
        <v>5.7924080226138673E-2</v>
      </c>
      <c r="EP42" s="257">
        <f t="shared" si="12"/>
        <v>5.7924080226138672</v>
      </c>
      <c r="EQ42" s="257">
        <f t="shared" si="13"/>
        <v>80.42269187986652</v>
      </c>
      <c r="ER42" s="324">
        <f t="shared" si="14"/>
        <v>0.70045228751797595</v>
      </c>
      <c r="ES42" s="257">
        <f t="shared" si="15"/>
        <v>1.2682024300798909</v>
      </c>
      <c r="ET42">
        <f t="shared" si="8"/>
        <v>35</v>
      </c>
      <c r="EU42" s="324">
        <f t="shared" si="16"/>
        <v>0.55231899175106514</v>
      </c>
      <c r="EV42" s="39">
        <f t="shared" si="17"/>
        <v>163.85</v>
      </c>
      <c r="EW42"/>
      <c r="EX42">
        <f t="shared" si="18"/>
        <v>0.95042735042735049</v>
      </c>
      <c r="EY42"/>
      <c r="EZ42"/>
      <c r="FA42"/>
      <c r="FB42"/>
      <c r="FC42"/>
      <c r="FD42"/>
    </row>
    <row r="43" spans="1:160" s="54" customFormat="1" ht="13" customHeight="1" x14ac:dyDescent="0.2">
      <c r="A43" s="49" t="s">
        <v>102</v>
      </c>
      <c r="B43" s="50" t="s">
        <v>462</v>
      </c>
      <c r="C43" s="275">
        <f t="shared" si="27"/>
        <v>163.54</v>
      </c>
      <c r="D43" s="51">
        <v>55</v>
      </c>
      <c r="E43" s="51">
        <v>77</v>
      </c>
      <c r="F43" s="51">
        <f t="shared" si="23"/>
        <v>66</v>
      </c>
      <c r="G43" s="83" t="s">
        <v>507</v>
      </c>
      <c r="H43" s="84">
        <v>2.5</v>
      </c>
      <c r="I43" s="85">
        <v>4</v>
      </c>
      <c r="J43" s="85">
        <v>6</v>
      </c>
      <c r="K43" s="89">
        <f t="shared" si="20"/>
        <v>1.6666666666666667</v>
      </c>
      <c r="L43" s="51">
        <v>140</v>
      </c>
      <c r="M43" s="51">
        <v>81</v>
      </c>
      <c r="N43" s="51">
        <v>54</v>
      </c>
      <c r="O43" s="52">
        <v>61.27</v>
      </c>
      <c r="P43" s="52">
        <v>19.02</v>
      </c>
      <c r="Q43" s="52">
        <v>6.16</v>
      </c>
      <c r="R43" s="52">
        <v>3.5000000000000003E-2</v>
      </c>
      <c r="S43" s="52">
        <v>0.53</v>
      </c>
      <c r="T43" s="52">
        <v>0.04</v>
      </c>
      <c r="U43" s="52">
        <v>0.19</v>
      </c>
      <c r="V43" s="52">
        <v>3.24</v>
      </c>
      <c r="W43" s="52">
        <v>0.54200000000000004</v>
      </c>
      <c r="X43" s="52">
        <v>0.02</v>
      </c>
      <c r="Y43" s="52">
        <v>7.79</v>
      </c>
      <c r="Z43" s="52">
        <v>98.83</v>
      </c>
      <c r="AA43" s="52">
        <v>16</v>
      </c>
      <c r="AB43" s="52">
        <v>1</v>
      </c>
      <c r="AC43" s="52">
        <v>110</v>
      </c>
      <c r="AD43" s="52">
        <v>0</v>
      </c>
      <c r="AE43" s="52">
        <v>8</v>
      </c>
      <c r="AF43" s="52">
        <v>0</v>
      </c>
      <c r="AG43" s="52">
        <v>30</v>
      </c>
      <c r="AH43" s="52">
        <v>60</v>
      </c>
      <c r="AI43" s="52">
        <v>25</v>
      </c>
      <c r="AJ43" s="52">
        <v>2</v>
      </c>
      <c r="AK43" s="52">
        <v>0</v>
      </c>
      <c r="AL43" s="52">
        <v>116</v>
      </c>
      <c r="AM43" s="52">
        <v>89</v>
      </c>
      <c r="AN43" s="68">
        <f>'O.G.Chem Results'!AN43/'O.G.Chem Results'!$AN$142</f>
        <v>5.1282051282051277</v>
      </c>
      <c r="AO43" s="52">
        <v>226</v>
      </c>
      <c r="AP43" s="52">
        <v>8</v>
      </c>
      <c r="AQ43" s="52" t="s">
        <v>72</v>
      </c>
      <c r="AR43" s="52" t="s">
        <v>74</v>
      </c>
      <c r="AS43" s="52" t="s">
        <v>73</v>
      </c>
      <c r="AT43" s="52">
        <v>2</v>
      </c>
      <c r="AU43" s="52" t="s">
        <v>74</v>
      </c>
      <c r="AV43" s="52">
        <v>2.6</v>
      </c>
      <c r="AW43" s="52">
        <v>391</v>
      </c>
      <c r="AX43" s="52" t="s">
        <v>75</v>
      </c>
      <c r="AY43" s="68">
        <f>'O.G.Chem Results'!AY43/'O.G.Chem Results'!AY$142</f>
        <v>174.04255319148936</v>
      </c>
      <c r="AZ43" s="68">
        <f>'O.G.Chem Results'!AZ43/'O.G.Chem Results'!AZ$142</f>
        <v>311.67108753315648</v>
      </c>
      <c r="BA43" s="68">
        <f>'O.G.Chem Results'!BA43/'O.G.Chem Results'!BA$142</f>
        <v>97.53086419753086</v>
      </c>
      <c r="BB43" s="68">
        <f>'O.G.Chem Results'!BB43/'O.G.Chem Results'!BB$142</f>
        <v>61.671087533156502</v>
      </c>
      <c r="BC43" s="68">
        <f>'O.G.Chem Results'!BC43/'O.G.Chem Results'!BC$142</f>
        <v>25.832766825288921</v>
      </c>
      <c r="BD43" s="68">
        <f>'O.G.Chem Results'!BD43/'O.G.Chem Results'!BD$142</f>
        <v>12.678571428571427</v>
      </c>
      <c r="BE43" s="68">
        <f>'O.G.Chem Results'!BE43/'O.G.Chem Results'!BE$142</f>
        <v>11.931818181818183</v>
      </c>
      <c r="BF43" s="68">
        <f>'O.G.Chem Results'!BF43/'O.G.Chem Results'!BF$142</f>
        <v>8.2644628099173545</v>
      </c>
      <c r="BG43" s="68">
        <f>'O.G.Chem Results'!BG43/'O.G.Chem Results'!BG$142</f>
        <v>6.592501030078286</v>
      </c>
      <c r="BH43" s="68">
        <f>'O.G.Chem Results'!BH43/'O.G.Chem Results'!BH$142</f>
        <v>5.3956834532374094</v>
      </c>
      <c r="BI43" s="68">
        <f>'O.G.Chem Results'!BI43/'O.G.Chem Results'!BI$142</f>
        <v>6.293266205160478</v>
      </c>
      <c r="BJ43" s="68">
        <f>'O.G.Chem Results'!BJ43/'O.G.Chem Results'!BJ$142</f>
        <v>6.6115702479338845</v>
      </c>
      <c r="BK43" s="68">
        <f>'O.G.Chem Results'!BK43/'O.G.Chem Results'!BK$142</f>
        <v>6.7692307692307692</v>
      </c>
      <c r="BL43" s="68">
        <f>'O.G.Chem Results'!BL43/'O.G.Chem Results'!BL$142</f>
        <v>7.8189300411522629</v>
      </c>
      <c r="BM43" s="52">
        <v>5.2</v>
      </c>
      <c r="BN43" s="52">
        <v>0.7</v>
      </c>
      <c r="BO43" s="52">
        <v>0</v>
      </c>
      <c r="BP43" s="52">
        <v>0.6</v>
      </c>
      <c r="BQ43" s="52">
        <v>27</v>
      </c>
      <c r="BR43" s="52">
        <v>39.1</v>
      </c>
      <c r="BS43" s="52">
        <v>3</v>
      </c>
      <c r="BT43" s="53">
        <f t="shared" si="24"/>
        <v>0.64167662054573593</v>
      </c>
      <c r="BU43" s="280">
        <f t="shared" si="25"/>
        <v>743.10439344772215</v>
      </c>
      <c r="BV43" s="54">
        <f t="shared" si="26"/>
        <v>66</v>
      </c>
      <c r="BW43" s="71">
        <f t="shared" si="22"/>
        <v>84.570920409070695</v>
      </c>
      <c r="BX43" s="69">
        <f t="shared" si="11"/>
        <v>3.1956149481247693</v>
      </c>
      <c r="BY43" s="53">
        <v>11.66</v>
      </c>
      <c r="BZ43" s="53">
        <v>0.44500000000000001</v>
      </c>
      <c r="CA43" s="53">
        <v>32.17</v>
      </c>
      <c r="CB43" s="53">
        <v>8.160400000000001</v>
      </c>
      <c r="CC43" s="53">
        <v>0.70960000000000012</v>
      </c>
      <c r="CD43" s="53">
        <v>0</v>
      </c>
      <c r="CE43" s="53">
        <v>0</v>
      </c>
      <c r="CF43" s="53">
        <v>0</v>
      </c>
      <c r="CG43" s="53">
        <v>0</v>
      </c>
      <c r="CH43" s="53">
        <v>3.0599999999999996</v>
      </c>
      <c r="CI43" s="53">
        <v>2.0099999999999998</v>
      </c>
      <c r="CJ43" s="53">
        <v>0</v>
      </c>
      <c r="CK43" s="53">
        <v>34.42</v>
      </c>
      <c r="CL43" s="53">
        <v>0</v>
      </c>
      <c r="CM43" s="53">
        <v>0</v>
      </c>
      <c r="CN43" s="53">
        <v>0</v>
      </c>
      <c r="CO43" s="53">
        <v>5.0949999999999998</v>
      </c>
      <c r="CP43" s="53">
        <v>1.7949999999999999</v>
      </c>
      <c r="CQ43" s="53">
        <v>0</v>
      </c>
      <c r="CR43" s="53">
        <v>0</v>
      </c>
      <c r="CS43" s="53">
        <v>0</v>
      </c>
      <c r="CT43" s="53">
        <v>0</v>
      </c>
      <c r="CU43" s="53">
        <v>0</v>
      </c>
      <c r="CV43" s="53">
        <v>0</v>
      </c>
      <c r="CW43" s="53">
        <v>0</v>
      </c>
      <c r="CX43" s="53">
        <v>0</v>
      </c>
      <c r="CY43" s="280">
        <v>99.52500000000002</v>
      </c>
      <c r="CZ43" s="284">
        <v>0.36799359414321664</v>
      </c>
      <c r="DA43" s="284">
        <v>9.3347060169297655E-2</v>
      </c>
      <c r="DB43" s="284">
        <v>8.1171356668954479E-3</v>
      </c>
      <c r="DC43" s="284">
        <v>0</v>
      </c>
      <c r="DD43" s="284">
        <v>0</v>
      </c>
      <c r="DE43" s="284">
        <v>0</v>
      </c>
      <c r="DF43" s="284">
        <v>0</v>
      </c>
      <c r="DG43" s="284">
        <v>3.5003431708991076E-2</v>
      </c>
      <c r="DH43" s="284">
        <v>2.2992450240219627E-2</v>
      </c>
      <c r="DI43" s="284">
        <v>0</v>
      </c>
      <c r="DJ43" s="284">
        <v>0.39373141157629832</v>
      </c>
      <c r="DK43" s="284">
        <v>0</v>
      </c>
      <c r="DL43" s="284">
        <v>0</v>
      </c>
      <c r="DM43" s="284">
        <v>0</v>
      </c>
      <c r="DN43" s="284">
        <v>5.8281857698467165E-2</v>
      </c>
      <c r="DO43" s="284">
        <v>2.0533058796614045E-2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v>0</v>
      </c>
      <c r="DV43" s="284">
        <v>0</v>
      </c>
      <c r="DW43" s="284">
        <v>0</v>
      </c>
      <c r="DX43" s="53">
        <v>1</v>
      </c>
      <c r="DY43" s="71">
        <v>65.093833516873929</v>
      </c>
      <c r="DZ43" s="71">
        <v>20.662945204747928</v>
      </c>
      <c r="EA43" s="71">
        <v>3.5319257678774472</v>
      </c>
      <c r="EB43" s="71">
        <v>0.99903705187526592</v>
      </c>
      <c r="EC43" s="71">
        <v>0</v>
      </c>
      <c r="ED43" s="71">
        <v>0.37415599844092445</v>
      </c>
      <c r="EE43" s="71">
        <v>8.029588986045999E-3</v>
      </c>
      <c r="EF43" s="71">
        <v>9.5963847830118604E-2</v>
      </c>
      <c r="EG43" s="71">
        <v>2.1352234093696913</v>
      </c>
      <c r="EH43" s="71">
        <v>0.12584624558357696</v>
      </c>
      <c r="EI43" s="71">
        <v>0</v>
      </c>
      <c r="EJ43" s="71">
        <v>6.9730393684150824</v>
      </c>
      <c r="EK43" s="71">
        <v>0</v>
      </c>
      <c r="EL43" s="71">
        <v>100</v>
      </c>
      <c r="EM43" s="53">
        <v>90.222683599889393</v>
      </c>
      <c r="EN43" s="53" t="s">
        <v>102</v>
      </c>
      <c r="EO43" s="288">
        <v>4.6208761544214876E-2</v>
      </c>
      <c r="EP43" s="257">
        <f t="shared" si="12"/>
        <v>4.6208761544214871</v>
      </c>
      <c r="EQ43" s="257">
        <f t="shared" si="13"/>
        <v>71.475113122171962</v>
      </c>
      <c r="ER43" s="324">
        <f t="shared" si="14"/>
        <v>0.67145297247065661</v>
      </c>
      <c r="ES43" s="257">
        <f t="shared" si="15"/>
        <v>2.2818770685644321</v>
      </c>
      <c r="ET43">
        <f t="shared" si="8"/>
        <v>66</v>
      </c>
      <c r="EU43" s="324">
        <f t="shared" si="16"/>
        <v>0.29425466503902387</v>
      </c>
      <c r="EV43" s="39">
        <f t="shared" si="17"/>
        <v>163.54</v>
      </c>
      <c r="EW43"/>
      <c r="EX43">
        <f t="shared" si="18"/>
        <v>0.95042735042735049</v>
      </c>
      <c r="EY43"/>
      <c r="EZ43"/>
      <c r="FA43"/>
      <c r="FB43"/>
      <c r="FC43"/>
      <c r="FD43"/>
    </row>
    <row r="44" spans="1:160" s="54" customFormat="1" ht="13" customHeight="1" x14ac:dyDescent="0.2">
      <c r="A44" s="49" t="s">
        <v>103</v>
      </c>
      <c r="B44" s="50" t="s">
        <v>462</v>
      </c>
      <c r="C44" s="275">
        <f t="shared" si="27"/>
        <v>163.36499999999998</v>
      </c>
      <c r="D44" s="51">
        <v>77</v>
      </c>
      <c r="E44" s="51">
        <v>90</v>
      </c>
      <c r="F44" s="51">
        <f t="shared" si="23"/>
        <v>83.5</v>
      </c>
      <c r="G44" s="83" t="s">
        <v>507</v>
      </c>
      <c r="H44" s="84">
        <v>2.5</v>
      </c>
      <c r="I44" s="85">
        <v>4</v>
      </c>
      <c r="J44" s="85">
        <v>6</v>
      </c>
      <c r="K44" s="89">
        <f t="shared" si="20"/>
        <v>1.6666666666666667</v>
      </c>
      <c r="L44" s="51">
        <v>140</v>
      </c>
      <c r="M44" s="51">
        <v>81</v>
      </c>
      <c r="N44" s="51">
        <v>54</v>
      </c>
      <c r="O44" s="52">
        <v>57.8</v>
      </c>
      <c r="P44" s="52">
        <v>20.53</v>
      </c>
      <c r="Q44" s="52">
        <v>8.1999999999999993</v>
      </c>
      <c r="R44" s="52">
        <v>5.2999999999999999E-2</v>
      </c>
      <c r="S44" s="52">
        <v>1.02</v>
      </c>
      <c r="T44" s="52">
        <v>7.0000000000000007E-2</v>
      </c>
      <c r="U44" s="52">
        <v>0.06</v>
      </c>
      <c r="V44" s="52">
        <v>1.36</v>
      </c>
      <c r="W44" s="52">
        <v>0.64300000000000002</v>
      </c>
      <c r="X44" s="52">
        <v>0.03</v>
      </c>
      <c r="Y44" s="52">
        <v>9.57</v>
      </c>
      <c r="Z44" s="52">
        <v>99.33</v>
      </c>
      <c r="AA44" s="52">
        <v>19</v>
      </c>
      <c r="AB44" s="52">
        <v>2</v>
      </c>
      <c r="AC44" s="52">
        <v>152</v>
      </c>
      <c r="AD44" s="52">
        <v>0</v>
      </c>
      <c r="AE44" s="52">
        <v>11</v>
      </c>
      <c r="AF44" s="52">
        <v>0</v>
      </c>
      <c r="AG44" s="52">
        <v>40</v>
      </c>
      <c r="AH44" s="52">
        <v>80</v>
      </c>
      <c r="AI44" s="52">
        <v>26</v>
      </c>
      <c r="AJ44" s="52">
        <v>2</v>
      </c>
      <c r="AK44" s="52">
        <v>0</v>
      </c>
      <c r="AL44" s="52">
        <v>96</v>
      </c>
      <c r="AM44" s="52">
        <v>18</v>
      </c>
      <c r="AN44" s="68">
        <f>'O.G.Chem Results'!AN44/'O.G.Chem Results'!$AN$142</f>
        <v>6.4102564102564097</v>
      </c>
      <c r="AO44" s="52">
        <v>137</v>
      </c>
      <c r="AP44" s="52">
        <v>6</v>
      </c>
      <c r="AQ44" s="52" t="s">
        <v>72</v>
      </c>
      <c r="AR44" s="52" t="s">
        <v>74</v>
      </c>
      <c r="AS44" s="52" t="s">
        <v>73</v>
      </c>
      <c r="AT44" s="52">
        <v>3</v>
      </c>
      <c r="AU44" s="52" t="s">
        <v>74</v>
      </c>
      <c r="AV44" s="52">
        <v>3</v>
      </c>
      <c r="AW44" s="52">
        <v>139</v>
      </c>
      <c r="AX44" s="52" t="s">
        <v>75</v>
      </c>
      <c r="AY44" s="68">
        <f>'O.G.Chem Results'!AY44/'O.G.Chem Results'!AY$142</f>
        <v>255.31914893617022</v>
      </c>
      <c r="AZ44" s="68">
        <f>'O.G.Chem Results'!AZ44/'O.G.Chem Results'!AZ$142</f>
        <v>141.7440318302387</v>
      </c>
      <c r="BA44" s="68">
        <f>'O.G.Chem Results'!BA44/'O.G.Chem Results'!BA$142</f>
        <v>150.39281705948372</v>
      </c>
      <c r="BB44" s="68">
        <f>'O.G.Chem Results'!BB44/'O.G.Chem Results'!BB$142</f>
        <v>99.469496021220166</v>
      </c>
      <c r="BC44" s="68">
        <f>'O.G.Chem Results'!BC44/'O.G.Chem Results'!BC$142</f>
        <v>39.428959891230463</v>
      </c>
      <c r="BD44" s="68">
        <f>'O.G.Chem Results'!BD44/'O.G.Chem Results'!BD$142</f>
        <v>18.392857142857142</v>
      </c>
      <c r="BE44" s="68">
        <f>'O.G.Chem Results'!BE44/'O.G.Chem Results'!BE$142</f>
        <v>17.613636363636367</v>
      </c>
      <c r="BF44" s="68">
        <f>'O.G.Chem Results'!BF44/'O.G.Chem Results'!BF$142</f>
        <v>11.019283746556475</v>
      </c>
      <c r="BG44" s="68">
        <f>'O.G.Chem Results'!BG44/'O.G.Chem Results'!BG$142</f>
        <v>9.0646889163576443</v>
      </c>
      <c r="BH44" s="68">
        <f>'O.G.Chem Results'!BH44/'O.G.Chem Results'!BH$142</f>
        <v>7.1942446043165464</v>
      </c>
      <c r="BI44" s="68">
        <f>'O.G.Chem Results'!BI44/'O.G.Chem Results'!BI$142</f>
        <v>8.1812460667086206</v>
      </c>
      <c r="BJ44" s="68">
        <f>'O.G.Chem Results'!BJ44/'O.G.Chem Results'!BJ$142</f>
        <v>7.8512396694214877</v>
      </c>
      <c r="BK44" s="68">
        <f>'O.G.Chem Results'!BK44/'O.G.Chem Results'!BK$142</f>
        <v>8</v>
      </c>
      <c r="BL44" s="68">
        <f>'O.G.Chem Results'!BL44/'O.G.Chem Results'!BL$142</f>
        <v>8.6419753086419746</v>
      </c>
      <c r="BM44" s="52">
        <v>3.4</v>
      </c>
      <c r="BN44" s="52">
        <v>0.5</v>
      </c>
      <c r="BO44" s="52">
        <v>0</v>
      </c>
      <c r="BP44" s="52">
        <v>0.5</v>
      </c>
      <c r="BQ44" s="52">
        <v>20</v>
      </c>
      <c r="BR44" s="52">
        <v>24.4</v>
      </c>
      <c r="BS44" s="52">
        <v>2.6</v>
      </c>
      <c r="BT44" s="53">
        <f t="shared" si="24"/>
        <v>0.35698105162167199</v>
      </c>
      <c r="BU44" s="280">
        <f t="shared" si="25"/>
        <v>782.31362555683927</v>
      </c>
      <c r="BV44" s="54">
        <f t="shared" si="26"/>
        <v>83.5</v>
      </c>
      <c r="BW44" s="71">
        <f t="shared" si="22"/>
        <v>93.233424159854678</v>
      </c>
      <c r="BX44" s="69">
        <f t="shared" si="11"/>
        <v>0.94249203254285585</v>
      </c>
      <c r="BY44" s="53">
        <v>11.92</v>
      </c>
      <c r="BZ44" s="53">
        <v>0.64</v>
      </c>
      <c r="CA44" s="53">
        <v>35.995000000000005</v>
      </c>
      <c r="CB44" s="53">
        <v>6.3065999999999995</v>
      </c>
      <c r="CC44" s="53">
        <v>0.5484</v>
      </c>
      <c r="CD44" s="53">
        <v>0</v>
      </c>
      <c r="CE44" s="53">
        <v>0</v>
      </c>
      <c r="CF44" s="53">
        <v>0</v>
      </c>
      <c r="CG44" s="53">
        <v>0</v>
      </c>
      <c r="CH44" s="53">
        <v>2.5299999999999998</v>
      </c>
      <c r="CI44" s="53">
        <v>1.71</v>
      </c>
      <c r="CJ44" s="53">
        <v>0</v>
      </c>
      <c r="CK44" s="53">
        <v>34.49</v>
      </c>
      <c r="CL44" s="53">
        <v>0</v>
      </c>
      <c r="CM44" s="53">
        <v>0</v>
      </c>
      <c r="CN44" s="53">
        <v>0</v>
      </c>
      <c r="CO44" s="53">
        <v>5.42</v>
      </c>
      <c r="CP44" s="53">
        <v>2.4</v>
      </c>
      <c r="CQ44" s="53">
        <v>0</v>
      </c>
      <c r="CR44" s="53">
        <v>0</v>
      </c>
      <c r="CS44" s="53">
        <v>0</v>
      </c>
      <c r="CT44" s="53">
        <v>0</v>
      </c>
      <c r="CU44" s="53">
        <v>0</v>
      </c>
      <c r="CV44" s="53">
        <v>0</v>
      </c>
      <c r="CW44" s="53">
        <v>0</v>
      </c>
      <c r="CX44" s="53">
        <v>0</v>
      </c>
      <c r="CY44" s="280">
        <v>101.96000000000002</v>
      </c>
      <c r="CZ44" s="284">
        <v>0.40262863534675614</v>
      </c>
      <c r="DA44" s="284">
        <v>7.0543624161073806E-2</v>
      </c>
      <c r="DB44" s="284">
        <v>6.1342281879194615E-3</v>
      </c>
      <c r="DC44" s="284">
        <v>0</v>
      </c>
      <c r="DD44" s="284">
        <v>0</v>
      </c>
      <c r="DE44" s="284">
        <v>0</v>
      </c>
      <c r="DF44" s="284">
        <v>0</v>
      </c>
      <c r="DG44" s="284">
        <v>2.829977628635346E-2</v>
      </c>
      <c r="DH44" s="284">
        <v>1.9127516778523486E-2</v>
      </c>
      <c r="DI44" s="284">
        <v>0</v>
      </c>
      <c r="DJ44" s="284">
        <v>0.38579418344519012</v>
      </c>
      <c r="DK44" s="284">
        <v>0</v>
      </c>
      <c r="DL44" s="284">
        <v>0</v>
      </c>
      <c r="DM44" s="284">
        <v>0</v>
      </c>
      <c r="DN44" s="284">
        <v>6.0626398210290811E-2</v>
      </c>
      <c r="DO44" s="284">
        <v>2.684563758389261E-2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v>0</v>
      </c>
      <c r="DV44" s="284">
        <v>0</v>
      </c>
      <c r="DW44" s="284">
        <v>0</v>
      </c>
      <c r="DX44" s="53">
        <v>0.99999999999999989</v>
      </c>
      <c r="DY44" s="71">
        <v>67.001278987772778</v>
      </c>
      <c r="DZ44" s="71">
        <v>19.828283222347096</v>
      </c>
      <c r="EA44" s="71">
        <v>2.9593005030549153</v>
      </c>
      <c r="EB44" s="71">
        <v>1.0638500743052524</v>
      </c>
      <c r="EC44" s="71">
        <v>0</v>
      </c>
      <c r="ED44" s="71">
        <v>0.40283862360174333</v>
      </c>
      <c r="EE44" s="71">
        <v>8.3526002525789976E-3</v>
      </c>
      <c r="EF44" s="71">
        <v>7.2521165659643727E-2</v>
      </c>
      <c r="EG44" s="71">
        <v>1.8353302908155844</v>
      </c>
      <c r="EH44" s="71">
        <v>0.13090874071813691</v>
      </c>
      <c r="EI44" s="71">
        <v>0</v>
      </c>
      <c r="EJ44" s="71">
        <v>6.6973357914722547</v>
      </c>
      <c r="EK44" s="71">
        <v>0</v>
      </c>
      <c r="EL44" s="71">
        <v>100</v>
      </c>
      <c r="EM44" s="53">
        <v>91.187632837074048</v>
      </c>
      <c r="EN44" s="53" t="s">
        <v>103</v>
      </c>
      <c r="EO44" s="288">
        <v>4.1188970840476402E-2</v>
      </c>
      <c r="EP44" s="257">
        <f t="shared" si="12"/>
        <v>4.1188970840476404</v>
      </c>
      <c r="EQ44" s="257">
        <f t="shared" si="13"/>
        <v>72.521299503791781</v>
      </c>
      <c r="ER44" s="324">
        <f t="shared" si="14"/>
        <v>0.64488148683407365</v>
      </c>
      <c r="ES44" s="257">
        <f t="shared" si="15"/>
        <v>0.69697863188566656</v>
      </c>
      <c r="ET44">
        <f t="shared" si="8"/>
        <v>83.5</v>
      </c>
      <c r="EU44" s="324">
        <f t="shared" si="16"/>
        <v>0.92525288055008981</v>
      </c>
      <c r="EV44" s="39">
        <f t="shared" si="17"/>
        <v>163.36499999999998</v>
      </c>
      <c r="EW44"/>
      <c r="EX44">
        <f t="shared" si="18"/>
        <v>0.89102564102564097</v>
      </c>
      <c r="EY44"/>
      <c r="EZ44"/>
      <c r="FA44"/>
      <c r="FB44"/>
      <c r="FC44"/>
      <c r="FD44"/>
    </row>
    <row r="45" spans="1:160" s="54" customFormat="1" ht="13" customHeight="1" x14ac:dyDescent="0.2">
      <c r="A45" s="49" t="s">
        <v>104</v>
      </c>
      <c r="B45" s="50" t="s">
        <v>462</v>
      </c>
      <c r="C45" s="275">
        <f t="shared" si="27"/>
        <v>163.19999999999999</v>
      </c>
      <c r="D45" s="51">
        <v>90</v>
      </c>
      <c r="E45" s="51">
        <v>110</v>
      </c>
      <c r="F45" s="51">
        <f t="shared" si="23"/>
        <v>100</v>
      </c>
      <c r="G45" s="83" t="s">
        <v>522</v>
      </c>
      <c r="H45" s="84">
        <v>2.5</v>
      </c>
      <c r="I45" s="85">
        <v>5</v>
      </c>
      <c r="J45" s="85">
        <v>8</v>
      </c>
      <c r="K45" s="89">
        <f t="shared" si="20"/>
        <v>1.5625</v>
      </c>
      <c r="L45" s="51">
        <v>179</v>
      </c>
      <c r="M45" s="51">
        <v>101</v>
      </c>
      <c r="N45" s="51">
        <v>61</v>
      </c>
      <c r="O45" s="52">
        <v>65.05</v>
      </c>
      <c r="P45" s="52">
        <v>18.170000000000002</v>
      </c>
      <c r="Q45" s="52">
        <v>5.99</v>
      </c>
      <c r="R45" s="52">
        <v>3.7999999999999999E-2</v>
      </c>
      <c r="S45" s="52">
        <v>0.76</v>
      </c>
      <c r="T45" s="52">
        <v>0.04</v>
      </c>
      <c r="U45" s="52">
        <v>0.14000000000000001</v>
      </c>
      <c r="V45" s="52">
        <v>2.83</v>
      </c>
      <c r="W45" s="52">
        <v>0.56399999999999995</v>
      </c>
      <c r="X45" s="52">
        <v>0</v>
      </c>
      <c r="Y45" s="52">
        <v>6.7</v>
      </c>
      <c r="Z45" s="52">
        <v>100.3</v>
      </c>
      <c r="AA45" s="52">
        <v>13</v>
      </c>
      <c r="AB45" s="52">
        <v>1</v>
      </c>
      <c r="AC45" s="52">
        <v>99</v>
      </c>
      <c r="AD45" s="52">
        <v>0</v>
      </c>
      <c r="AE45" s="52">
        <v>7</v>
      </c>
      <c r="AF45" s="52">
        <v>0</v>
      </c>
      <c r="AG45" s="52">
        <v>30</v>
      </c>
      <c r="AH45" s="52">
        <v>70</v>
      </c>
      <c r="AI45" s="52">
        <v>24</v>
      </c>
      <c r="AJ45" s="52">
        <v>2</v>
      </c>
      <c r="AK45" s="52">
        <v>0</v>
      </c>
      <c r="AL45" s="52">
        <v>112</v>
      </c>
      <c r="AM45" s="52">
        <v>68</v>
      </c>
      <c r="AN45" s="68">
        <f>'O.G.Chem Results'!AN45/'O.G.Chem Results'!$AN$142</f>
        <v>6.4102564102564097</v>
      </c>
      <c r="AO45" s="52">
        <v>223</v>
      </c>
      <c r="AP45" s="52">
        <v>6</v>
      </c>
      <c r="AQ45" s="52" t="s">
        <v>72</v>
      </c>
      <c r="AR45" s="52" t="s">
        <v>74</v>
      </c>
      <c r="AS45" s="52" t="s">
        <v>73</v>
      </c>
      <c r="AT45" s="52">
        <v>2</v>
      </c>
      <c r="AU45" s="52" t="s">
        <v>74</v>
      </c>
      <c r="AV45" s="52">
        <v>2.4</v>
      </c>
      <c r="AW45" s="52">
        <v>328</v>
      </c>
      <c r="AX45" s="52" t="s">
        <v>75</v>
      </c>
      <c r="AY45" s="68">
        <f>'O.G.Chem Results'!AY45/'O.G.Chem Results'!AY$142</f>
        <v>233.19148936170214</v>
      </c>
      <c r="AZ45" s="68">
        <f>'O.G.Chem Results'!AZ45/'O.G.Chem Results'!AZ$142</f>
        <v>172.41379310344826</v>
      </c>
      <c r="BA45" s="68">
        <f>'O.G.Chem Results'!BA45/'O.G.Chem Results'!BA$142</f>
        <v>138.04713804713805</v>
      </c>
      <c r="BB45" s="68">
        <f>'O.G.Chem Results'!BB45/'O.G.Chem Results'!BB$142</f>
        <v>88.196286472148543</v>
      </c>
      <c r="BC45" s="68">
        <f>'O.G.Chem Results'!BC45/'O.G.Chem Results'!BC$142</f>
        <v>35.350101971447998</v>
      </c>
      <c r="BD45" s="68">
        <f>'O.G.Chem Results'!BD45/'O.G.Chem Results'!BD$142</f>
        <v>15.357142857142856</v>
      </c>
      <c r="BE45" s="68">
        <f>'O.G.Chem Results'!BE45/'O.G.Chem Results'!BE$142</f>
        <v>14.204545454545455</v>
      </c>
      <c r="BF45" s="68">
        <f>'O.G.Chem Results'!BF45/'O.G.Chem Results'!BF$142</f>
        <v>8.2644628099173545</v>
      </c>
      <c r="BG45" s="68">
        <f>'O.G.Chem Results'!BG45/'O.G.Chem Results'!BG$142</f>
        <v>7.8285949732179638</v>
      </c>
      <c r="BH45" s="68">
        <f>'O.G.Chem Results'!BH45/'O.G.Chem Results'!BH$142</f>
        <v>7.1942446043165464</v>
      </c>
      <c r="BI45" s="68">
        <f>'O.G.Chem Results'!BI45/'O.G.Chem Results'!BI$142</f>
        <v>6.9225928256765261</v>
      </c>
      <c r="BJ45" s="68">
        <f>'O.G.Chem Results'!BJ45/'O.G.Chem Results'!BJ$142</f>
        <v>7.0247933884297531</v>
      </c>
      <c r="BK45" s="68">
        <f>'O.G.Chem Results'!BK45/'O.G.Chem Results'!BK$142</f>
        <v>6.7692307692307692</v>
      </c>
      <c r="BL45" s="68">
        <f>'O.G.Chem Results'!BL45/'O.G.Chem Results'!BL$142</f>
        <v>7.8189300411522629</v>
      </c>
      <c r="BM45" s="52">
        <v>5.5</v>
      </c>
      <c r="BN45" s="52">
        <v>0.4</v>
      </c>
      <c r="BO45" s="52">
        <v>0</v>
      </c>
      <c r="BP45" s="52">
        <v>0.6</v>
      </c>
      <c r="BQ45" s="52">
        <v>23</v>
      </c>
      <c r="BR45" s="52">
        <v>32.6</v>
      </c>
      <c r="BS45" s="52">
        <v>2.2000000000000002</v>
      </c>
      <c r="BT45" s="53">
        <f t="shared" si="24"/>
        <v>0.4250777801895666</v>
      </c>
      <c r="BU45" s="280">
        <f t="shared" si="25"/>
        <v>748.58334667951453</v>
      </c>
      <c r="BV45" s="54">
        <f t="shared" si="26"/>
        <v>100</v>
      </c>
      <c r="BW45" s="71">
        <f t="shared" si="22"/>
        <v>85.788479697828151</v>
      </c>
      <c r="BX45" s="69">
        <f t="shared" si="11"/>
        <v>1.2489486963835155</v>
      </c>
      <c r="BY45" s="53">
        <v>9.9749999999999996</v>
      </c>
      <c r="BZ45" s="53">
        <v>1.0049999999999999</v>
      </c>
      <c r="CA45" s="53">
        <v>39.42</v>
      </c>
      <c r="CB45" s="53">
        <v>19.494800000000001</v>
      </c>
      <c r="CC45" s="53">
        <v>1.6952</v>
      </c>
      <c r="CD45" s="53">
        <v>0</v>
      </c>
      <c r="CE45" s="53">
        <v>0</v>
      </c>
      <c r="CF45" s="53">
        <v>0</v>
      </c>
      <c r="CG45" s="53">
        <v>0</v>
      </c>
      <c r="CH45" s="53">
        <v>0.875</v>
      </c>
      <c r="CI45" s="53">
        <v>0.28000000000000003</v>
      </c>
      <c r="CJ45" s="53">
        <v>0</v>
      </c>
      <c r="CK45" s="53">
        <v>23.094999999999999</v>
      </c>
      <c r="CL45" s="53">
        <v>0</v>
      </c>
      <c r="CM45" s="53">
        <v>0</v>
      </c>
      <c r="CN45" s="53">
        <v>0</v>
      </c>
      <c r="CO45" s="53">
        <v>2.2850000000000001</v>
      </c>
      <c r="CP45" s="53">
        <v>1.9</v>
      </c>
      <c r="CQ45" s="53">
        <v>0</v>
      </c>
      <c r="CR45" s="53">
        <v>0</v>
      </c>
      <c r="CS45" s="53">
        <v>0</v>
      </c>
      <c r="CT45" s="53">
        <v>0</v>
      </c>
      <c r="CU45" s="53">
        <v>0</v>
      </c>
      <c r="CV45" s="53">
        <v>0</v>
      </c>
      <c r="CW45" s="53">
        <v>0</v>
      </c>
      <c r="CX45" s="53">
        <v>0</v>
      </c>
      <c r="CY45" s="280">
        <v>100.02500000000001</v>
      </c>
      <c r="CZ45" s="284">
        <v>0.442697512493683</v>
      </c>
      <c r="DA45" s="284">
        <v>0.21893200067381663</v>
      </c>
      <c r="DB45" s="284">
        <v>1.9037565275984054E-2</v>
      </c>
      <c r="DC45" s="284">
        <v>0</v>
      </c>
      <c r="DD45" s="284">
        <v>0</v>
      </c>
      <c r="DE45" s="284">
        <v>0</v>
      </c>
      <c r="DF45" s="284">
        <v>0</v>
      </c>
      <c r="DG45" s="284">
        <v>9.8264922230332976E-3</v>
      </c>
      <c r="DH45" s="284">
        <v>3.1444775113706556E-3</v>
      </c>
      <c r="DI45" s="284">
        <v>0</v>
      </c>
      <c r="DJ45" s="284">
        <v>0.25936324330394744</v>
      </c>
      <c r="DK45" s="284">
        <v>0</v>
      </c>
      <c r="DL45" s="284">
        <v>0</v>
      </c>
      <c r="DM45" s="284">
        <v>0</v>
      </c>
      <c r="DN45" s="284">
        <v>2.5661182548149811E-2</v>
      </c>
      <c r="DO45" s="284">
        <v>2.1337525970015158E-2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v>0</v>
      </c>
      <c r="DV45" s="284">
        <v>0</v>
      </c>
      <c r="DW45" s="284">
        <v>0</v>
      </c>
      <c r="DX45" s="53">
        <v>1.0000000000000002</v>
      </c>
      <c r="DY45" s="71">
        <v>73.922183278573598</v>
      </c>
      <c r="DZ45" s="71">
        <v>15.772565494775193</v>
      </c>
      <c r="EA45" s="71">
        <v>1.2204688244282158</v>
      </c>
      <c r="EB45" s="71">
        <v>0.49505996870172991</v>
      </c>
      <c r="EC45" s="71">
        <v>0</v>
      </c>
      <c r="ED45" s="71">
        <v>0.19529012709675977</v>
      </c>
      <c r="EE45" s="71">
        <v>3.5353840267682256E-3</v>
      </c>
      <c r="EF45" s="71">
        <v>0.22506929687664359</v>
      </c>
      <c r="EG45" s="71">
        <v>4.0926981530012538</v>
      </c>
      <c r="EH45" s="71">
        <v>5.540941226731684E-2</v>
      </c>
      <c r="EI45" s="71">
        <v>0</v>
      </c>
      <c r="EJ45" s="71">
        <v>4.0177200602525316</v>
      </c>
      <c r="EK45" s="71">
        <v>0</v>
      </c>
      <c r="EL45" s="71">
        <v>99.999999999999986</v>
      </c>
      <c r="EM45" s="53">
        <v>78.494420470861286</v>
      </c>
      <c r="EN45" s="53" t="s">
        <v>104</v>
      </c>
      <c r="EO45" s="288">
        <v>1.7600841903131013E-2</v>
      </c>
      <c r="EP45" s="257">
        <f t="shared" si="12"/>
        <v>1.7600841903131013</v>
      </c>
      <c r="EQ45" s="257">
        <f t="shared" si="13"/>
        <v>48.86649874055415</v>
      </c>
      <c r="ER45" s="324">
        <f t="shared" si="14"/>
        <v>0.61980636145490575</v>
      </c>
      <c r="ES45" s="257">
        <f t="shared" si="15"/>
        <v>0.93267349100756203</v>
      </c>
      <c r="ET45">
        <f t="shared" si="8"/>
        <v>100</v>
      </c>
      <c r="EU45" s="324">
        <f t="shared" si="16"/>
        <v>0.66454806256510235</v>
      </c>
      <c r="EV45" s="39">
        <f t="shared" si="17"/>
        <v>163.19999999999999</v>
      </c>
      <c r="EW45"/>
      <c r="EX45">
        <f t="shared" si="18"/>
        <v>0.89102564102564097</v>
      </c>
      <c r="EY45"/>
      <c r="EZ45"/>
      <c r="FA45"/>
      <c r="FB45"/>
      <c r="FC45"/>
      <c r="FD45"/>
    </row>
    <row r="46" spans="1:160" s="54" customFormat="1" ht="13" customHeight="1" x14ac:dyDescent="0.2">
      <c r="A46" s="49" t="s">
        <v>105</v>
      </c>
      <c r="B46" s="50" t="s">
        <v>462</v>
      </c>
      <c r="C46" s="275">
        <f t="shared" si="27"/>
        <v>163.01499999999999</v>
      </c>
      <c r="D46" s="51">
        <v>110</v>
      </c>
      <c r="E46" s="51">
        <v>127</v>
      </c>
      <c r="F46" s="51">
        <f t="shared" si="23"/>
        <v>118.5</v>
      </c>
      <c r="G46" s="83" t="s">
        <v>516</v>
      </c>
      <c r="H46" s="84">
        <v>10</v>
      </c>
      <c r="I46" s="85">
        <v>5</v>
      </c>
      <c r="J46" s="85">
        <v>4</v>
      </c>
      <c r="K46" s="89">
        <f t="shared" si="20"/>
        <v>12.5</v>
      </c>
      <c r="L46" s="51">
        <v>146</v>
      </c>
      <c r="M46" s="51">
        <v>116</v>
      </c>
      <c r="N46" s="51">
        <v>79</v>
      </c>
      <c r="O46" s="52">
        <v>72.73</v>
      </c>
      <c r="P46" s="52">
        <v>14</v>
      </c>
      <c r="Q46" s="52">
        <v>2.69</v>
      </c>
      <c r="R46" s="52">
        <v>2.5999999999999999E-2</v>
      </c>
      <c r="S46" s="52">
        <v>0.25</v>
      </c>
      <c r="T46" s="52">
        <v>0.03</v>
      </c>
      <c r="U46" s="52">
        <v>0.34</v>
      </c>
      <c r="V46" s="52">
        <v>6.6</v>
      </c>
      <c r="W46" s="52">
        <v>0.33200000000000002</v>
      </c>
      <c r="X46" s="52">
        <v>0.02</v>
      </c>
      <c r="Y46" s="52">
        <v>2.96</v>
      </c>
      <c r="Z46" s="52">
        <v>99.97</v>
      </c>
      <c r="AA46" s="52">
        <v>5</v>
      </c>
      <c r="AB46" s="52">
        <v>0</v>
      </c>
      <c r="AC46" s="52">
        <v>42</v>
      </c>
      <c r="AD46" s="52">
        <v>0</v>
      </c>
      <c r="AE46" s="52">
        <v>7</v>
      </c>
      <c r="AF46" s="52">
        <v>0</v>
      </c>
      <c r="AG46" s="52">
        <v>30</v>
      </c>
      <c r="AH46" s="52">
        <v>30</v>
      </c>
      <c r="AI46" s="52">
        <v>17</v>
      </c>
      <c r="AJ46" s="52">
        <v>1</v>
      </c>
      <c r="AK46" s="52">
        <v>0</v>
      </c>
      <c r="AL46" s="52">
        <v>142</v>
      </c>
      <c r="AM46" s="52">
        <v>193</v>
      </c>
      <c r="AN46" s="68">
        <f>'O.G.Chem Results'!AN46/'O.G.Chem Results'!$AN$142</f>
        <v>7.0512820512820511</v>
      </c>
      <c r="AO46" s="52">
        <v>251</v>
      </c>
      <c r="AP46" s="52">
        <v>7</v>
      </c>
      <c r="AQ46" s="52" t="s">
        <v>72</v>
      </c>
      <c r="AR46" s="52" t="s">
        <v>74</v>
      </c>
      <c r="AS46" s="52" t="s">
        <v>73</v>
      </c>
      <c r="AT46" s="52">
        <v>2</v>
      </c>
      <c r="AU46" s="52" t="s">
        <v>74</v>
      </c>
      <c r="AV46" s="52">
        <v>1.3</v>
      </c>
      <c r="AW46" s="52">
        <v>762</v>
      </c>
      <c r="AX46" s="52" t="s">
        <v>75</v>
      </c>
      <c r="AY46" s="68">
        <f>'O.G.Chem Results'!AY46/'O.G.Chem Results'!AY$142</f>
        <v>510.63829787234044</v>
      </c>
      <c r="AZ46" s="68">
        <f>'O.G.Chem Results'!AZ46/'O.G.Chem Results'!AZ$142</f>
        <v>432.69230769230762</v>
      </c>
      <c r="BA46" s="68">
        <f>'O.G.Chem Results'!BA46/'O.G.Chem Results'!BA$142</f>
        <v>280.58361391694723</v>
      </c>
      <c r="BB46" s="68">
        <f>'O.G.Chem Results'!BB46/'O.G.Chem Results'!BB$142</f>
        <v>171.7506631299735</v>
      </c>
      <c r="BC46" s="68">
        <f>'O.G.Chem Results'!BC46/'O.G.Chem Results'!BC$142</f>
        <v>63.902107409925229</v>
      </c>
      <c r="BD46" s="68">
        <f>'O.G.Chem Results'!BD46/'O.G.Chem Results'!BD$142</f>
        <v>24.285714285714288</v>
      </c>
      <c r="BE46" s="68">
        <f>'O.G.Chem Results'!BE46/'O.G.Chem Results'!BE$142</f>
        <v>23.863636363636367</v>
      </c>
      <c r="BF46" s="68">
        <f>'O.G.Chem Results'!BF46/'O.G.Chem Results'!BF$142</f>
        <v>13.774104683195592</v>
      </c>
      <c r="BG46" s="68">
        <f>'O.G.Chem Results'!BG46/'O.G.Chem Results'!BG$142</f>
        <v>10.712814173877215</v>
      </c>
      <c r="BH46" s="68">
        <f>'O.G.Chem Results'!BH46/'O.G.Chem Results'!BH$142</f>
        <v>8.9928057553956826</v>
      </c>
      <c r="BI46" s="68">
        <f>'O.G.Chem Results'!BI46/'O.G.Chem Results'!BI$142</f>
        <v>8.8105726872246688</v>
      </c>
      <c r="BJ46" s="68">
        <f>'O.G.Chem Results'!BJ46/'O.G.Chem Results'!BJ$142</f>
        <v>8.6776859504132222</v>
      </c>
      <c r="BK46" s="68">
        <f>'O.G.Chem Results'!BK46/'O.G.Chem Results'!BK$142</f>
        <v>8.615384615384615</v>
      </c>
      <c r="BL46" s="68">
        <f>'O.G.Chem Results'!BL46/'O.G.Chem Results'!BL$142</f>
        <v>9.05349794238683</v>
      </c>
      <c r="BM46" s="52">
        <v>5.9</v>
      </c>
      <c r="BN46" s="52">
        <v>1.2</v>
      </c>
      <c r="BO46" s="52">
        <v>0</v>
      </c>
      <c r="BP46" s="52">
        <v>0.7</v>
      </c>
      <c r="BQ46" s="52">
        <v>36</v>
      </c>
      <c r="BR46" s="52">
        <v>37.9</v>
      </c>
      <c r="BS46" s="52">
        <v>3.6</v>
      </c>
      <c r="BT46" s="53">
        <f t="shared" si="24"/>
        <v>0.45868575146389062</v>
      </c>
      <c r="BU46" s="280">
        <f t="shared" si="25"/>
        <v>1576.3532064787225</v>
      </c>
      <c r="BV46" s="54">
        <f t="shared" si="26"/>
        <v>118.5</v>
      </c>
      <c r="BW46" s="71">
        <f t="shared" si="22"/>
        <v>66.762041010968048</v>
      </c>
      <c r="BX46" s="69">
        <f t="shared" si="11"/>
        <v>1.5421153846153846</v>
      </c>
      <c r="BY46" s="53">
        <v>9.1950000000000003</v>
      </c>
      <c r="BZ46" s="53">
        <v>0.97</v>
      </c>
      <c r="CA46" s="53">
        <v>36.495000000000005</v>
      </c>
      <c r="CB46" s="53">
        <v>30.866</v>
      </c>
      <c r="CC46" s="53">
        <v>2.6839999999999997</v>
      </c>
      <c r="CD46" s="53">
        <v>0</v>
      </c>
      <c r="CE46" s="53">
        <v>0</v>
      </c>
      <c r="CF46" s="53">
        <v>0</v>
      </c>
      <c r="CG46" s="53">
        <v>0</v>
      </c>
      <c r="CH46" s="53">
        <v>0.20500000000000002</v>
      </c>
      <c r="CI46" s="53">
        <v>0</v>
      </c>
      <c r="CJ46" s="53">
        <v>0</v>
      </c>
      <c r="CK46" s="53">
        <v>14.574999999999999</v>
      </c>
      <c r="CL46" s="53">
        <v>0</v>
      </c>
      <c r="CM46" s="53">
        <v>0</v>
      </c>
      <c r="CN46" s="53">
        <v>0</v>
      </c>
      <c r="CO46" s="53">
        <v>4.3250000000000002</v>
      </c>
      <c r="CP46" s="53">
        <v>2.1799999999999997</v>
      </c>
      <c r="CQ46" s="53">
        <v>0</v>
      </c>
      <c r="CR46" s="53">
        <v>0</v>
      </c>
      <c r="CS46" s="53">
        <v>0</v>
      </c>
      <c r="CT46" s="53">
        <v>0</v>
      </c>
      <c r="CU46" s="53">
        <v>0</v>
      </c>
      <c r="CV46" s="53">
        <v>0</v>
      </c>
      <c r="CW46" s="53">
        <v>0</v>
      </c>
      <c r="CX46" s="53">
        <v>0</v>
      </c>
      <c r="CY46" s="280">
        <v>101.495</v>
      </c>
      <c r="CZ46" s="284">
        <v>0.39959487572539143</v>
      </c>
      <c r="DA46" s="284">
        <v>0.33796123946129414</v>
      </c>
      <c r="DB46" s="284">
        <v>2.9387933866199489E-2</v>
      </c>
      <c r="DC46" s="284">
        <v>0</v>
      </c>
      <c r="DD46" s="284">
        <v>0</v>
      </c>
      <c r="DE46" s="284">
        <v>0</v>
      </c>
      <c r="DF46" s="284">
        <v>0</v>
      </c>
      <c r="DG46" s="284">
        <v>2.2446074674258181E-3</v>
      </c>
      <c r="DH46" s="284">
        <v>0</v>
      </c>
      <c r="DI46" s="284">
        <v>0</v>
      </c>
      <c r="DJ46" s="284">
        <v>0.15958611628161609</v>
      </c>
      <c r="DK46" s="284">
        <v>0</v>
      </c>
      <c r="DL46" s="284">
        <v>0</v>
      </c>
      <c r="DM46" s="284">
        <v>0</v>
      </c>
      <c r="DN46" s="284">
        <v>4.735574291032519E-2</v>
      </c>
      <c r="DO46" s="284">
        <v>2.3869484287747721E-2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v>0</v>
      </c>
      <c r="DV46" s="284">
        <v>0</v>
      </c>
      <c r="DW46" s="284">
        <v>0</v>
      </c>
      <c r="DX46" s="53">
        <v>1</v>
      </c>
      <c r="DY46" s="71">
        <v>74.440214353908814</v>
      </c>
      <c r="DZ46" s="71">
        <v>14.697366152101266</v>
      </c>
      <c r="EA46" s="71">
        <v>0.43314375424905788</v>
      </c>
      <c r="EB46" s="71">
        <v>0.84399749049597927</v>
      </c>
      <c r="EC46" s="71">
        <v>0</v>
      </c>
      <c r="ED46" s="71">
        <v>0.32186565059480599</v>
      </c>
      <c r="EE46" s="71">
        <v>6.5242798825332175E-3</v>
      </c>
      <c r="EF46" s="71">
        <v>0.34743526895567933</v>
      </c>
      <c r="EG46" s="71">
        <v>6.2546141960355239</v>
      </c>
      <c r="EH46" s="71">
        <v>0.10225381769603846</v>
      </c>
      <c r="EI46" s="71">
        <v>0</v>
      </c>
      <c r="EJ46" s="71">
        <v>2.5525850360802997</v>
      </c>
      <c r="EK46" s="71">
        <v>0</v>
      </c>
      <c r="EL46" s="71">
        <v>100</v>
      </c>
      <c r="EM46" s="53">
        <v>68.982481989391061</v>
      </c>
      <c r="EN46" s="53" t="s">
        <v>105</v>
      </c>
      <c r="EO46" s="288">
        <v>1.3531010188896754E-2</v>
      </c>
      <c r="EP46" s="257">
        <f t="shared" si="12"/>
        <v>1.3531010188896753</v>
      </c>
      <c r="EQ46" s="257">
        <f t="shared" si="13"/>
        <v>26.95358803683779</v>
      </c>
      <c r="ER46" s="324">
        <f t="shared" si="14"/>
        <v>0.55342126076826059</v>
      </c>
      <c r="ES46" s="257">
        <f t="shared" si="15"/>
        <v>1.0880530293175017</v>
      </c>
      <c r="ET46">
        <f t="shared" si="8"/>
        <v>118.5</v>
      </c>
      <c r="EU46" s="324">
        <f t="shared" si="16"/>
        <v>0.50863445609393021</v>
      </c>
      <c r="EV46" s="39">
        <f t="shared" si="17"/>
        <v>163.01499999999999</v>
      </c>
      <c r="EW46"/>
      <c r="EX46">
        <f t="shared" si="18"/>
        <v>0.78410256410256418</v>
      </c>
      <c r="EY46"/>
      <c r="EZ46"/>
      <c r="FA46"/>
      <c r="FB46"/>
      <c r="FC46"/>
      <c r="FD46"/>
    </row>
    <row r="47" spans="1:160" s="54" customFormat="1" ht="13" customHeight="1" x14ac:dyDescent="0.2">
      <c r="A47" s="49" t="s">
        <v>106</v>
      </c>
      <c r="B47" s="50" t="s">
        <v>462</v>
      </c>
      <c r="C47" s="275">
        <f t="shared" si="27"/>
        <v>162.45499999999998</v>
      </c>
      <c r="D47" s="51">
        <v>127</v>
      </c>
      <c r="E47" s="51">
        <v>222</v>
      </c>
      <c r="F47" s="51">
        <f t="shared" si="23"/>
        <v>174.5</v>
      </c>
      <c r="G47" s="83" t="s">
        <v>516</v>
      </c>
      <c r="H47" s="84">
        <v>10</v>
      </c>
      <c r="I47" s="85">
        <v>5</v>
      </c>
      <c r="J47" s="85">
        <v>4</v>
      </c>
      <c r="K47" s="89">
        <f t="shared" si="20"/>
        <v>12.5</v>
      </c>
      <c r="L47" s="51">
        <v>146</v>
      </c>
      <c r="M47" s="51">
        <v>116</v>
      </c>
      <c r="N47" s="51">
        <v>79</v>
      </c>
      <c r="O47" s="52">
        <v>71.72</v>
      </c>
      <c r="P47" s="52">
        <v>14.47</v>
      </c>
      <c r="Q47" s="52">
        <v>2.98</v>
      </c>
      <c r="R47" s="52">
        <v>3.6999999999999998E-2</v>
      </c>
      <c r="S47" s="52">
        <v>0.37</v>
      </c>
      <c r="T47" s="52">
        <v>0.04</v>
      </c>
      <c r="U47" s="52">
        <v>0.33</v>
      </c>
      <c r="V47" s="52">
        <v>6.65</v>
      </c>
      <c r="W47" s="52">
        <v>0.36</v>
      </c>
      <c r="X47" s="52">
        <v>0.02</v>
      </c>
      <c r="Y47" s="52">
        <v>2.92</v>
      </c>
      <c r="Z47" s="52">
        <v>99.9</v>
      </c>
      <c r="AA47" s="52">
        <v>4</v>
      </c>
      <c r="AB47" s="52">
        <v>0</v>
      </c>
      <c r="AC47" s="52">
        <v>36</v>
      </c>
      <c r="AD47" s="52">
        <v>0</v>
      </c>
      <c r="AE47" s="52">
        <v>5</v>
      </c>
      <c r="AF47" s="52">
        <v>0</v>
      </c>
      <c r="AG47" s="52">
        <v>20</v>
      </c>
      <c r="AH47" s="52">
        <v>40</v>
      </c>
      <c r="AI47" s="52">
        <v>19</v>
      </c>
      <c r="AJ47" s="52">
        <v>1</v>
      </c>
      <c r="AK47" s="52">
        <v>0</v>
      </c>
      <c r="AL47" s="52">
        <v>163</v>
      </c>
      <c r="AM47" s="52">
        <v>191</v>
      </c>
      <c r="AN47" s="68">
        <f>'O.G.Chem Results'!AN47/'O.G.Chem Results'!$AN$142</f>
        <v>10.897435897435898</v>
      </c>
      <c r="AO47" s="52">
        <v>309</v>
      </c>
      <c r="AP47" s="52">
        <v>5</v>
      </c>
      <c r="AQ47" s="52" t="s">
        <v>72</v>
      </c>
      <c r="AR47" s="52" t="s">
        <v>74</v>
      </c>
      <c r="AS47" s="52" t="s">
        <v>73</v>
      </c>
      <c r="AT47" s="52">
        <v>2</v>
      </c>
      <c r="AU47" s="52" t="s">
        <v>74</v>
      </c>
      <c r="AV47" s="52">
        <v>1.4</v>
      </c>
      <c r="AW47" s="52">
        <v>779</v>
      </c>
      <c r="AX47" s="52" t="s">
        <v>75</v>
      </c>
      <c r="AY47" s="68">
        <f>'O.G.Chem Results'!AY47/'O.G.Chem Results'!AY$142</f>
        <v>787.23404255319156</v>
      </c>
      <c r="AZ47" s="68">
        <f>'O.G.Chem Results'!AZ47/'O.G.Chem Results'!AZ$142</f>
        <v>578.58090185676383</v>
      </c>
      <c r="BA47" s="68">
        <f>'O.G.Chem Results'!BA47/'O.G.Chem Results'!BA$142</f>
        <v>446.68911335578002</v>
      </c>
      <c r="BB47" s="68">
        <f>'O.G.Chem Results'!BB47/'O.G.Chem Results'!BB$142</f>
        <v>276.30415561450047</v>
      </c>
      <c r="BC47" s="68">
        <f>'O.G.Chem Results'!BC47/'O.G.Chem Results'!BC$142</f>
        <v>105.37049626104692</v>
      </c>
      <c r="BD47" s="68">
        <f>'O.G.Chem Results'!BD47/'O.G.Chem Results'!BD$142</f>
        <v>40.892857142857146</v>
      </c>
      <c r="BE47" s="68">
        <f>'O.G.Chem Results'!BE47/'O.G.Chem Results'!BE$142</f>
        <v>38.06818181818182</v>
      </c>
      <c r="BF47" s="68">
        <f>'O.G.Chem Results'!BF47/'O.G.Chem Results'!BF$142</f>
        <v>22.03856749311295</v>
      </c>
      <c r="BG47" s="68">
        <f>'O.G.Chem Results'!BG47/'O.G.Chem Results'!BG$142</f>
        <v>16.481252575195715</v>
      </c>
      <c r="BH47" s="68">
        <f>'O.G.Chem Results'!BH47/'O.G.Chem Results'!BH$142</f>
        <v>12.589928057553955</v>
      </c>
      <c r="BI47" s="68">
        <f>'O.G.Chem Results'!BI47/'O.G.Chem Results'!BI$142</f>
        <v>13.845185651353052</v>
      </c>
      <c r="BJ47" s="68">
        <f>'O.G.Chem Results'!BJ47/'O.G.Chem Results'!BJ$142</f>
        <v>12.809917355371901</v>
      </c>
      <c r="BK47" s="68">
        <f>'O.G.Chem Results'!BK47/'O.G.Chem Results'!BK$142</f>
        <v>11.692307692307692</v>
      </c>
      <c r="BL47" s="68">
        <f>'O.G.Chem Results'!BL47/'O.G.Chem Results'!BL$142</f>
        <v>11.934156378600822</v>
      </c>
      <c r="BM47" s="52">
        <v>7</v>
      </c>
      <c r="BN47" s="52">
        <v>0.6</v>
      </c>
      <c r="BO47" s="52">
        <v>0</v>
      </c>
      <c r="BP47" s="52">
        <v>0.6</v>
      </c>
      <c r="BQ47" s="52">
        <v>33</v>
      </c>
      <c r="BR47" s="52">
        <v>44</v>
      </c>
      <c r="BS47" s="52">
        <v>2.7</v>
      </c>
      <c r="BT47" s="53">
        <f t="shared" si="24"/>
        <v>0.4236158816571714</v>
      </c>
      <c r="BU47" s="280">
        <f t="shared" si="25"/>
        <v>2374.5310638058181</v>
      </c>
      <c r="BV47" s="54">
        <f t="shared" si="26"/>
        <v>174.5</v>
      </c>
      <c r="BW47" s="71">
        <f t="shared" si="22"/>
        <v>67.333643555141919</v>
      </c>
      <c r="BX47" s="69">
        <f t="shared" si="11"/>
        <v>1.295265285312504</v>
      </c>
      <c r="BY47" s="53">
        <v>9.5549999999999997</v>
      </c>
      <c r="BZ47" s="53">
        <v>0.255</v>
      </c>
      <c r="CA47" s="53">
        <v>32.799999999999997</v>
      </c>
      <c r="CB47" s="53">
        <v>25.5806</v>
      </c>
      <c r="CC47" s="53">
        <v>2.2244000000000002</v>
      </c>
      <c r="CD47" s="53">
        <v>0</v>
      </c>
      <c r="CE47" s="53">
        <v>0</v>
      </c>
      <c r="CF47" s="53">
        <v>0</v>
      </c>
      <c r="CG47" s="53">
        <v>0</v>
      </c>
      <c r="CH47" s="53">
        <v>0.18</v>
      </c>
      <c r="CI47" s="53">
        <v>0</v>
      </c>
      <c r="CJ47" s="53">
        <v>0</v>
      </c>
      <c r="CK47" s="53">
        <v>15.505000000000001</v>
      </c>
      <c r="CL47" s="53">
        <v>0</v>
      </c>
      <c r="CM47" s="53">
        <v>0</v>
      </c>
      <c r="CN47" s="53">
        <v>0</v>
      </c>
      <c r="CO47" s="53">
        <v>12.23</v>
      </c>
      <c r="CP47" s="53">
        <v>2.9649999999999999</v>
      </c>
      <c r="CQ47" s="53">
        <v>0</v>
      </c>
      <c r="CR47" s="53">
        <v>0</v>
      </c>
      <c r="CS47" s="53">
        <v>0</v>
      </c>
      <c r="CT47" s="53">
        <v>0</v>
      </c>
      <c r="CU47" s="53">
        <v>0</v>
      </c>
      <c r="CV47" s="53">
        <v>0</v>
      </c>
      <c r="CW47" s="53">
        <v>0</v>
      </c>
      <c r="CX47" s="53">
        <v>0</v>
      </c>
      <c r="CY47" s="280">
        <v>101.29500000000002</v>
      </c>
      <c r="CZ47" s="284">
        <v>0.35852872055528218</v>
      </c>
      <c r="DA47" s="284">
        <v>0.27961523747062356</v>
      </c>
      <c r="DB47" s="284">
        <v>2.4314368475706397E-2</v>
      </c>
      <c r="DC47" s="284">
        <v>0</v>
      </c>
      <c r="DD47" s="284">
        <v>0</v>
      </c>
      <c r="DE47" s="284">
        <v>0</v>
      </c>
      <c r="DF47" s="284">
        <v>0</v>
      </c>
      <c r="DG47" s="284">
        <v>1.9675356615838657E-3</v>
      </c>
      <c r="DH47" s="284">
        <v>0</v>
      </c>
      <c r="DI47" s="284">
        <v>0</v>
      </c>
      <c r="DJ47" s="284">
        <v>0.16948133573809912</v>
      </c>
      <c r="DK47" s="284">
        <v>0</v>
      </c>
      <c r="DL47" s="284">
        <v>0</v>
      </c>
      <c r="DM47" s="284">
        <v>0</v>
      </c>
      <c r="DN47" s="284">
        <v>0.13368311745094824</v>
      </c>
      <c r="DO47" s="284">
        <v>3.2409684647756454E-2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v>0</v>
      </c>
      <c r="DV47" s="284">
        <v>0</v>
      </c>
      <c r="DW47" s="284">
        <v>0</v>
      </c>
      <c r="DX47" s="53">
        <v>0.99999999999999978</v>
      </c>
      <c r="DY47" s="71">
        <v>70.673690203507988</v>
      </c>
      <c r="DZ47" s="71">
        <v>16.316947007217063</v>
      </c>
      <c r="EA47" s="71">
        <v>0.42520322088095452</v>
      </c>
      <c r="EB47" s="71">
        <v>2.2256065528113904</v>
      </c>
      <c r="EC47" s="71">
        <v>0</v>
      </c>
      <c r="ED47" s="71">
        <v>0.82172350652771586</v>
      </c>
      <c r="EE47" s="71">
        <v>1.8417746617789416E-2</v>
      </c>
      <c r="EF47" s="71">
        <v>0.28745366003972883</v>
      </c>
      <c r="EG47" s="71">
        <v>5.8356873881225093</v>
      </c>
      <c r="EH47" s="71">
        <v>0.28865789618700949</v>
      </c>
      <c r="EI47" s="71">
        <v>0</v>
      </c>
      <c r="EJ47" s="71">
        <v>3.1066128180878323</v>
      </c>
      <c r="EK47" s="71">
        <v>0</v>
      </c>
      <c r="EL47" s="71">
        <v>99.999999999999972</v>
      </c>
      <c r="EM47" s="53">
        <v>72.653751549963317</v>
      </c>
      <c r="EN47" s="53" t="s">
        <v>106</v>
      </c>
      <c r="EO47" s="288">
        <v>2.8511143634453704E-2</v>
      </c>
      <c r="EP47" s="257">
        <f t="shared" si="12"/>
        <v>2.8511143634453706</v>
      </c>
      <c r="EQ47" s="257">
        <f t="shared" si="13"/>
        <v>26.727443128567771</v>
      </c>
      <c r="ER47" s="324">
        <f t="shared" si="14"/>
        <v>0.57017894601998309</v>
      </c>
      <c r="ES47" s="257">
        <f t="shared" si="15"/>
        <v>0.93784781691679819</v>
      </c>
      <c r="ET47">
        <f t="shared" si="8"/>
        <v>174.5</v>
      </c>
      <c r="EU47" s="324">
        <f t="shared" si="16"/>
        <v>0.60796531775748319</v>
      </c>
      <c r="EV47" s="39">
        <f t="shared" si="17"/>
        <v>162.45499999999998</v>
      </c>
      <c r="EW47"/>
      <c r="EX47">
        <f t="shared" si="18"/>
        <v>0.86556776556776571</v>
      </c>
      <c r="EY47"/>
      <c r="EZ47"/>
      <c r="FA47"/>
      <c r="FB47"/>
      <c r="FC47"/>
      <c r="FD47"/>
    </row>
    <row r="48" spans="1:160" s="54" customFormat="1" ht="13" customHeight="1" x14ac:dyDescent="0.2">
      <c r="A48" s="49" t="s">
        <v>107</v>
      </c>
      <c r="B48" s="50" t="s">
        <v>462</v>
      </c>
      <c r="C48" s="275">
        <f t="shared" si="27"/>
        <v>161.85499999999999</v>
      </c>
      <c r="D48" s="51">
        <v>219</v>
      </c>
      <c r="E48" s="51">
        <v>250</v>
      </c>
      <c r="F48" s="51">
        <f t="shared" si="23"/>
        <v>234.5</v>
      </c>
      <c r="G48" s="83" t="s">
        <v>517</v>
      </c>
      <c r="H48" s="84">
        <v>5</v>
      </c>
      <c r="I48" s="85">
        <v>5</v>
      </c>
      <c r="J48" s="85">
        <v>6</v>
      </c>
      <c r="K48" s="89">
        <f t="shared" si="20"/>
        <v>4.166666666666667</v>
      </c>
      <c r="L48" s="51">
        <v>164</v>
      </c>
      <c r="M48" s="51">
        <v>109</v>
      </c>
      <c r="N48" s="51">
        <v>70</v>
      </c>
      <c r="O48" s="52">
        <v>62.79</v>
      </c>
      <c r="P48" s="52">
        <v>18.93</v>
      </c>
      <c r="Q48" s="52">
        <v>6.74</v>
      </c>
      <c r="R48" s="52">
        <v>6.7000000000000004E-2</v>
      </c>
      <c r="S48" s="52">
        <v>1.6</v>
      </c>
      <c r="T48" s="52">
        <v>0.25</v>
      </c>
      <c r="U48" s="52">
        <v>0.09</v>
      </c>
      <c r="V48" s="52">
        <v>2.11</v>
      </c>
      <c r="W48" s="52">
        <v>0.6</v>
      </c>
      <c r="X48" s="52">
        <v>0</v>
      </c>
      <c r="Y48" s="52">
        <v>7.07</v>
      </c>
      <c r="Z48" s="52">
        <v>100.3</v>
      </c>
      <c r="AA48" s="52">
        <v>14</v>
      </c>
      <c r="AB48" s="52">
        <v>2</v>
      </c>
      <c r="AC48" s="52">
        <v>111</v>
      </c>
      <c r="AD48" s="52">
        <v>0</v>
      </c>
      <c r="AE48" s="52">
        <v>11</v>
      </c>
      <c r="AF48" s="52">
        <v>0</v>
      </c>
      <c r="AG48" s="52">
        <v>10</v>
      </c>
      <c r="AH48" s="52">
        <v>100</v>
      </c>
      <c r="AI48" s="52">
        <v>24</v>
      </c>
      <c r="AJ48" s="52">
        <v>2</v>
      </c>
      <c r="AK48" s="52">
        <v>0</v>
      </c>
      <c r="AL48" s="52">
        <v>136</v>
      </c>
      <c r="AM48" s="52">
        <v>25</v>
      </c>
      <c r="AN48" s="68">
        <f>'O.G.Chem Results'!AN48/'O.G.Chem Results'!$AN$142</f>
        <v>8.3333333333333339</v>
      </c>
      <c r="AO48" s="52">
        <v>149</v>
      </c>
      <c r="AP48" s="52">
        <v>6</v>
      </c>
      <c r="AQ48" s="52" t="s">
        <v>72</v>
      </c>
      <c r="AR48" s="52" t="s">
        <v>74</v>
      </c>
      <c r="AS48" s="52" t="s">
        <v>73</v>
      </c>
      <c r="AT48" s="52">
        <v>2</v>
      </c>
      <c r="AU48" s="52" t="s">
        <v>74</v>
      </c>
      <c r="AV48" s="52">
        <v>3.5</v>
      </c>
      <c r="AW48" s="52">
        <v>251</v>
      </c>
      <c r="AX48" s="52" t="s">
        <v>75</v>
      </c>
      <c r="AY48" s="68">
        <f>'O.G.Chem Results'!AY48/'O.G.Chem Results'!AY$142</f>
        <v>203.82978723404256</v>
      </c>
      <c r="AZ48" s="68">
        <f>'O.G.Chem Results'!AZ48/'O.G.Chem Results'!AZ$142</f>
        <v>76.75729442970821</v>
      </c>
      <c r="BA48" s="68">
        <f>'O.G.Chem Results'!BA48/'O.G.Chem Results'!BA$142</f>
        <v>126.82379349046016</v>
      </c>
      <c r="BB48" s="68">
        <f>'O.G.Chem Results'!BB48/'O.G.Chem Results'!BB$142</f>
        <v>86.648983200707349</v>
      </c>
      <c r="BC48" s="68">
        <f>'O.G.Chem Results'!BC48/'O.G.Chem Results'!BC$142</f>
        <v>40.10876954452754</v>
      </c>
      <c r="BD48" s="68">
        <f>'O.G.Chem Results'!BD48/'O.G.Chem Results'!BD$142</f>
        <v>19.821428571428573</v>
      </c>
      <c r="BE48" s="68">
        <f>'O.G.Chem Results'!BE48/'O.G.Chem Results'!BE$142</f>
        <v>20.454545454545457</v>
      </c>
      <c r="BF48" s="68">
        <f>'O.G.Chem Results'!BF48/'O.G.Chem Results'!BF$142</f>
        <v>13.774104683195592</v>
      </c>
      <c r="BG48" s="68">
        <f>'O.G.Chem Results'!BG48/'O.G.Chem Results'!BG$142</f>
        <v>10.712814173877215</v>
      </c>
      <c r="BH48" s="68">
        <f>'O.G.Chem Results'!BH48/'O.G.Chem Results'!BH$142</f>
        <v>8.9928057553956826</v>
      </c>
      <c r="BI48" s="68">
        <f>'O.G.Chem Results'!BI48/'O.G.Chem Results'!BI$142</f>
        <v>10.069225928256765</v>
      </c>
      <c r="BJ48" s="68">
        <f>'O.G.Chem Results'!BJ48/'O.G.Chem Results'!BJ$142</f>
        <v>9.5041322314049594</v>
      </c>
      <c r="BK48" s="68">
        <f>'O.G.Chem Results'!BK48/'O.G.Chem Results'!BK$142</f>
        <v>9.8461538461538467</v>
      </c>
      <c r="BL48" s="68">
        <f>'O.G.Chem Results'!BL48/'O.G.Chem Results'!BL$142</f>
        <v>11.111111111111111</v>
      </c>
      <c r="BM48" s="52">
        <v>3.8</v>
      </c>
      <c r="BN48" s="52">
        <v>0.4</v>
      </c>
      <c r="BO48" s="52">
        <v>0</v>
      </c>
      <c r="BP48" s="52">
        <v>0.6</v>
      </c>
      <c r="BQ48" s="52">
        <v>16</v>
      </c>
      <c r="BR48" s="52">
        <v>17.399999999999999</v>
      </c>
      <c r="BS48" s="52">
        <v>1.8</v>
      </c>
      <c r="BT48" s="53">
        <f t="shared" si="24"/>
        <v>0.27355961641061016</v>
      </c>
      <c r="BU48" s="280">
        <f t="shared" si="25"/>
        <v>648.45494965481487</v>
      </c>
      <c r="BV48" s="54">
        <f t="shared" si="26"/>
        <v>234.5</v>
      </c>
      <c r="BW48" s="71">
        <f t="shared" si="22"/>
        <v>88.54069223573434</v>
      </c>
      <c r="BX48" s="69">
        <f t="shared" si="11"/>
        <v>0.60522787023778768</v>
      </c>
      <c r="BY48" s="53">
        <v>9.3000000000000007</v>
      </c>
      <c r="BZ48" s="53">
        <v>0</v>
      </c>
      <c r="CA48" s="53">
        <v>31.6</v>
      </c>
      <c r="CB48" s="53">
        <v>2.7875999999999999</v>
      </c>
      <c r="CC48" s="53">
        <v>0.24239999999999998</v>
      </c>
      <c r="CD48" s="53">
        <v>0</v>
      </c>
      <c r="CE48" s="53">
        <v>0</v>
      </c>
      <c r="CF48" s="53">
        <v>0</v>
      </c>
      <c r="CG48" s="53">
        <v>0</v>
      </c>
      <c r="CH48" s="53">
        <v>0.15</v>
      </c>
      <c r="CI48" s="53">
        <v>0</v>
      </c>
      <c r="CJ48" s="53">
        <v>0</v>
      </c>
      <c r="CK48" s="53">
        <v>20.68</v>
      </c>
      <c r="CL48" s="53">
        <v>14.89</v>
      </c>
      <c r="CM48" s="53">
        <v>0</v>
      </c>
      <c r="CN48" s="53">
        <v>0</v>
      </c>
      <c r="CO48" s="53">
        <v>17.57</v>
      </c>
      <c r="CP48" s="53">
        <v>2.78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280">
        <v>100</v>
      </c>
      <c r="CZ48" s="284">
        <v>0.34840132304299898</v>
      </c>
      <c r="DA48" s="284">
        <v>3.0734288864388094E-2</v>
      </c>
      <c r="DB48" s="284">
        <v>2.6725468577728775E-3</v>
      </c>
      <c r="DC48" s="284">
        <v>0</v>
      </c>
      <c r="DD48" s="284">
        <v>0</v>
      </c>
      <c r="DE48" s="284">
        <v>0</v>
      </c>
      <c r="DF48" s="284">
        <v>0</v>
      </c>
      <c r="DG48" s="284">
        <v>1.6538037486218305E-3</v>
      </c>
      <c r="DH48" s="284">
        <v>0</v>
      </c>
      <c r="DI48" s="284">
        <v>0</v>
      </c>
      <c r="DJ48" s="284">
        <v>0.22800441014332967</v>
      </c>
      <c r="DK48" s="284">
        <v>0.16416758544652704</v>
      </c>
      <c r="DL48" s="284">
        <v>0</v>
      </c>
      <c r="DM48" s="284">
        <v>0</v>
      </c>
      <c r="DN48" s="284">
        <v>0.19371554575523708</v>
      </c>
      <c r="DO48" s="284">
        <v>3.0650496141124587E-2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v>0</v>
      </c>
      <c r="DV48" s="284">
        <v>0</v>
      </c>
      <c r="DW48" s="284">
        <v>0</v>
      </c>
      <c r="DX48" s="53">
        <v>1.0000000000000002</v>
      </c>
      <c r="DY48" s="71">
        <v>64.795566201994191</v>
      </c>
      <c r="DZ48" s="71">
        <v>21.544610543294272</v>
      </c>
      <c r="EA48" s="71">
        <v>0.48900425034837414</v>
      </c>
      <c r="EB48" s="71">
        <v>3.1518339650785556</v>
      </c>
      <c r="EC48" s="71">
        <v>0</v>
      </c>
      <c r="ED48" s="71">
        <v>1.1502012065622571</v>
      </c>
      <c r="EE48" s="71">
        <v>2.6688514643263519E-2</v>
      </c>
      <c r="EF48" s="71">
        <v>3.1595859734628418E-2</v>
      </c>
      <c r="EG48" s="71">
        <v>1.9294097739317622</v>
      </c>
      <c r="EH48" s="71">
        <v>0.41828409572317671</v>
      </c>
      <c r="EI48" s="71">
        <v>0</v>
      </c>
      <c r="EJ48" s="71">
        <v>6.4628055886895259</v>
      </c>
      <c r="EK48" s="71">
        <v>0</v>
      </c>
      <c r="EL48" s="71">
        <v>100.00000000000003</v>
      </c>
      <c r="EM48" s="53">
        <v>91.553338381604235</v>
      </c>
      <c r="EN48" s="53" t="s">
        <v>107</v>
      </c>
      <c r="EO48" s="288">
        <v>3.9245032722839995E-2</v>
      </c>
      <c r="EP48" s="257">
        <f t="shared" si="12"/>
        <v>3.9245032722839994</v>
      </c>
      <c r="EQ48" s="257">
        <f t="shared" si="13"/>
        <v>60.439932318104908</v>
      </c>
      <c r="ER48" s="324">
        <f t="shared" si="14"/>
        <v>0.65456881188660054</v>
      </c>
      <c r="ES48" s="257">
        <f t="shared" si="15"/>
        <v>0.46584644290827043</v>
      </c>
      <c r="ET48">
        <f t="shared" si="8"/>
        <v>234.5</v>
      </c>
      <c r="EU48" s="324">
        <f t="shared" si="16"/>
        <v>1.4051171192810661</v>
      </c>
      <c r="EV48" s="39">
        <f t="shared" si="17"/>
        <v>161.85499999999999</v>
      </c>
      <c r="EW48"/>
      <c r="EX48">
        <f t="shared" si="18"/>
        <v>0.92666666666666686</v>
      </c>
      <c r="EY48"/>
      <c r="EZ48"/>
      <c r="FA48"/>
      <c r="FB48"/>
      <c r="FC48"/>
      <c r="FD48"/>
    </row>
    <row r="49" spans="1:160" s="54" customFormat="1" ht="13" customHeight="1" x14ac:dyDescent="0.2">
      <c r="A49" s="49" t="s">
        <v>108</v>
      </c>
      <c r="B49" s="50" t="s">
        <v>462</v>
      </c>
      <c r="C49" s="275">
        <f t="shared" si="27"/>
        <v>160.69999999999999</v>
      </c>
      <c r="D49" s="51">
        <v>300</v>
      </c>
      <c r="E49" s="51">
        <v>400</v>
      </c>
      <c r="F49" s="51">
        <f t="shared" si="23"/>
        <v>350</v>
      </c>
      <c r="G49" s="83" t="s">
        <v>524</v>
      </c>
      <c r="H49" s="84">
        <v>7.5</v>
      </c>
      <c r="I49" s="85">
        <v>5</v>
      </c>
      <c r="J49" s="85">
        <v>4</v>
      </c>
      <c r="K49" s="89">
        <f t="shared" si="20"/>
        <v>9.375</v>
      </c>
      <c r="L49" s="51">
        <v>150</v>
      </c>
      <c r="M49" s="51">
        <v>115</v>
      </c>
      <c r="N49" s="51">
        <v>84</v>
      </c>
      <c r="O49" s="52">
        <v>68.540000000000006</v>
      </c>
      <c r="P49" s="52">
        <v>16.57</v>
      </c>
      <c r="Q49" s="52">
        <v>4.0599999999999996</v>
      </c>
      <c r="R49" s="52">
        <v>5.7000000000000002E-2</v>
      </c>
      <c r="S49" s="52">
        <v>0.92</v>
      </c>
      <c r="T49" s="52">
        <v>0.2</v>
      </c>
      <c r="U49" s="52">
        <v>0.15</v>
      </c>
      <c r="V49" s="52">
        <v>2.68</v>
      </c>
      <c r="W49" s="52">
        <v>0.315</v>
      </c>
      <c r="X49" s="52">
        <v>0</v>
      </c>
      <c r="Y49" s="52">
        <v>5.93</v>
      </c>
      <c r="Z49" s="52">
        <v>99.42</v>
      </c>
      <c r="AA49" s="52">
        <v>9</v>
      </c>
      <c r="AB49" s="52">
        <v>2</v>
      </c>
      <c r="AC49" s="52">
        <v>57</v>
      </c>
      <c r="AD49" s="52">
        <v>0</v>
      </c>
      <c r="AE49" s="52">
        <v>9</v>
      </c>
      <c r="AF49" s="52">
        <v>0</v>
      </c>
      <c r="AG49" s="52">
        <v>20</v>
      </c>
      <c r="AH49" s="52">
        <v>60</v>
      </c>
      <c r="AI49" s="52">
        <v>18</v>
      </c>
      <c r="AJ49" s="52">
        <v>2</v>
      </c>
      <c r="AK49" s="52">
        <v>0</v>
      </c>
      <c r="AL49" s="52">
        <v>105</v>
      </c>
      <c r="AM49" s="52">
        <v>40</v>
      </c>
      <c r="AN49" s="68">
        <f>'O.G.Chem Results'!AN49/'O.G.Chem Results'!$AN$142</f>
        <v>5.1282051282051277</v>
      </c>
      <c r="AO49" s="52">
        <v>96</v>
      </c>
      <c r="AP49" s="52">
        <v>4</v>
      </c>
      <c r="AQ49" s="52" t="s">
        <v>72</v>
      </c>
      <c r="AR49" s="52" t="s">
        <v>74</v>
      </c>
      <c r="AS49" s="52" t="s">
        <v>73</v>
      </c>
      <c r="AT49" s="52">
        <v>2</v>
      </c>
      <c r="AU49" s="52" t="s">
        <v>74</v>
      </c>
      <c r="AV49" s="52">
        <v>2.2000000000000002</v>
      </c>
      <c r="AW49" s="52">
        <v>460</v>
      </c>
      <c r="AX49" s="52" t="s">
        <v>75</v>
      </c>
      <c r="AY49" s="68">
        <f>'O.G.Chem Results'!AY49/'O.G.Chem Results'!AY$142</f>
        <v>80.851063829787236</v>
      </c>
      <c r="AZ49" s="68">
        <f>'O.G.Chem Results'!AZ49/'O.G.Chem Results'!AZ$142</f>
        <v>64.323607427055691</v>
      </c>
      <c r="BA49" s="68">
        <f>'O.G.Chem Results'!BA49/'O.G.Chem Results'!BA$142</f>
        <v>42.312008978675649</v>
      </c>
      <c r="BB49" s="68">
        <f>'O.G.Chem Results'!BB49/'O.G.Chem Results'!BB$142</f>
        <v>28.514588859416449</v>
      </c>
      <c r="BC49" s="68">
        <f>'O.G.Chem Results'!BC49/'O.G.Chem Results'!BC$142</f>
        <v>13.596193065941538</v>
      </c>
      <c r="BD49" s="68">
        <f>'O.G.Chem Results'!BD49/'O.G.Chem Results'!BD$142</f>
        <v>8.5714285714285712</v>
      </c>
      <c r="BE49" s="68">
        <f>'O.G.Chem Results'!BE49/'O.G.Chem Results'!BE$142</f>
        <v>8.5227272727272734</v>
      </c>
      <c r="BF49" s="68">
        <f>'O.G.Chem Results'!BF49/'O.G.Chem Results'!BF$142</f>
        <v>5.5096418732782375</v>
      </c>
      <c r="BG49" s="68">
        <f>'O.G.Chem Results'!BG49/'O.G.Chem Results'!BG$142</f>
        <v>5.3564070869386073</v>
      </c>
      <c r="BH49" s="68">
        <f>'O.G.Chem Results'!BH49/'O.G.Chem Results'!BH$142</f>
        <v>5.3956834532374094</v>
      </c>
      <c r="BI49" s="68">
        <f>'O.G.Chem Results'!BI49/'O.G.Chem Results'!BI$142</f>
        <v>5.6639395846444298</v>
      </c>
      <c r="BJ49" s="68">
        <f>'O.G.Chem Results'!BJ49/'O.G.Chem Results'!BJ$142</f>
        <v>5.3719008264462813</v>
      </c>
      <c r="BK49" s="68">
        <f>'O.G.Chem Results'!BK49/'O.G.Chem Results'!BK$142</f>
        <v>5.5384615384615383</v>
      </c>
      <c r="BL49" s="68">
        <f>'O.G.Chem Results'!BL49/'O.G.Chem Results'!BL$142</f>
        <v>6.5843621399176948</v>
      </c>
      <c r="BM49" s="52">
        <v>2.8</v>
      </c>
      <c r="BN49" s="52">
        <v>0.3</v>
      </c>
      <c r="BO49" s="52">
        <v>0</v>
      </c>
      <c r="BP49" s="52">
        <v>0.4</v>
      </c>
      <c r="BQ49" s="52">
        <v>18</v>
      </c>
      <c r="BR49" s="52">
        <v>9.4</v>
      </c>
      <c r="BS49" s="52">
        <v>0.9</v>
      </c>
      <c r="BT49" s="53">
        <f t="shared" si="24"/>
        <v>0.44307734173032431</v>
      </c>
      <c r="BU49" s="280">
        <f t="shared" si="25"/>
        <v>286.11201450795659</v>
      </c>
      <c r="BV49" s="54">
        <f t="shared" si="26"/>
        <v>350</v>
      </c>
      <c r="BW49" s="71">
        <f t="shared" si="22"/>
        <v>84.540816326530617</v>
      </c>
      <c r="BX49" s="69">
        <f t="shared" si="11"/>
        <v>1.5202210667773639</v>
      </c>
      <c r="BY49" s="53">
        <v>9.59</v>
      </c>
      <c r="BZ49" s="53">
        <v>0.63</v>
      </c>
      <c r="CA49" s="53">
        <v>38.33</v>
      </c>
      <c r="CB49" s="53">
        <v>7.9855999999999998</v>
      </c>
      <c r="CC49" s="53">
        <v>0.69440000000000002</v>
      </c>
      <c r="CD49" s="53">
        <v>0</v>
      </c>
      <c r="CE49" s="53">
        <v>0</v>
      </c>
      <c r="CF49" s="53">
        <v>0</v>
      </c>
      <c r="CG49" s="53">
        <v>0</v>
      </c>
      <c r="CH49" s="53">
        <v>0</v>
      </c>
      <c r="CI49" s="53">
        <v>0</v>
      </c>
      <c r="CJ49" s="53">
        <v>0</v>
      </c>
      <c r="CK49" s="53">
        <v>12.71</v>
      </c>
      <c r="CL49" s="53">
        <v>14.81</v>
      </c>
      <c r="CM49" s="53">
        <v>0</v>
      </c>
      <c r="CN49" s="53">
        <v>0</v>
      </c>
      <c r="CO49" s="53">
        <v>14.2</v>
      </c>
      <c r="CP49" s="53">
        <v>1.03</v>
      </c>
      <c r="CQ49" s="53">
        <v>0</v>
      </c>
      <c r="CR49" s="53">
        <v>0</v>
      </c>
      <c r="CS49" s="53">
        <v>0</v>
      </c>
      <c r="CT49" s="53">
        <v>0</v>
      </c>
      <c r="CU49" s="53">
        <v>0</v>
      </c>
      <c r="CV49" s="53">
        <v>0</v>
      </c>
      <c r="CW49" s="53">
        <v>0</v>
      </c>
      <c r="CX49" s="53">
        <v>0</v>
      </c>
      <c r="CY49" s="280">
        <v>99.98</v>
      </c>
      <c r="CZ49" s="284">
        <v>0.42702762923351156</v>
      </c>
      <c r="DA49" s="284">
        <v>8.8966131907308371E-2</v>
      </c>
      <c r="DB49" s="284">
        <v>7.7361853832442068E-3</v>
      </c>
      <c r="DC49" s="284">
        <v>0</v>
      </c>
      <c r="DD49" s="284">
        <v>0</v>
      </c>
      <c r="DE49" s="284">
        <v>0</v>
      </c>
      <c r="DF49" s="284">
        <v>0</v>
      </c>
      <c r="DG49" s="284">
        <v>0</v>
      </c>
      <c r="DH49" s="284">
        <v>0</v>
      </c>
      <c r="DI49" s="284">
        <v>0</v>
      </c>
      <c r="DJ49" s="284">
        <v>0.14159982174688057</v>
      </c>
      <c r="DK49" s="284">
        <v>0.16499554367201424</v>
      </c>
      <c r="DL49" s="284">
        <v>0</v>
      </c>
      <c r="DM49" s="284">
        <v>0</v>
      </c>
      <c r="DN49" s="284">
        <v>0.15819964349376112</v>
      </c>
      <c r="DO49" s="284">
        <v>1.1475044563279857E-2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v>0</v>
      </c>
      <c r="DV49" s="284">
        <v>0</v>
      </c>
      <c r="DW49" s="284">
        <v>0</v>
      </c>
      <c r="DX49" s="53">
        <v>1</v>
      </c>
      <c r="DY49" s="71">
        <v>70.3556510802063</v>
      </c>
      <c r="DZ49" s="71">
        <v>18.037405789400129</v>
      </c>
      <c r="EA49" s="71">
        <v>0.21782900748475859</v>
      </c>
      <c r="EB49" s="71">
        <v>2.5131351030927696</v>
      </c>
      <c r="EC49" s="71">
        <v>0</v>
      </c>
      <c r="ED49" s="71">
        <v>0.9056434221114773</v>
      </c>
      <c r="EE49" s="71">
        <v>2.1795429403879771E-2</v>
      </c>
      <c r="EF49" s="71">
        <v>9.1460109497859071E-2</v>
      </c>
      <c r="EG49" s="71">
        <v>2.4991892565931</v>
      </c>
      <c r="EH49" s="71">
        <v>0.34159568642016358</v>
      </c>
      <c r="EI49" s="71">
        <v>0</v>
      </c>
      <c r="EJ49" s="71">
        <v>5.0162951157895623</v>
      </c>
      <c r="EK49" s="71">
        <v>0</v>
      </c>
      <c r="EL49" s="71">
        <v>99.999999999999986</v>
      </c>
      <c r="EM49" s="53">
        <v>87.348844076354723</v>
      </c>
      <c r="EN49" s="53" t="s">
        <v>108</v>
      </c>
      <c r="EO49" s="288">
        <v>2.9571462698558777E-2</v>
      </c>
      <c r="EP49" s="257">
        <f t="shared" si="12"/>
        <v>2.9571462698558775</v>
      </c>
      <c r="EQ49" s="257">
        <f t="shared" si="13"/>
        <v>53.509624732646309</v>
      </c>
      <c r="ER49" s="324">
        <f t="shared" si="14"/>
        <v>0.77503137044567227</v>
      </c>
      <c r="ES49" s="257">
        <f t="shared" si="15"/>
        <v>1.0144787787980831</v>
      </c>
      <c r="ET49">
        <f t="shared" si="8"/>
        <v>350</v>
      </c>
      <c r="EU49" s="324">
        <f t="shared" si="16"/>
        <v>0.76397001755315253</v>
      </c>
      <c r="EV49" s="39">
        <f t="shared" si="17"/>
        <v>160.69999999999999</v>
      </c>
      <c r="EW49"/>
      <c r="EX49">
        <f t="shared" si="18"/>
        <v>0.95042735042735049</v>
      </c>
      <c r="EY49"/>
      <c r="EZ49"/>
      <c r="FA49"/>
      <c r="FB49"/>
      <c r="FC49"/>
      <c r="FD49"/>
    </row>
    <row r="50" spans="1:160" s="54" customFormat="1" ht="13" customHeight="1" x14ac:dyDescent="0.2">
      <c r="A50" s="49" t="s">
        <v>109</v>
      </c>
      <c r="B50" s="50" t="s">
        <v>462</v>
      </c>
      <c r="C50" s="275">
        <f t="shared" si="27"/>
        <v>159.69999999999999</v>
      </c>
      <c r="D50" s="51">
        <v>400</v>
      </c>
      <c r="E50" s="51">
        <v>500</v>
      </c>
      <c r="F50" s="51">
        <f t="shared" si="23"/>
        <v>450</v>
      </c>
      <c r="G50" s="83" t="s">
        <v>508</v>
      </c>
      <c r="H50" s="84">
        <v>7.5</v>
      </c>
      <c r="I50" s="85">
        <v>5</v>
      </c>
      <c r="J50" s="85">
        <v>6</v>
      </c>
      <c r="K50" s="89">
        <f t="shared" si="20"/>
        <v>6.25</v>
      </c>
      <c r="L50" s="51">
        <v>161</v>
      </c>
      <c r="M50" s="51">
        <v>111</v>
      </c>
      <c r="N50" s="51">
        <v>63</v>
      </c>
      <c r="O50" s="52">
        <v>54.05</v>
      </c>
      <c r="P50" s="52">
        <v>20.72</v>
      </c>
      <c r="Q50" s="52">
        <v>10.32</v>
      </c>
      <c r="R50" s="52">
        <v>0.17899999999999999</v>
      </c>
      <c r="S50" s="52">
        <v>1.2</v>
      </c>
      <c r="T50" s="52">
        <v>0.06</v>
      </c>
      <c r="U50" s="52">
        <v>0.12</v>
      </c>
      <c r="V50" s="52">
        <v>1.97</v>
      </c>
      <c r="W50" s="52">
        <v>0.88</v>
      </c>
      <c r="X50" s="52">
        <v>0.04</v>
      </c>
      <c r="Y50" s="52">
        <v>9.76</v>
      </c>
      <c r="Z50" s="52">
        <v>99.3</v>
      </c>
      <c r="AA50" s="52">
        <v>28</v>
      </c>
      <c r="AB50" s="52">
        <v>2</v>
      </c>
      <c r="AC50" s="52">
        <v>155</v>
      </c>
      <c r="AD50" s="52">
        <v>0</v>
      </c>
      <c r="AE50" s="52">
        <v>34</v>
      </c>
      <c r="AF50" s="52">
        <v>0</v>
      </c>
      <c r="AG50" s="52">
        <v>80</v>
      </c>
      <c r="AH50" s="52">
        <v>80</v>
      </c>
      <c r="AI50" s="52">
        <v>24</v>
      </c>
      <c r="AJ50" s="52">
        <v>2</v>
      </c>
      <c r="AK50" s="52">
        <v>0</v>
      </c>
      <c r="AL50" s="52">
        <v>107</v>
      </c>
      <c r="AM50" s="52">
        <v>27</v>
      </c>
      <c r="AN50" s="68">
        <f>'O.G.Chem Results'!AN50/'O.G.Chem Results'!$AN$142</f>
        <v>10.256410256410255</v>
      </c>
      <c r="AO50" s="52">
        <v>123</v>
      </c>
      <c r="AP50" s="52">
        <v>4</v>
      </c>
      <c r="AQ50" s="52" t="s">
        <v>72</v>
      </c>
      <c r="AR50" s="52" t="s">
        <v>74</v>
      </c>
      <c r="AS50" s="52" t="s">
        <v>73</v>
      </c>
      <c r="AT50" s="52">
        <v>1</v>
      </c>
      <c r="AU50" s="52" t="s">
        <v>74</v>
      </c>
      <c r="AV50" s="52">
        <v>2.8</v>
      </c>
      <c r="AW50" s="52">
        <v>374</v>
      </c>
      <c r="AX50" s="52" t="s">
        <v>75</v>
      </c>
      <c r="AY50" s="68">
        <f>'O.G.Chem Results'!AY50/'O.G.Chem Results'!AY$142</f>
        <v>145.10638297872342</v>
      </c>
      <c r="AZ50" s="68">
        <f>'O.G.Chem Results'!AZ50/'O.G.Chem Results'!AZ$142</f>
        <v>69.960212201591503</v>
      </c>
      <c r="BA50" s="68">
        <f>'O.G.Chem Results'!BA50/'O.G.Chem Results'!BA$142</f>
        <v>77.104377104377107</v>
      </c>
      <c r="BB50" s="68">
        <f>'O.G.Chem Results'!BB50/'O.G.Chem Results'!BB$142</f>
        <v>51.282051282051285</v>
      </c>
      <c r="BC50" s="68">
        <f>'O.G.Chem Results'!BC50/'O.G.Chem Results'!BC$142</f>
        <v>28.552005438477231</v>
      </c>
      <c r="BD50" s="68">
        <f>'O.G.Chem Results'!BD50/'O.G.Chem Results'!BD$142</f>
        <v>19.821428571428573</v>
      </c>
      <c r="BE50" s="68">
        <f>'O.G.Chem Results'!BE50/'O.G.Chem Results'!BE$142</f>
        <v>18.75</v>
      </c>
      <c r="BF50" s="68">
        <f>'O.G.Chem Results'!BF50/'O.G.Chem Results'!BF$142</f>
        <v>13.774104683195592</v>
      </c>
      <c r="BG50" s="68">
        <f>'O.G.Chem Results'!BG50/'O.G.Chem Results'!BG$142</f>
        <v>13.185002060156572</v>
      </c>
      <c r="BH50" s="68">
        <f>'O.G.Chem Results'!BH50/'O.G.Chem Results'!BH$142</f>
        <v>12.589928057553955</v>
      </c>
      <c r="BI50" s="68">
        <f>'O.G.Chem Results'!BI50/'O.G.Chem Results'!BI$142</f>
        <v>12.586532410320956</v>
      </c>
      <c r="BJ50" s="68">
        <f>'O.G.Chem Results'!BJ50/'O.G.Chem Results'!BJ$142</f>
        <v>13.636363636363637</v>
      </c>
      <c r="BK50" s="68">
        <f>'O.G.Chem Results'!BK50/'O.G.Chem Results'!BK$142</f>
        <v>13.538461538461538</v>
      </c>
      <c r="BL50" s="68">
        <f>'O.G.Chem Results'!BL50/'O.G.Chem Results'!BL$142</f>
        <v>14.403292181069956</v>
      </c>
      <c r="BM50" s="52">
        <v>3.7</v>
      </c>
      <c r="BN50" s="52">
        <v>0.3</v>
      </c>
      <c r="BO50" s="52">
        <v>0</v>
      </c>
      <c r="BP50" s="52">
        <v>0.6</v>
      </c>
      <c r="BQ50" s="52">
        <v>15</v>
      </c>
      <c r="BR50" s="52">
        <v>4.8</v>
      </c>
      <c r="BS50" s="52">
        <v>2.1</v>
      </c>
      <c r="BT50" s="53">
        <f t="shared" si="24"/>
        <v>0.32529557713477475</v>
      </c>
      <c r="BU50" s="280">
        <f t="shared" si="25"/>
        <v>504.29014214377133</v>
      </c>
      <c r="BV50" s="54">
        <f t="shared" si="26"/>
        <v>450</v>
      </c>
      <c r="BW50" s="71">
        <f t="shared" si="22"/>
        <v>90.599038041101892</v>
      </c>
      <c r="BX50" s="69">
        <f t="shared" si="11"/>
        <v>0.90734423685033516</v>
      </c>
      <c r="BY50" s="53">
        <v>9.6199999999999992</v>
      </c>
      <c r="BZ50" s="53">
        <v>0.72</v>
      </c>
      <c r="CA50" s="53">
        <v>22.01</v>
      </c>
      <c r="CB50" s="53">
        <v>5.6487999999999996</v>
      </c>
      <c r="CC50" s="53">
        <v>0.49119999999999997</v>
      </c>
      <c r="CD50" s="53">
        <v>0</v>
      </c>
      <c r="CE50" s="53">
        <v>0</v>
      </c>
      <c r="CF50" s="53">
        <v>0</v>
      </c>
      <c r="CG50" s="53">
        <v>0</v>
      </c>
      <c r="CH50" s="53">
        <v>0.61</v>
      </c>
      <c r="CI50" s="53">
        <v>0</v>
      </c>
      <c r="CJ50" s="53">
        <v>0</v>
      </c>
      <c r="CK50" s="53">
        <v>29.61</v>
      </c>
      <c r="CL50" s="53">
        <v>14.03</v>
      </c>
      <c r="CM50" s="53">
        <v>0</v>
      </c>
      <c r="CN50" s="53">
        <v>0</v>
      </c>
      <c r="CO50" s="53">
        <v>15.54</v>
      </c>
      <c r="CP50" s="53">
        <v>1.73</v>
      </c>
      <c r="CQ50" s="53">
        <v>0</v>
      </c>
      <c r="CR50" s="53">
        <v>0</v>
      </c>
      <c r="CS50" s="53">
        <v>0</v>
      </c>
      <c r="CT50" s="53">
        <v>0</v>
      </c>
      <c r="CU50" s="53">
        <v>0</v>
      </c>
      <c r="CV50" s="53">
        <v>0</v>
      </c>
      <c r="CW50" s="53">
        <v>0</v>
      </c>
      <c r="CX50" s="53">
        <v>0</v>
      </c>
      <c r="CY50" s="280">
        <v>100.01</v>
      </c>
      <c r="CZ50" s="284">
        <v>0.24545555927288951</v>
      </c>
      <c r="DA50" s="284">
        <v>6.2995427679268426E-2</v>
      </c>
      <c r="DB50" s="284">
        <v>5.4778632764581241E-3</v>
      </c>
      <c r="DC50" s="284">
        <v>0</v>
      </c>
      <c r="DD50" s="284">
        <v>0</v>
      </c>
      <c r="DE50" s="284">
        <v>0</v>
      </c>
      <c r="DF50" s="284">
        <v>0</v>
      </c>
      <c r="DG50" s="284">
        <v>6.8027210884353739E-3</v>
      </c>
      <c r="DH50" s="284">
        <v>0</v>
      </c>
      <c r="DI50" s="284">
        <v>0</v>
      </c>
      <c r="DJ50" s="284">
        <v>0.33021077283372363</v>
      </c>
      <c r="DK50" s="284">
        <v>0.15646258503401358</v>
      </c>
      <c r="DL50" s="284">
        <v>0</v>
      </c>
      <c r="DM50" s="284">
        <v>0</v>
      </c>
      <c r="DN50" s="284">
        <v>0.17330210772833723</v>
      </c>
      <c r="DO50" s="284">
        <v>1.9292963086874095E-2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v>0</v>
      </c>
      <c r="DV50" s="284">
        <v>0</v>
      </c>
      <c r="DW50" s="284">
        <v>0</v>
      </c>
      <c r="DX50" s="53">
        <v>1</v>
      </c>
      <c r="DY50" s="71">
        <v>59.722027272750744</v>
      </c>
      <c r="DZ50" s="71">
        <v>25.027573861330648</v>
      </c>
      <c r="EA50" s="71">
        <v>1.0766740526136724</v>
      </c>
      <c r="EB50" s="71">
        <v>2.7832213442908813</v>
      </c>
      <c r="EC50" s="71">
        <v>0</v>
      </c>
      <c r="ED50" s="71">
        <v>1.0088020085819362</v>
      </c>
      <c r="EE50" s="71">
        <v>2.3876121153746481E-2</v>
      </c>
      <c r="EF50" s="71">
        <v>6.4761371433043627E-2</v>
      </c>
      <c r="EG50" s="71">
        <v>2.2325413551159587</v>
      </c>
      <c r="EH50" s="71">
        <v>0.37420597885138163</v>
      </c>
      <c r="EI50" s="71">
        <v>0</v>
      </c>
      <c r="EJ50" s="71">
        <v>7.6863166338779987</v>
      </c>
      <c r="EK50" s="71">
        <v>0</v>
      </c>
      <c r="EL50" s="71">
        <v>99.999999999999986</v>
      </c>
      <c r="EM50" s="53">
        <v>91.512670166723709</v>
      </c>
      <c r="EN50" s="53" t="s">
        <v>109</v>
      </c>
      <c r="EO50" s="288">
        <v>4.1103853178907329E-2</v>
      </c>
      <c r="EP50" s="257">
        <f t="shared" si="12"/>
        <v>4.1103853178907332</v>
      </c>
      <c r="EQ50" s="257">
        <f t="shared" si="13"/>
        <v>65.40053207212533</v>
      </c>
      <c r="ER50" s="324">
        <f t="shared" si="14"/>
        <v>0.83807983985833623</v>
      </c>
      <c r="ES50" s="257">
        <f t="shared" si="15"/>
        <v>0.61459391478137848</v>
      </c>
      <c r="ET50">
        <f t="shared" si="8"/>
        <v>450</v>
      </c>
      <c r="EU50" s="324">
        <f t="shared" si="16"/>
        <v>1.3636318546311275</v>
      </c>
      <c r="EV50" s="39">
        <f t="shared" si="17"/>
        <v>159.69999999999999</v>
      </c>
      <c r="EW50"/>
      <c r="EX50">
        <f t="shared" si="18"/>
        <v>0.81465201465201476</v>
      </c>
      <c r="EY50"/>
      <c r="EZ50"/>
      <c r="FA50"/>
      <c r="FB50"/>
      <c r="FC50"/>
      <c r="FD50"/>
    </row>
    <row r="51" spans="1:160" s="54" customFormat="1" ht="13" customHeight="1" x14ac:dyDescent="0.2">
      <c r="A51" s="49" t="s">
        <v>110</v>
      </c>
      <c r="B51" s="50" t="s">
        <v>462</v>
      </c>
      <c r="C51" s="275">
        <f t="shared" si="27"/>
        <v>158.69999999999999</v>
      </c>
      <c r="D51" s="51">
        <v>500</v>
      </c>
      <c r="E51" s="51">
        <v>600</v>
      </c>
      <c r="F51" s="51">
        <f t="shared" si="23"/>
        <v>550</v>
      </c>
      <c r="G51" s="83" t="s">
        <v>508</v>
      </c>
      <c r="H51" s="84">
        <v>7.5</v>
      </c>
      <c r="I51" s="85">
        <v>5</v>
      </c>
      <c r="J51" s="85">
        <v>6</v>
      </c>
      <c r="K51" s="89">
        <f t="shared" si="20"/>
        <v>6.25</v>
      </c>
      <c r="L51" s="51">
        <v>161</v>
      </c>
      <c r="M51" s="51">
        <v>111</v>
      </c>
      <c r="N51" s="51">
        <v>63</v>
      </c>
      <c r="O51" s="52">
        <v>66.08</v>
      </c>
      <c r="P51" s="52">
        <v>17.71</v>
      </c>
      <c r="Q51" s="52">
        <v>5.86</v>
      </c>
      <c r="R51" s="52">
        <v>8.3000000000000004E-2</v>
      </c>
      <c r="S51" s="52">
        <v>0.8</v>
      </c>
      <c r="T51" s="52">
        <v>0.04</v>
      </c>
      <c r="U51" s="52">
        <v>0.13</v>
      </c>
      <c r="V51" s="52">
        <v>2.41</v>
      </c>
      <c r="W51" s="52">
        <v>0.45300000000000001</v>
      </c>
      <c r="X51" s="52">
        <v>0.02</v>
      </c>
      <c r="Y51" s="52">
        <v>7.09</v>
      </c>
      <c r="Z51" s="52">
        <v>100.7</v>
      </c>
      <c r="AA51" s="52">
        <v>14</v>
      </c>
      <c r="AB51" s="52">
        <v>2</v>
      </c>
      <c r="AC51" s="52">
        <v>83</v>
      </c>
      <c r="AD51" s="52">
        <v>0</v>
      </c>
      <c r="AE51" s="52">
        <v>14</v>
      </c>
      <c r="AF51" s="52">
        <v>0</v>
      </c>
      <c r="AG51" s="52">
        <v>60</v>
      </c>
      <c r="AH51" s="52">
        <v>60</v>
      </c>
      <c r="AI51" s="52">
        <v>18</v>
      </c>
      <c r="AJ51" s="52">
        <v>2</v>
      </c>
      <c r="AK51" s="52">
        <v>0</v>
      </c>
      <c r="AL51" s="52">
        <v>93</v>
      </c>
      <c r="AM51" s="52">
        <v>44</v>
      </c>
      <c r="AN51" s="68">
        <f>'O.G.Chem Results'!AN51/'O.G.Chem Results'!$AN$142</f>
        <v>5.7692307692307692</v>
      </c>
      <c r="AO51" s="52">
        <v>112</v>
      </c>
      <c r="AP51" s="52">
        <v>4</v>
      </c>
      <c r="AQ51" s="52" t="s">
        <v>72</v>
      </c>
      <c r="AR51" s="52" t="s">
        <v>74</v>
      </c>
      <c r="AS51" s="52" t="s">
        <v>73</v>
      </c>
      <c r="AT51" s="52">
        <v>1</v>
      </c>
      <c r="AU51" s="52" t="s">
        <v>74</v>
      </c>
      <c r="AV51" s="52">
        <v>2.2000000000000002</v>
      </c>
      <c r="AW51" s="52">
        <v>494</v>
      </c>
      <c r="AX51" s="52" t="s">
        <v>75</v>
      </c>
      <c r="AY51" s="68">
        <f>'O.G.Chem Results'!AY51/'O.G.Chem Results'!AY$142</f>
        <v>80.000000000000014</v>
      </c>
      <c r="AZ51" s="68">
        <f>'O.G.Chem Results'!AZ51/'O.G.Chem Results'!AZ$142</f>
        <v>73.441644562334204</v>
      </c>
      <c r="BA51" s="68">
        <f>'O.G.Chem Results'!BA51/'O.G.Chem Results'!BA$142</f>
        <v>42.312008978675649</v>
      </c>
      <c r="BB51" s="68">
        <f>'O.G.Chem Results'!BB51/'O.G.Chem Results'!BB$142</f>
        <v>28.514588859416449</v>
      </c>
      <c r="BC51" s="68">
        <f>'O.G.Chem Results'!BC51/'O.G.Chem Results'!BC$142</f>
        <v>14.276002719238615</v>
      </c>
      <c r="BD51" s="68">
        <f>'O.G.Chem Results'!BD51/'O.G.Chem Results'!BD$142</f>
        <v>10.357142857142856</v>
      </c>
      <c r="BE51" s="68">
        <f>'O.G.Chem Results'!BE51/'O.G.Chem Results'!BE$142</f>
        <v>9.6590909090909101</v>
      </c>
      <c r="BF51" s="68">
        <f>'O.G.Chem Results'!BF51/'O.G.Chem Results'!BF$142</f>
        <v>8.2644628099173545</v>
      </c>
      <c r="BG51" s="68">
        <f>'O.G.Chem Results'!BG51/'O.G.Chem Results'!BG$142</f>
        <v>6.1804697156983934</v>
      </c>
      <c r="BH51" s="68">
        <f>'O.G.Chem Results'!BH51/'O.G.Chem Results'!BH$142</f>
        <v>5.3956834532374094</v>
      </c>
      <c r="BI51" s="68">
        <f>'O.G.Chem Results'!BI51/'O.G.Chem Results'!BI$142</f>
        <v>6.293266205160478</v>
      </c>
      <c r="BJ51" s="68">
        <f>'O.G.Chem Results'!BJ51/'O.G.Chem Results'!BJ$142</f>
        <v>6.6115702479338845</v>
      </c>
      <c r="BK51" s="68">
        <f>'O.G.Chem Results'!BK51/'O.G.Chem Results'!BK$142</f>
        <v>6.7692307692307692</v>
      </c>
      <c r="BL51" s="68">
        <f>'O.G.Chem Results'!BL51/'O.G.Chem Results'!BL$142</f>
        <v>7.4074074074074066</v>
      </c>
      <c r="BM51" s="52">
        <v>3.2</v>
      </c>
      <c r="BN51" s="52">
        <v>0.4</v>
      </c>
      <c r="BO51" s="52">
        <v>5</v>
      </c>
      <c r="BP51" s="52">
        <v>0.4</v>
      </c>
      <c r="BQ51" s="52">
        <v>16</v>
      </c>
      <c r="BR51" s="52">
        <v>8.1</v>
      </c>
      <c r="BS51" s="52">
        <v>1.6</v>
      </c>
      <c r="BT51" s="53">
        <f t="shared" si="24"/>
        <v>0.47862915424175628</v>
      </c>
      <c r="BU51" s="280">
        <f t="shared" si="25"/>
        <v>305.48256949448438</v>
      </c>
      <c r="BV51" s="54">
        <f t="shared" si="26"/>
        <v>550</v>
      </c>
      <c r="BW51" s="71">
        <f t="shared" si="22"/>
        <v>87.284376540167571</v>
      </c>
      <c r="BX51" s="69">
        <f t="shared" si="11"/>
        <v>1.735716321088588</v>
      </c>
      <c r="BY51" s="53">
        <v>9.19</v>
      </c>
      <c r="BZ51" s="53">
        <v>0.44</v>
      </c>
      <c r="CA51" s="53">
        <v>33.369999999999997</v>
      </c>
      <c r="CB51" s="53">
        <v>6.9551999999999996</v>
      </c>
      <c r="CC51" s="53">
        <v>0.6048</v>
      </c>
      <c r="CD51" s="53">
        <v>0</v>
      </c>
      <c r="CE51" s="53">
        <v>0</v>
      </c>
      <c r="CF51" s="53">
        <v>0</v>
      </c>
      <c r="CG51" s="53">
        <v>0</v>
      </c>
      <c r="CH51" s="53">
        <v>0.22</v>
      </c>
      <c r="CI51" s="53">
        <v>0</v>
      </c>
      <c r="CJ51" s="53">
        <v>0</v>
      </c>
      <c r="CK51" s="53">
        <v>20.69</v>
      </c>
      <c r="CL51" s="53">
        <v>14.63</v>
      </c>
      <c r="CM51" s="53">
        <v>0</v>
      </c>
      <c r="CN51" s="53">
        <v>0</v>
      </c>
      <c r="CO51" s="53">
        <v>13.56</v>
      </c>
      <c r="CP51" s="53">
        <v>0.33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280">
        <v>99.99</v>
      </c>
      <c r="CZ51" s="284">
        <v>0.3693005754758743</v>
      </c>
      <c r="DA51" s="284">
        <v>7.6972111553784875E-2</v>
      </c>
      <c r="DB51" s="284">
        <v>6.6932270916334677E-3</v>
      </c>
      <c r="DC51" s="284">
        <v>0</v>
      </c>
      <c r="DD51" s="284">
        <v>0</v>
      </c>
      <c r="DE51" s="284">
        <v>0</v>
      </c>
      <c r="DF51" s="284">
        <v>0</v>
      </c>
      <c r="DG51" s="284">
        <v>2.4347056219566183E-3</v>
      </c>
      <c r="DH51" s="284">
        <v>0</v>
      </c>
      <c r="DI51" s="284">
        <v>0</v>
      </c>
      <c r="DJ51" s="284">
        <v>0.22897299690128381</v>
      </c>
      <c r="DK51" s="284">
        <v>0.16190792386011513</v>
      </c>
      <c r="DL51" s="284">
        <v>0</v>
      </c>
      <c r="DM51" s="284">
        <v>0</v>
      </c>
      <c r="DN51" s="284">
        <v>0.15006640106241703</v>
      </c>
      <c r="DO51" s="284">
        <v>3.6520584329349276E-3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v>0</v>
      </c>
      <c r="DV51" s="284">
        <v>0</v>
      </c>
      <c r="DW51" s="284">
        <v>0</v>
      </c>
      <c r="DX51" s="53">
        <v>1.0000000000000002</v>
      </c>
      <c r="DY51" s="71">
        <v>66.892950618350383</v>
      </c>
      <c r="DZ51" s="71">
        <v>20.633694400356706</v>
      </c>
      <c r="EA51" s="71">
        <v>0.55577644154313699</v>
      </c>
      <c r="EB51" s="71">
        <v>2.3514693199048793</v>
      </c>
      <c r="EC51" s="71">
        <v>0</v>
      </c>
      <c r="ED51" s="71">
        <v>0.84111292643840496</v>
      </c>
      <c r="EE51" s="71">
        <v>2.0674898994821105E-2</v>
      </c>
      <c r="EF51" s="71">
        <v>7.912986211792665E-2</v>
      </c>
      <c r="EG51" s="71">
        <v>2.1611258618243276</v>
      </c>
      <c r="EH51" s="71">
        <v>0.32403382300631745</v>
      </c>
      <c r="EI51" s="71">
        <v>0</v>
      </c>
      <c r="EJ51" s="71">
        <v>6.1400318474631179</v>
      </c>
      <c r="EK51" s="71">
        <v>0</v>
      </c>
      <c r="EL51" s="71">
        <v>100</v>
      </c>
      <c r="EM51" s="53">
        <v>90.124622610605215</v>
      </c>
      <c r="EN51" s="53" t="s">
        <v>110</v>
      </c>
      <c r="EO51" s="288">
        <v>3.1188780002394556E-2</v>
      </c>
      <c r="EP51" s="257">
        <f t="shared" si="12"/>
        <v>3.1188780002394556</v>
      </c>
      <c r="EQ51" s="257">
        <f t="shared" si="13"/>
        <v>62.361817862782942</v>
      </c>
      <c r="ER51" s="324">
        <f t="shared" si="14"/>
        <v>0.86543575036482534</v>
      </c>
      <c r="ES51" s="257">
        <f t="shared" si="15"/>
        <v>1.1687420852680452</v>
      </c>
      <c r="ET51">
        <f t="shared" si="8"/>
        <v>550</v>
      </c>
      <c r="EU51" s="324">
        <f t="shared" si="16"/>
        <v>0.74048480094420654</v>
      </c>
      <c r="EV51" s="39">
        <f t="shared" si="17"/>
        <v>158.69999999999999</v>
      </c>
      <c r="EW51"/>
      <c r="EX51">
        <f t="shared" si="18"/>
        <v>1.0692307692307694</v>
      </c>
      <c r="EY51"/>
      <c r="EZ51"/>
      <c r="FA51"/>
      <c r="FB51"/>
      <c r="FC51"/>
      <c r="FD51"/>
    </row>
    <row r="52" spans="1:160" s="54" customFormat="1" ht="13" customHeight="1" x14ac:dyDescent="0.2">
      <c r="A52" s="49" t="s">
        <v>111</v>
      </c>
      <c r="B52" s="50" t="s">
        <v>462</v>
      </c>
      <c r="C52" s="275">
        <f t="shared" si="27"/>
        <v>157.69999999999999</v>
      </c>
      <c r="D52" s="51">
        <v>600</v>
      </c>
      <c r="E52" s="51">
        <v>700</v>
      </c>
      <c r="F52" s="51">
        <f t="shared" si="23"/>
        <v>650</v>
      </c>
      <c r="G52" s="83" t="s">
        <v>516</v>
      </c>
      <c r="H52" s="84">
        <v>10</v>
      </c>
      <c r="I52" s="85">
        <v>5</v>
      </c>
      <c r="J52" s="85">
        <v>4</v>
      </c>
      <c r="K52" s="89">
        <f t="shared" si="20"/>
        <v>12.5</v>
      </c>
      <c r="L52" s="51">
        <v>146</v>
      </c>
      <c r="M52" s="51">
        <v>116</v>
      </c>
      <c r="N52" s="51">
        <v>79</v>
      </c>
      <c r="O52" s="52">
        <v>70.540000000000006</v>
      </c>
      <c r="P52" s="52">
        <v>16.3</v>
      </c>
      <c r="Q52" s="52">
        <v>3.49</v>
      </c>
      <c r="R52" s="52">
        <v>6.4000000000000001E-2</v>
      </c>
      <c r="S52" s="52">
        <v>0.63</v>
      </c>
      <c r="T52" s="52">
        <v>7.0000000000000007E-2</v>
      </c>
      <c r="U52" s="52">
        <v>0.2</v>
      </c>
      <c r="V52" s="52">
        <v>3.23</v>
      </c>
      <c r="W52" s="52">
        <v>0.254</v>
      </c>
      <c r="X52" s="52">
        <v>0</v>
      </c>
      <c r="Y52" s="52">
        <v>5.47</v>
      </c>
      <c r="Z52" s="52">
        <v>100.3</v>
      </c>
      <c r="AA52" s="52">
        <v>7</v>
      </c>
      <c r="AB52" s="52">
        <v>1</v>
      </c>
      <c r="AC52" s="52">
        <v>52</v>
      </c>
      <c r="AD52" s="52">
        <v>0</v>
      </c>
      <c r="AE52" s="52">
        <v>11</v>
      </c>
      <c r="AF52" s="52">
        <v>0</v>
      </c>
      <c r="AG52" s="52">
        <v>70</v>
      </c>
      <c r="AH52" s="52">
        <v>50</v>
      </c>
      <c r="AI52" s="52">
        <v>16</v>
      </c>
      <c r="AJ52" s="52">
        <v>2</v>
      </c>
      <c r="AK52" s="52">
        <v>0</v>
      </c>
      <c r="AL52" s="52">
        <v>100</v>
      </c>
      <c r="AM52" s="52">
        <v>52</v>
      </c>
      <c r="AN52" s="68">
        <f>'O.G.Chem Results'!AN52/'O.G.Chem Results'!$AN$142</f>
        <v>3.8461538461538458</v>
      </c>
      <c r="AO52" s="52">
        <v>85</v>
      </c>
      <c r="AP52" s="52">
        <v>4</v>
      </c>
      <c r="AQ52" s="52" t="s">
        <v>72</v>
      </c>
      <c r="AR52" s="52" t="s">
        <v>74</v>
      </c>
      <c r="AS52" s="52" t="s">
        <v>73</v>
      </c>
      <c r="AT52" s="52">
        <v>0</v>
      </c>
      <c r="AU52" s="52" t="s">
        <v>74</v>
      </c>
      <c r="AV52" s="52">
        <v>1.6</v>
      </c>
      <c r="AW52" s="52">
        <v>581</v>
      </c>
      <c r="AX52" s="52" t="s">
        <v>75</v>
      </c>
      <c r="AY52" s="68">
        <f>'O.G.Chem Results'!AY52/'O.G.Chem Results'!AY$142</f>
        <v>71.063829787234042</v>
      </c>
      <c r="AZ52" s="68">
        <f>'O.G.Chem Results'!AZ52/'O.G.Chem Results'!AZ$142</f>
        <v>54.210875331564985</v>
      </c>
      <c r="BA52" s="68">
        <f>'O.G.Chem Results'!BA52/'O.G.Chem Results'!BA$142</f>
        <v>35.802469135802468</v>
      </c>
      <c r="BB52" s="68">
        <f>'O.G.Chem Results'!BB52/'O.G.Chem Results'!BB$142</f>
        <v>23.430592396109638</v>
      </c>
      <c r="BC52" s="68">
        <f>'O.G.Chem Results'!BC52/'O.G.Chem Results'!BC$142</f>
        <v>10.876954452753232</v>
      </c>
      <c r="BD52" s="68">
        <f>'O.G.Chem Results'!BD52/'O.G.Chem Results'!BD$142</f>
        <v>7.5</v>
      </c>
      <c r="BE52" s="68">
        <f>'O.G.Chem Results'!BE52/'O.G.Chem Results'!BE$142</f>
        <v>7.3863636363636367</v>
      </c>
      <c r="BF52" s="68">
        <f>'O.G.Chem Results'!BF52/'O.G.Chem Results'!BF$142</f>
        <v>5.5096418732782375</v>
      </c>
      <c r="BG52" s="68">
        <f>'O.G.Chem Results'!BG52/'O.G.Chem Results'!BG$142</f>
        <v>4.9443757725587139</v>
      </c>
      <c r="BH52" s="68">
        <f>'O.G.Chem Results'!BH52/'O.G.Chem Results'!BH$142</f>
        <v>3.5971223021582732</v>
      </c>
      <c r="BI52" s="68">
        <f>'O.G.Chem Results'!BI52/'O.G.Chem Results'!BI$142</f>
        <v>4.4052863436123344</v>
      </c>
      <c r="BJ52" s="68">
        <f>'O.G.Chem Results'!BJ52/'O.G.Chem Results'!BJ$142</f>
        <v>4.5454545454545459</v>
      </c>
      <c r="BK52" s="68">
        <f>'O.G.Chem Results'!BK52/'O.G.Chem Results'!BK$142</f>
        <v>4.9230769230769234</v>
      </c>
      <c r="BL52" s="68">
        <f>'O.G.Chem Results'!BL52/'O.G.Chem Results'!BL$142</f>
        <v>6.1728395061728385</v>
      </c>
      <c r="BM52" s="52">
        <v>2.8</v>
      </c>
      <c r="BN52" s="52">
        <v>0.4</v>
      </c>
      <c r="BO52" s="52">
        <v>1</v>
      </c>
      <c r="BP52" s="52">
        <v>0.4</v>
      </c>
      <c r="BQ52" s="52">
        <v>17</v>
      </c>
      <c r="BR52" s="52">
        <v>8.8000000000000007</v>
      </c>
      <c r="BS52" s="52">
        <v>1.2</v>
      </c>
      <c r="BT52" s="53">
        <f t="shared" si="24"/>
        <v>0.43273600428878572</v>
      </c>
      <c r="BU52" s="280">
        <f t="shared" si="25"/>
        <v>244.3688820061399</v>
      </c>
      <c r="BV52" s="54">
        <f t="shared" si="26"/>
        <v>650</v>
      </c>
      <c r="BW52" s="71">
        <f t="shared" si="22"/>
        <v>82.323232323232318</v>
      </c>
      <c r="BX52" s="69">
        <f t="shared" si="11"/>
        <v>1.5141658282264703</v>
      </c>
      <c r="BY52" s="53">
        <v>9.66</v>
      </c>
      <c r="BZ52" s="53">
        <v>0.48</v>
      </c>
      <c r="CA52" s="53">
        <v>36.94</v>
      </c>
      <c r="CB52" s="53">
        <v>12.502800000000001</v>
      </c>
      <c r="CC52" s="53">
        <v>1.0871999999999999</v>
      </c>
      <c r="CD52" s="53">
        <v>0</v>
      </c>
      <c r="CE52" s="53">
        <v>0</v>
      </c>
      <c r="CF52" s="53">
        <v>0</v>
      </c>
      <c r="CG52" s="53">
        <v>0</v>
      </c>
      <c r="CH52" s="53">
        <v>0</v>
      </c>
      <c r="CI52" s="53">
        <v>0</v>
      </c>
      <c r="CJ52" s="53">
        <v>0</v>
      </c>
      <c r="CK52" s="53">
        <v>8.59</v>
      </c>
      <c r="CL52" s="53">
        <v>15.28</v>
      </c>
      <c r="CM52" s="53">
        <v>0</v>
      </c>
      <c r="CN52" s="53">
        <v>0</v>
      </c>
      <c r="CO52" s="53">
        <v>15.34</v>
      </c>
      <c r="CP52" s="53">
        <v>0.11</v>
      </c>
      <c r="CQ52" s="53">
        <v>0</v>
      </c>
      <c r="CR52" s="53">
        <v>0</v>
      </c>
      <c r="CS52" s="53">
        <v>0</v>
      </c>
      <c r="CT52" s="53">
        <v>0</v>
      </c>
      <c r="CU52" s="53">
        <v>0</v>
      </c>
      <c r="CV52" s="53">
        <v>0</v>
      </c>
      <c r="CW52" s="53">
        <v>0</v>
      </c>
      <c r="CX52" s="53">
        <v>0</v>
      </c>
      <c r="CY52" s="280">
        <v>99.990000000000009</v>
      </c>
      <c r="CZ52" s="284">
        <v>0.41112966054535333</v>
      </c>
      <c r="DA52" s="284">
        <v>0.13915191986644407</v>
      </c>
      <c r="DB52" s="284">
        <v>1.2100166944908178E-2</v>
      </c>
      <c r="DC52" s="284">
        <v>0</v>
      </c>
      <c r="DD52" s="284">
        <v>0</v>
      </c>
      <c r="DE52" s="284">
        <v>0</v>
      </c>
      <c r="DF52" s="284">
        <v>0</v>
      </c>
      <c r="DG52" s="284">
        <v>0</v>
      </c>
      <c r="DH52" s="284">
        <v>0</v>
      </c>
      <c r="DI52" s="284">
        <v>0</v>
      </c>
      <c r="DJ52" s="284">
        <v>9.5603784084585405E-2</v>
      </c>
      <c r="DK52" s="284">
        <v>0.17006121313299943</v>
      </c>
      <c r="DL52" s="284">
        <v>0</v>
      </c>
      <c r="DM52" s="284">
        <v>0</v>
      </c>
      <c r="DN52" s="284">
        <v>0.17072899276572062</v>
      </c>
      <c r="DO52" s="284">
        <v>1.2242626599888702E-3</v>
      </c>
      <c r="DP52" s="284">
        <v>0</v>
      </c>
      <c r="DQ52" s="284">
        <v>0</v>
      </c>
      <c r="DR52" s="284">
        <v>0</v>
      </c>
      <c r="DS52" s="284">
        <v>0</v>
      </c>
      <c r="DT52" s="284">
        <v>0</v>
      </c>
      <c r="DU52" s="284">
        <v>0</v>
      </c>
      <c r="DV52" s="284">
        <v>0</v>
      </c>
      <c r="DW52" s="284">
        <v>0</v>
      </c>
      <c r="DX52" s="53">
        <v>1</v>
      </c>
      <c r="DY52" s="71">
        <v>70.408680716981237</v>
      </c>
      <c r="DZ52" s="71">
        <v>17.540796279186516</v>
      </c>
      <c r="EA52" s="71">
        <v>0.14707135321228734</v>
      </c>
      <c r="EB52" s="71">
        <v>2.6620893995646226</v>
      </c>
      <c r="EC52" s="71">
        <v>0</v>
      </c>
      <c r="ED52" s="71">
        <v>0.94964439233358178</v>
      </c>
      <c r="EE52" s="71">
        <v>2.3521618802936895E-2</v>
      </c>
      <c r="EF52" s="71">
        <v>0.14305275001819875</v>
      </c>
      <c r="EG52" s="71">
        <v>3.2976688588995842</v>
      </c>
      <c r="EH52" s="71">
        <v>0.36864992984595085</v>
      </c>
      <c r="EI52" s="71">
        <v>0</v>
      </c>
      <c r="EJ52" s="71">
        <v>4.4588247011550823</v>
      </c>
      <c r="EK52" s="71">
        <v>0</v>
      </c>
      <c r="EL52" s="71">
        <v>100</v>
      </c>
      <c r="EM52" s="53">
        <v>83.507561475513782</v>
      </c>
      <c r="EN52" s="53" t="s">
        <v>111</v>
      </c>
      <c r="EO52" s="288">
        <v>3.048748798737726E-2</v>
      </c>
      <c r="EP52" s="257">
        <f t="shared" si="12"/>
        <v>3.048748798737726</v>
      </c>
      <c r="EQ52" s="257">
        <f t="shared" si="13"/>
        <v>45.114345114345113</v>
      </c>
      <c r="ER52" s="324">
        <f t="shared" si="14"/>
        <v>0.82131844426115086</v>
      </c>
      <c r="ES52" s="257">
        <f t="shared" si="15"/>
        <v>0.98232872151608197</v>
      </c>
      <c r="ET52">
        <f t="shared" si="8"/>
        <v>650</v>
      </c>
      <c r="EU52" s="324">
        <f t="shared" si="16"/>
        <v>0.83609328147665773</v>
      </c>
      <c r="EV52" s="39">
        <f t="shared" si="17"/>
        <v>157.69999999999999</v>
      </c>
      <c r="EW52"/>
      <c r="EX52">
        <f t="shared" si="18"/>
        <v>1.0692307692307692</v>
      </c>
      <c r="EY52"/>
      <c r="EZ52"/>
      <c r="FA52"/>
      <c r="FB52"/>
      <c r="FC52"/>
      <c r="FD52"/>
    </row>
    <row r="53" spans="1:160" s="54" customFormat="1" ht="13" customHeight="1" x14ac:dyDescent="0.2">
      <c r="A53" s="49" t="s">
        <v>112</v>
      </c>
      <c r="B53" s="50" t="s">
        <v>462</v>
      </c>
      <c r="C53" s="275">
        <f t="shared" si="27"/>
        <v>156.69999999999999</v>
      </c>
      <c r="D53" s="51">
        <v>700</v>
      </c>
      <c r="E53" s="51">
        <v>800</v>
      </c>
      <c r="F53" s="51">
        <f t="shared" si="23"/>
        <v>750</v>
      </c>
      <c r="G53" s="83" t="s">
        <v>516</v>
      </c>
      <c r="H53" s="84">
        <v>10</v>
      </c>
      <c r="I53" s="85">
        <v>5</v>
      </c>
      <c r="J53" s="85">
        <v>4</v>
      </c>
      <c r="K53" s="89">
        <f t="shared" si="20"/>
        <v>12.5</v>
      </c>
      <c r="L53" s="51">
        <v>146</v>
      </c>
      <c r="M53" s="51">
        <v>116</v>
      </c>
      <c r="N53" s="51">
        <v>79</v>
      </c>
      <c r="O53" s="52">
        <v>72.84</v>
      </c>
      <c r="P53" s="52">
        <v>14.83</v>
      </c>
      <c r="Q53" s="52">
        <v>2.74</v>
      </c>
      <c r="R53" s="52">
        <v>4.3999999999999997E-2</v>
      </c>
      <c r="S53" s="52">
        <v>0.4</v>
      </c>
      <c r="T53" s="52">
        <v>0.09</v>
      </c>
      <c r="U53" s="52">
        <v>0.38</v>
      </c>
      <c r="V53" s="52">
        <v>5.74</v>
      </c>
      <c r="W53" s="52">
        <v>0.25800000000000001</v>
      </c>
      <c r="X53" s="52">
        <v>0.01</v>
      </c>
      <c r="Y53" s="52">
        <v>3.36</v>
      </c>
      <c r="Z53" s="52">
        <v>100.7</v>
      </c>
      <c r="AA53" s="52">
        <v>4</v>
      </c>
      <c r="AB53" s="52">
        <v>1</v>
      </c>
      <c r="AC53" s="52">
        <v>37</v>
      </c>
      <c r="AD53" s="52">
        <v>0</v>
      </c>
      <c r="AE53" s="52">
        <v>6</v>
      </c>
      <c r="AF53" s="52">
        <v>0</v>
      </c>
      <c r="AG53" s="52">
        <v>10</v>
      </c>
      <c r="AH53" s="52">
        <v>40</v>
      </c>
      <c r="AI53" s="52">
        <v>17</v>
      </c>
      <c r="AJ53" s="52">
        <v>1</v>
      </c>
      <c r="AK53" s="52">
        <v>0</v>
      </c>
      <c r="AL53" s="52">
        <v>140</v>
      </c>
      <c r="AM53" s="52">
        <v>129</v>
      </c>
      <c r="AN53" s="68">
        <f>'O.G.Chem Results'!AN53/'O.G.Chem Results'!$AN$142</f>
        <v>8.3333333333333339</v>
      </c>
      <c r="AO53" s="52">
        <v>234</v>
      </c>
      <c r="AP53" s="52">
        <v>5</v>
      </c>
      <c r="AQ53" s="52" t="s">
        <v>72</v>
      </c>
      <c r="AR53" s="52" t="s">
        <v>74</v>
      </c>
      <c r="AS53" s="52" t="s">
        <v>73</v>
      </c>
      <c r="AT53" s="52">
        <v>2</v>
      </c>
      <c r="AU53" s="52" t="s">
        <v>74</v>
      </c>
      <c r="AV53" s="52">
        <v>1.4</v>
      </c>
      <c r="AW53" s="52">
        <v>797</v>
      </c>
      <c r="AX53" s="52" t="s">
        <v>75</v>
      </c>
      <c r="AY53" s="68">
        <f>'O.G.Chem Results'!AY53/'O.G.Chem Results'!AY$142</f>
        <v>419.57446808510639</v>
      </c>
      <c r="AZ53" s="68">
        <f>'O.G.Chem Results'!AZ53/'O.G.Chem Results'!AZ$142</f>
        <v>389.58885941644559</v>
      </c>
      <c r="BA53" s="68">
        <f>'O.G.Chem Results'!BA53/'O.G.Chem Results'!BA$142</f>
        <v>224.46689113355779</v>
      </c>
      <c r="BB53" s="68">
        <f>'O.G.Chem Results'!BB53/'O.G.Chem Results'!BB$142</f>
        <v>136.38373121131744</v>
      </c>
      <c r="BC53" s="68">
        <f>'O.G.Chem Results'!BC53/'O.G.Chem Results'!BC$142</f>
        <v>52.34534330387492</v>
      </c>
      <c r="BD53" s="68">
        <f>'O.G.Chem Results'!BD53/'O.G.Chem Results'!BD$142</f>
        <v>22.5</v>
      </c>
      <c r="BE53" s="68">
        <f>'O.G.Chem Results'!BE53/'O.G.Chem Results'!BE$142</f>
        <v>22.15909090909091</v>
      </c>
      <c r="BF53" s="68">
        <f>'O.G.Chem Results'!BF53/'O.G.Chem Results'!BF$142</f>
        <v>13.774104683195592</v>
      </c>
      <c r="BG53" s="68">
        <f>'O.G.Chem Results'!BG53/'O.G.Chem Results'!BG$142</f>
        <v>10.300782859497321</v>
      </c>
      <c r="BH53" s="68">
        <f>'O.G.Chem Results'!BH53/'O.G.Chem Results'!BH$142</f>
        <v>8.9928057553956826</v>
      </c>
      <c r="BI53" s="68">
        <f>'O.G.Chem Results'!BI53/'O.G.Chem Results'!BI$142</f>
        <v>8.8105726872246688</v>
      </c>
      <c r="BJ53" s="68">
        <f>'O.G.Chem Results'!BJ53/'O.G.Chem Results'!BJ$142</f>
        <v>8.6776859504132222</v>
      </c>
      <c r="BK53" s="68">
        <f>'O.G.Chem Results'!BK53/'O.G.Chem Results'!BK$142</f>
        <v>9.2307692307692299</v>
      </c>
      <c r="BL53" s="68">
        <f>'O.G.Chem Results'!BL53/'O.G.Chem Results'!BL$142</f>
        <v>10.288065843621398</v>
      </c>
      <c r="BM53" s="52">
        <v>5.6</v>
      </c>
      <c r="BN53" s="52">
        <v>0.9</v>
      </c>
      <c r="BO53" s="52">
        <v>1</v>
      </c>
      <c r="BP53" s="52">
        <v>0.5</v>
      </c>
      <c r="BQ53" s="52">
        <v>28</v>
      </c>
      <c r="BR53" s="52">
        <v>35.9</v>
      </c>
      <c r="BS53" s="52">
        <v>2.4</v>
      </c>
      <c r="BT53" s="53">
        <f t="shared" si="24"/>
        <v>0.4814712261112678</v>
      </c>
      <c r="BU53" s="280">
        <f t="shared" si="25"/>
        <v>1337.0931710695102</v>
      </c>
      <c r="BV53" s="54">
        <f t="shared" si="26"/>
        <v>750</v>
      </c>
      <c r="BW53" s="71">
        <f t="shared" si="22"/>
        <v>70.48479087452472</v>
      </c>
      <c r="BX53" s="69">
        <f t="shared" si="11"/>
        <v>1.7356183687002651</v>
      </c>
      <c r="BY53" s="53">
        <v>9.26</v>
      </c>
      <c r="BZ53" s="53">
        <v>0.38</v>
      </c>
      <c r="CA53" s="53">
        <v>35.14</v>
      </c>
      <c r="CB53" s="53">
        <v>21.7028</v>
      </c>
      <c r="CC53" s="53">
        <v>4.7772000000000006</v>
      </c>
      <c r="CD53" s="53">
        <v>0</v>
      </c>
      <c r="CE53" s="53">
        <v>0</v>
      </c>
      <c r="CF53" s="53">
        <v>0</v>
      </c>
      <c r="CG53" s="53">
        <v>0</v>
      </c>
      <c r="CH53" s="53">
        <v>0</v>
      </c>
      <c r="CI53" s="53">
        <v>0</v>
      </c>
      <c r="CJ53" s="53">
        <v>0</v>
      </c>
      <c r="CK53" s="53">
        <v>0.21</v>
      </c>
      <c r="CL53" s="53">
        <v>16.5</v>
      </c>
      <c r="CM53" s="53">
        <v>0</v>
      </c>
      <c r="CN53" s="53">
        <v>0</v>
      </c>
      <c r="CO53" s="53">
        <v>12.02</v>
      </c>
      <c r="CP53" s="53">
        <v>0</v>
      </c>
      <c r="CQ53" s="53">
        <v>0</v>
      </c>
      <c r="CR53" s="53">
        <v>0</v>
      </c>
      <c r="CS53" s="53">
        <v>0</v>
      </c>
      <c r="CT53" s="53">
        <v>0</v>
      </c>
      <c r="CU53" s="53">
        <v>0</v>
      </c>
      <c r="CV53" s="53">
        <v>0</v>
      </c>
      <c r="CW53" s="53">
        <v>0</v>
      </c>
      <c r="CX53" s="53">
        <v>0</v>
      </c>
      <c r="CY53" s="280">
        <v>99.989999999999981</v>
      </c>
      <c r="CZ53" s="284">
        <v>0.38893193137797455</v>
      </c>
      <c r="DA53" s="284">
        <v>0.24020807969009408</v>
      </c>
      <c r="DB53" s="284">
        <v>5.2874377421140019E-2</v>
      </c>
      <c r="DC53" s="284">
        <v>0</v>
      </c>
      <c r="DD53" s="284">
        <v>0</v>
      </c>
      <c r="DE53" s="284">
        <v>0</v>
      </c>
      <c r="DF53" s="284">
        <v>0</v>
      </c>
      <c r="DG53" s="284">
        <v>0</v>
      </c>
      <c r="DH53" s="284">
        <v>0</v>
      </c>
      <c r="DI53" s="284">
        <v>0</v>
      </c>
      <c r="DJ53" s="284">
        <v>2.324294410625346E-3</v>
      </c>
      <c r="DK53" s="284">
        <v>0.18262313226342006</v>
      </c>
      <c r="DL53" s="284">
        <v>0</v>
      </c>
      <c r="DM53" s="284">
        <v>0</v>
      </c>
      <c r="DN53" s="284">
        <v>0.13303818483674598</v>
      </c>
      <c r="DO53" s="284">
        <v>0</v>
      </c>
      <c r="DP53" s="284">
        <v>0</v>
      </c>
      <c r="DQ53" s="284">
        <v>0</v>
      </c>
      <c r="DR53" s="284">
        <v>0</v>
      </c>
      <c r="DS53" s="284">
        <v>0</v>
      </c>
      <c r="DT53" s="284">
        <v>0</v>
      </c>
      <c r="DU53" s="284">
        <v>0</v>
      </c>
      <c r="DV53" s="284">
        <v>0</v>
      </c>
      <c r="DW53" s="284">
        <v>0</v>
      </c>
      <c r="DX53" s="53">
        <v>1</v>
      </c>
      <c r="DY53" s="71">
        <v>72.181842270776244</v>
      </c>
      <c r="DZ53" s="71">
        <v>16.119269416098785</v>
      </c>
      <c r="EA53" s="71">
        <v>3.5755606068059533E-3</v>
      </c>
      <c r="EB53" s="71">
        <v>2.0701144441945978</v>
      </c>
      <c r="EC53" s="71">
        <v>0</v>
      </c>
      <c r="ED53" s="71">
        <v>0.7376269858624428</v>
      </c>
      <c r="EE53" s="71">
        <v>1.832889317316292E-2</v>
      </c>
      <c r="EF53" s="71">
        <v>0.62510088745322134</v>
      </c>
      <c r="EG53" s="71">
        <v>4.78887112844615</v>
      </c>
      <c r="EH53" s="71">
        <v>0.28726531277671974</v>
      </c>
      <c r="EI53" s="71">
        <v>0</v>
      </c>
      <c r="EJ53" s="71">
        <v>3.168005100611885</v>
      </c>
      <c r="EK53" s="71">
        <v>0</v>
      </c>
      <c r="EL53" s="71">
        <v>99.999999999999986</v>
      </c>
      <c r="EM53" s="53">
        <v>74.793943888497822</v>
      </c>
      <c r="EN53" s="53" t="s">
        <v>112</v>
      </c>
      <c r="EO53" s="288">
        <v>2.2600003047789176E-2</v>
      </c>
      <c r="EP53" s="257">
        <f t="shared" si="12"/>
        <v>2.2600003047789174</v>
      </c>
      <c r="EQ53" s="257">
        <f t="shared" si="13"/>
        <v>30.266256113023008</v>
      </c>
      <c r="ER53" s="324">
        <f t="shared" si="14"/>
        <v>0.60399089631860803</v>
      </c>
      <c r="ES53" s="257">
        <f t="shared" si="15"/>
        <v>1.1980804101481031</v>
      </c>
      <c r="ET53">
        <f t="shared" si="8"/>
        <v>750</v>
      </c>
      <c r="EU53" s="324">
        <f t="shared" si="16"/>
        <v>0.50413218612258626</v>
      </c>
      <c r="EV53" s="39">
        <f t="shared" si="17"/>
        <v>156.69999999999999</v>
      </c>
      <c r="EW53"/>
      <c r="EX53">
        <f t="shared" si="18"/>
        <v>0.92666666666666686</v>
      </c>
      <c r="EY53"/>
      <c r="EZ53"/>
      <c r="FA53"/>
      <c r="FB53"/>
      <c r="FC53"/>
      <c r="FD53"/>
    </row>
    <row r="54" spans="1:160" s="77" customFormat="1" ht="13" customHeight="1" x14ac:dyDescent="0.2">
      <c r="A54" s="72" t="s">
        <v>128</v>
      </c>
      <c r="B54" s="73" t="s">
        <v>461</v>
      </c>
      <c r="C54" s="276">
        <f>164.6-F54/100</f>
        <v>164.56</v>
      </c>
      <c r="D54" s="74">
        <v>0</v>
      </c>
      <c r="E54" s="74">
        <v>8</v>
      </c>
      <c r="F54" s="75">
        <f t="shared" si="23"/>
        <v>4</v>
      </c>
      <c r="G54" s="73" t="s">
        <v>513</v>
      </c>
      <c r="H54" s="84">
        <v>7.5</v>
      </c>
      <c r="I54" s="85">
        <v>4</v>
      </c>
      <c r="J54" s="85">
        <v>6</v>
      </c>
      <c r="K54" s="89">
        <f t="shared" si="20"/>
        <v>5</v>
      </c>
      <c r="L54" s="75">
        <v>132</v>
      </c>
      <c r="M54" s="75">
        <v>86</v>
      </c>
      <c r="N54" s="75">
        <v>40</v>
      </c>
      <c r="O54" s="75">
        <v>74.97</v>
      </c>
      <c r="P54" s="75">
        <v>10.84</v>
      </c>
      <c r="Q54" s="75">
        <v>4.51</v>
      </c>
      <c r="R54" s="75">
        <v>0.112</v>
      </c>
      <c r="S54" s="75">
        <v>0.18</v>
      </c>
      <c r="T54" s="75">
        <v>0.06</v>
      </c>
      <c r="U54" s="75">
        <v>0.09</v>
      </c>
      <c r="V54" s="75">
        <v>0.9</v>
      </c>
      <c r="W54" s="75">
        <v>0.65300000000000002</v>
      </c>
      <c r="X54" s="75">
        <v>0.04</v>
      </c>
      <c r="Y54" s="75">
        <v>6.87</v>
      </c>
      <c r="Z54" s="75">
        <v>99.23</v>
      </c>
      <c r="AA54" s="75">
        <v>11</v>
      </c>
      <c r="AB54" s="75">
        <v>1</v>
      </c>
      <c r="AC54" s="75">
        <v>72</v>
      </c>
      <c r="AD54" s="75">
        <v>30</v>
      </c>
      <c r="AE54" s="75">
        <v>14</v>
      </c>
      <c r="AF54" s="75">
        <v>0</v>
      </c>
      <c r="AG54" s="75">
        <v>30</v>
      </c>
      <c r="AH54" s="75">
        <v>30</v>
      </c>
      <c r="AI54" s="75">
        <v>10</v>
      </c>
      <c r="AJ54" s="75">
        <v>0</v>
      </c>
      <c r="AK54" s="75">
        <v>0</v>
      </c>
      <c r="AL54" s="75">
        <v>45</v>
      </c>
      <c r="AM54" s="75">
        <v>36</v>
      </c>
      <c r="AN54" s="68">
        <f>'O.G.Chem Results'!AN54/'O.G.Chem Results'!$AN$142</f>
        <v>21.153846153846153</v>
      </c>
      <c r="AO54" s="75">
        <v>326</v>
      </c>
      <c r="AP54" s="75">
        <v>4</v>
      </c>
      <c r="AQ54" s="75" t="s">
        <v>72</v>
      </c>
      <c r="AR54" s="75">
        <v>1.3</v>
      </c>
      <c r="AS54" s="75" t="s">
        <v>73</v>
      </c>
      <c r="AT54" s="75">
        <v>1</v>
      </c>
      <c r="AU54" s="75" t="s">
        <v>74</v>
      </c>
      <c r="AV54" s="75">
        <v>2</v>
      </c>
      <c r="AW54" s="75">
        <v>368</v>
      </c>
      <c r="AX54" s="75" t="s">
        <v>75</v>
      </c>
      <c r="AY54" s="68">
        <f>'O.G.Chem Results'!AY54/'O.G.Chem Results'!AY$142</f>
        <v>154.04255319148939</v>
      </c>
      <c r="AZ54" s="68">
        <f>'O.G.Chem Results'!AZ54/'O.G.Chem Results'!AZ$142</f>
        <v>133.28912466843499</v>
      </c>
      <c r="BA54" s="68">
        <f>'O.G.Chem Results'!BA54/'O.G.Chem Results'!BA$142</f>
        <v>98.540965207631871</v>
      </c>
      <c r="BB54" s="68">
        <f>'O.G.Chem Results'!BB54/'O.G.Chem Results'!BB$142</f>
        <v>72.502210433244912</v>
      </c>
      <c r="BC54" s="68">
        <f>'O.G.Chem Results'!BC54/'O.G.Chem Results'!BC$142</f>
        <v>44.867437117607075</v>
      </c>
      <c r="BD54" s="68">
        <f>'O.G.Chem Results'!BD54/'O.G.Chem Results'!BD$142</f>
        <v>31.25</v>
      </c>
      <c r="BE54" s="68">
        <f>'O.G.Chem Results'!BE54/'O.G.Chem Results'!BE$142</f>
        <v>34.090909090909093</v>
      </c>
      <c r="BF54" s="68">
        <f>'O.G.Chem Results'!BF54/'O.G.Chem Results'!BF$142</f>
        <v>24.793388429752067</v>
      </c>
      <c r="BG54" s="68">
        <f>'O.G.Chem Results'!BG54/'O.G.Chem Results'!BG$142</f>
        <v>23.897816234033787</v>
      </c>
      <c r="BH54" s="68">
        <f>'O.G.Chem Results'!BH54/'O.G.Chem Results'!BH$142</f>
        <v>21.582733812949638</v>
      </c>
      <c r="BI54" s="68">
        <f>'O.G.Chem Results'!BI54/'O.G.Chem Results'!BI$142</f>
        <v>21.397105097545623</v>
      </c>
      <c r="BJ54" s="68">
        <f>'O.G.Chem Results'!BJ54/'O.G.Chem Results'!BJ$142</f>
        <v>21.074380165289256</v>
      </c>
      <c r="BK54" s="68">
        <f>'O.G.Chem Results'!BK54/'O.G.Chem Results'!BK$142</f>
        <v>21.538461538461537</v>
      </c>
      <c r="BL54" s="68">
        <f>'O.G.Chem Results'!BL54/'O.G.Chem Results'!BL$142</f>
        <v>21.399176954732511</v>
      </c>
      <c r="BM54" s="75">
        <v>7.2</v>
      </c>
      <c r="BN54" s="75">
        <v>0.5</v>
      </c>
      <c r="BO54" s="75">
        <v>0</v>
      </c>
      <c r="BP54" s="75">
        <v>0</v>
      </c>
      <c r="BQ54" s="75">
        <v>14</v>
      </c>
      <c r="BR54" s="75">
        <v>4.3</v>
      </c>
      <c r="BS54" s="75">
        <v>1.8</v>
      </c>
      <c r="BT54" s="76">
        <f t="shared" si="24"/>
        <v>0.46388593719003057</v>
      </c>
      <c r="BU54" s="281">
        <f t="shared" si="25"/>
        <v>724.26626194208188</v>
      </c>
      <c r="BV54" s="77">
        <f t="shared" si="26"/>
        <v>4</v>
      </c>
      <c r="BW54" s="78">
        <f t="shared" si="22"/>
        <v>91.169049621530689</v>
      </c>
      <c r="BX54" s="69">
        <f t="shared" si="11"/>
        <v>1.3526265384917493</v>
      </c>
      <c r="BY54" s="76">
        <v>10.74</v>
      </c>
      <c r="BZ54" s="76">
        <v>1.2390000000000001</v>
      </c>
      <c r="CA54" s="76">
        <v>54.11</v>
      </c>
      <c r="CB54" s="76">
        <v>2.99</v>
      </c>
      <c r="CC54" s="76">
        <v>0.26</v>
      </c>
      <c r="CD54" s="76">
        <v>0</v>
      </c>
      <c r="CE54" s="76">
        <v>0</v>
      </c>
      <c r="CF54" s="76">
        <v>0</v>
      </c>
      <c r="CG54" s="76">
        <v>0</v>
      </c>
      <c r="CH54" s="76">
        <v>0</v>
      </c>
      <c r="CI54" s="76">
        <v>0</v>
      </c>
      <c r="CJ54" s="76">
        <v>0</v>
      </c>
      <c r="CK54" s="76">
        <v>9.8800000000000008</v>
      </c>
      <c r="CL54" s="76">
        <v>15.01</v>
      </c>
      <c r="CM54" s="76">
        <v>0.16</v>
      </c>
      <c r="CN54" s="76">
        <v>0</v>
      </c>
      <c r="CO54" s="76">
        <v>0.69</v>
      </c>
      <c r="CP54" s="76">
        <v>4.83</v>
      </c>
      <c r="CQ54" s="76">
        <v>0</v>
      </c>
      <c r="CR54" s="76">
        <v>0</v>
      </c>
      <c r="CS54" s="76">
        <v>0</v>
      </c>
      <c r="CT54" s="76">
        <v>0</v>
      </c>
      <c r="CU54" s="76">
        <v>0</v>
      </c>
      <c r="CV54" s="76">
        <v>0</v>
      </c>
      <c r="CW54" s="76">
        <v>0</v>
      </c>
      <c r="CX54" s="76">
        <v>0</v>
      </c>
      <c r="CY54" s="281">
        <v>99.908999999999992</v>
      </c>
      <c r="CZ54" s="285">
        <v>0.61537586716706472</v>
      </c>
      <c r="DA54" s="285">
        <v>3.4004321619470035E-2</v>
      </c>
      <c r="DB54" s="285">
        <v>2.9568975321278292E-3</v>
      </c>
      <c r="DC54" s="285">
        <v>0</v>
      </c>
      <c r="DD54" s="285">
        <v>0</v>
      </c>
      <c r="DE54" s="285">
        <v>0</v>
      </c>
      <c r="DF54" s="285">
        <v>0</v>
      </c>
      <c r="DG54" s="285">
        <v>0</v>
      </c>
      <c r="DH54" s="285">
        <v>0</v>
      </c>
      <c r="DI54" s="285">
        <v>0</v>
      </c>
      <c r="DJ54" s="285">
        <v>0.11236210622085752</v>
      </c>
      <c r="DK54" s="285">
        <v>0.17070396906630275</v>
      </c>
      <c r="DL54" s="285">
        <v>1.8196292505402026E-3</v>
      </c>
      <c r="DM54" s="285">
        <v>0</v>
      </c>
      <c r="DN54" s="285">
        <v>7.8471511429546222E-3</v>
      </c>
      <c r="DO54" s="285">
        <v>5.4930058000682368E-2</v>
      </c>
      <c r="DP54" s="285">
        <v>0</v>
      </c>
      <c r="DQ54" s="285">
        <v>0</v>
      </c>
      <c r="DR54" s="285">
        <v>0</v>
      </c>
      <c r="DS54" s="285">
        <v>0</v>
      </c>
      <c r="DT54" s="285">
        <v>0</v>
      </c>
      <c r="DU54" s="285">
        <v>0</v>
      </c>
      <c r="DV54" s="285">
        <v>0</v>
      </c>
      <c r="DW54" s="285">
        <v>0</v>
      </c>
      <c r="DX54" s="76">
        <v>1</v>
      </c>
      <c r="DY54" s="78">
        <v>80.329572590632594</v>
      </c>
      <c r="DZ54" s="78">
        <v>13.383285770925434</v>
      </c>
      <c r="EA54" s="78">
        <v>0.17996888179510453</v>
      </c>
      <c r="EB54" s="78">
        <v>0.36863370281652635</v>
      </c>
      <c r="EC54" s="78">
        <v>0</v>
      </c>
      <c r="ED54" s="78">
        <v>0.18297370090650333</v>
      </c>
      <c r="EE54" s="78">
        <v>2.7473629972108683E-3</v>
      </c>
      <c r="EF54" s="78">
        <v>3.4957560950918024E-2</v>
      </c>
      <c r="EG54" s="78">
        <v>1.2632187325950175</v>
      </c>
      <c r="EH54" s="78">
        <v>1.6944115182067825E-2</v>
      </c>
      <c r="EI54" s="78">
        <v>0</v>
      </c>
      <c r="EJ54" s="78">
        <v>4.2376975811986304</v>
      </c>
      <c r="EK54" s="78">
        <v>0</v>
      </c>
      <c r="EL54" s="78">
        <v>100.00000000000003</v>
      </c>
      <c r="EM54" s="76">
        <v>91.140662607892182</v>
      </c>
      <c r="EN54" s="76" t="s">
        <v>128</v>
      </c>
      <c r="EO54" s="289">
        <v>5.8177961786511825E-3</v>
      </c>
      <c r="EP54" s="257">
        <f t="shared" si="12"/>
        <v>0.58177961786511823</v>
      </c>
      <c r="EQ54" s="257">
        <f t="shared" si="13"/>
        <v>73.94533571004159</v>
      </c>
      <c r="ER54" s="324">
        <f t="shared" si="14"/>
        <v>0.791556599158595</v>
      </c>
      <c r="ES54" s="257">
        <f t="shared" si="15"/>
        <v>1.0506586960132231</v>
      </c>
      <c r="ET54">
        <f t="shared" si="8"/>
        <v>4</v>
      </c>
      <c r="EU54" s="324">
        <f t="shared" si="16"/>
        <v>0.75339080346662146</v>
      </c>
      <c r="EV54" s="39">
        <f t="shared" si="17"/>
        <v>164.56</v>
      </c>
      <c r="EW54"/>
      <c r="EX54">
        <f t="shared" si="18"/>
        <v>0.9801282051282052</v>
      </c>
      <c r="EY54"/>
      <c r="EZ54" s="324">
        <f>AVERAGE(ER54:ER65)</f>
        <v>0.83814200366830882</v>
      </c>
      <c r="FA54" s="260" t="s">
        <v>667</v>
      </c>
      <c r="FB54"/>
      <c r="FC54"/>
      <c r="FD54"/>
    </row>
    <row r="55" spans="1:160" s="77" customFormat="1" ht="13" customHeight="1" x14ac:dyDescent="0.2">
      <c r="A55" s="72" t="s">
        <v>129</v>
      </c>
      <c r="B55" s="73" t="s">
        <v>461</v>
      </c>
      <c r="C55" s="276">
        <f t="shared" ref="C55:C65" si="28">164.6-F55/100</f>
        <v>164.42</v>
      </c>
      <c r="D55" s="74">
        <v>8</v>
      </c>
      <c r="E55" s="74">
        <v>28</v>
      </c>
      <c r="F55" s="75">
        <f t="shared" si="23"/>
        <v>18</v>
      </c>
      <c r="G55" s="73" t="s">
        <v>514</v>
      </c>
      <c r="H55" s="84">
        <v>7.5</v>
      </c>
      <c r="I55" s="85">
        <v>4</v>
      </c>
      <c r="J55" s="85">
        <v>4</v>
      </c>
      <c r="K55" s="89">
        <f t="shared" si="20"/>
        <v>7.5</v>
      </c>
      <c r="L55" s="75">
        <v>124</v>
      </c>
      <c r="M55" s="75">
        <v>89</v>
      </c>
      <c r="N55" s="75">
        <v>58</v>
      </c>
      <c r="O55" s="75">
        <v>64.52</v>
      </c>
      <c r="P55" s="75">
        <v>16.98</v>
      </c>
      <c r="Q55" s="75">
        <v>7.11</v>
      </c>
      <c r="R55" s="75">
        <v>2.9000000000000001E-2</v>
      </c>
      <c r="S55" s="75">
        <v>0.24</v>
      </c>
      <c r="T55" s="75">
        <v>0.02</v>
      </c>
      <c r="U55" s="75">
        <v>0.06</v>
      </c>
      <c r="V55" s="75">
        <v>0.72</v>
      </c>
      <c r="W55" s="75">
        <v>0.746</v>
      </c>
      <c r="X55" s="75">
        <v>0.04</v>
      </c>
      <c r="Y55" s="75">
        <v>8.67</v>
      </c>
      <c r="Z55" s="75">
        <v>99.14</v>
      </c>
      <c r="AA55" s="75">
        <v>19</v>
      </c>
      <c r="AB55" s="75">
        <v>1</v>
      </c>
      <c r="AC55" s="75">
        <v>118</v>
      </c>
      <c r="AD55" s="75">
        <v>30</v>
      </c>
      <c r="AE55" s="75">
        <v>10</v>
      </c>
      <c r="AF55" s="75">
        <v>0</v>
      </c>
      <c r="AG55" s="75">
        <v>40</v>
      </c>
      <c r="AH55" s="75">
        <v>50</v>
      </c>
      <c r="AI55" s="75">
        <v>18</v>
      </c>
      <c r="AJ55" s="75">
        <v>1</v>
      </c>
      <c r="AK55" s="75">
        <v>0</v>
      </c>
      <c r="AL55" s="75">
        <v>50</v>
      </c>
      <c r="AM55" s="75">
        <v>23</v>
      </c>
      <c r="AN55" s="68">
        <f>'O.G.Chem Results'!AN55/'O.G.Chem Results'!$AN$142</f>
        <v>8.9743589743589745</v>
      </c>
      <c r="AO55" s="75">
        <v>285</v>
      </c>
      <c r="AP55" s="75">
        <v>6</v>
      </c>
      <c r="AQ55" s="75" t="s">
        <v>72</v>
      </c>
      <c r="AR55" s="75">
        <v>1.2</v>
      </c>
      <c r="AS55" s="75" t="s">
        <v>73</v>
      </c>
      <c r="AT55" s="75">
        <v>1</v>
      </c>
      <c r="AU55" s="75" t="s">
        <v>74</v>
      </c>
      <c r="AV55" s="75">
        <v>2.5</v>
      </c>
      <c r="AW55" s="75">
        <v>230</v>
      </c>
      <c r="AX55" s="75" t="s">
        <v>75</v>
      </c>
      <c r="AY55" s="68">
        <f>'O.G.Chem Results'!AY55/'O.G.Chem Results'!AY$142</f>
        <v>82.127659574468098</v>
      </c>
      <c r="AZ55" s="68">
        <f>'O.G.Chem Results'!AZ55/'O.G.Chem Results'!AZ$142</f>
        <v>63.494694960212186</v>
      </c>
      <c r="BA55" s="68">
        <f>'O.G.Chem Results'!BA55/'O.G.Chem Results'!BA$142</f>
        <v>52.861952861952865</v>
      </c>
      <c r="BB55" s="68">
        <f>'O.G.Chem Results'!BB55/'O.G.Chem Results'!BB$142</f>
        <v>39.345711759504866</v>
      </c>
      <c r="BC55" s="68">
        <f>'O.G.Chem Results'!BC55/'O.G.Chem Results'!BC$142</f>
        <v>23.113528212100615</v>
      </c>
      <c r="BD55" s="68">
        <f>'O.G.Chem Results'!BD55/'O.G.Chem Results'!BD$142</f>
        <v>16.25</v>
      </c>
      <c r="BE55" s="68">
        <f>'O.G.Chem Results'!BE55/'O.G.Chem Results'!BE$142</f>
        <v>17.045454545454547</v>
      </c>
      <c r="BF55" s="68">
        <f>'O.G.Chem Results'!BF55/'O.G.Chem Results'!BF$142</f>
        <v>13.774104683195592</v>
      </c>
      <c r="BG55" s="68">
        <f>'O.G.Chem Results'!BG55/'O.G.Chem Results'!BG$142</f>
        <v>11.948908117016893</v>
      </c>
      <c r="BH55" s="68">
        <f>'O.G.Chem Results'!BH55/'O.G.Chem Results'!BH$142</f>
        <v>10.791366906474819</v>
      </c>
      <c r="BI55" s="68">
        <f>'O.G.Chem Results'!BI55/'O.G.Chem Results'!BI$142</f>
        <v>10.698552548772811</v>
      </c>
      <c r="BJ55" s="68">
        <f>'O.G.Chem Results'!BJ55/'O.G.Chem Results'!BJ$142</f>
        <v>10.743801652892563</v>
      </c>
      <c r="BK55" s="68">
        <f>'O.G.Chem Results'!BK55/'O.G.Chem Results'!BK$142</f>
        <v>10.461538461538462</v>
      </c>
      <c r="BL55" s="68">
        <f>'O.G.Chem Results'!BL55/'O.G.Chem Results'!BL$142</f>
        <v>12.757201646090534</v>
      </c>
      <c r="BM55" s="75">
        <v>6.5</v>
      </c>
      <c r="BN55" s="75">
        <v>0.5</v>
      </c>
      <c r="BO55" s="75">
        <v>0</v>
      </c>
      <c r="BP55" s="75">
        <v>0</v>
      </c>
      <c r="BQ55" s="75">
        <v>11</v>
      </c>
      <c r="BR55" s="75">
        <v>6.4</v>
      </c>
      <c r="BS55" s="75">
        <v>1.9</v>
      </c>
      <c r="BT55" s="76">
        <f t="shared" si="24"/>
        <v>0.43602299360632013</v>
      </c>
      <c r="BU55" s="281">
        <f t="shared" si="25"/>
        <v>375.41447592967489</v>
      </c>
      <c r="BV55" s="77">
        <f t="shared" si="26"/>
        <v>18</v>
      </c>
      <c r="BW55" s="78">
        <f t="shared" si="22"/>
        <v>95.500562429696302</v>
      </c>
      <c r="BX55" s="69">
        <f t="shared" si="11"/>
        <v>1.2011416817314025</v>
      </c>
      <c r="BY55" s="76">
        <v>8.82</v>
      </c>
      <c r="BZ55" s="76">
        <v>2.0099999999999998</v>
      </c>
      <c r="CA55" s="76">
        <v>42.52</v>
      </c>
      <c r="CB55" s="76">
        <v>2.4656000000000002</v>
      </c>
      <c r="CC55" s="76">
        <v>0.21440000000000001</v>
      </c>
      <c r="CD55" s="76">
        <v>0</v>
      </c>
      <c r="CE55" s="76">
        <v>0</v>
      </c>
      <c r="CF55" s="76">
        <v>0</v>
      </c>
      <c r="CG55" s="76">
        <v>0</v>
      </c>
      <c r="CH55" s="76">
        <v>0</v>
      </c>
      <c r="CI55" s="76">
        <v>0</v>
      </c>
      <c r="CJ55" s="76">
        <v>0</v>
      </c>
      <c r="CK55" s="76">
        <v>20.86</v>
      </c>
      <c r="CL55" s="76">
        <v>14.72</v>
      </c>
      <c r="CM55" s="76">
        <v>3.58</v>
      </c>
      <c r="CN55" s="76">
        <v>0</v>
      </c>
      <c r="CO55" s="76">
        <v>1.02</v>
      </c>
      <c r="CP55" s="76">
        <v>4.03</v>
      </c>
      <c r="CQ55" s="76">
        <v>0</v>
      </c>
      <c r="CR55" s="76">
        <v>0</v>
      </c>
      <c r="CS55" s="76">
        <v>0</v>
      </c>
      <c r="CT55" s="76">
        <v>0</v>
      </c>
      <c r="CU55" s="76">
        <v>0</v>
      </c>
      <c r="CV55" s="76">
        <v>0</v>
      </c>
      <c r="CW55" s="76">
        <v>0</v>
      </c>
      <c r="CX55" s="76">
        <v>0</v>
      </c>
      <c r="CY55" s="281">
        <v>100.24</v>
      </c>
      <c r="CZ55" s="285">
        <v>0.47556201767140144</v>
      </c>
      <c r="DA55" s="285">
        <v>2.757633374342915E-2</v>
      </c>
      <c r="DB55" s="285">
        <v>2.3979420646460131E-3</v>
      </c>
      <c r="DC55" s="285">
        <v>0</v>
      </c>
      <c r="DD55" s="285">
        <v>0</v>
      </c>
      <c r="DE55" s="285">
        <v>0</v>
      </c>
      <c r="DF55" s="285">
        <v>0</v>
      </c>
      <c r="DG55" s="285">
        <v>0</v>
      </c>
      <c r="DH55" s="285">
        <v>0</v>
      </c>
      <c r="DI55" s="285">
        <v>0</v>
      </c>
      <c r="DJ55" s="285">
        <v>0.23330723632703276</v>
      </c>
      <c r="DK55" s="285">
        <v>0.16463482831897999</v>
      </c>
      <c r="DL55" s="285">
        <v>4.0040263952578016E-2</v>
      </c>
      <c r="DM55" s="285">
        <v>0</v>
      </c>
      <c r="DN55" s="285">
        <v>1.1408119897103233E-2</v>
      </c>
      <c r="DO55" s="285">
        <v>4.5073258024829442E-2</v>
      </c>
      <c r="DP55" s="285">
        <v>0</v>
      </c>
      <c r="DQ55" s="285">
        <v>0</v>
      </c>
      <c r="DR55" s="285">
        <v>0</v>
      </c>
      <c r="DS55" s="285">
        <v>0</v>
      </c>
      <c r="DT55" s="285">
        <v>0</v>
      </c>
      <c r="DU55" s="285">
        <v>0</v>
      </c>
      <c r="DV55" s="285">
        <v>0</v>
      </c>
      <c r="DW55" s="285">
        <v>0</v>
      </c>
      <c r="DX55" s="76">
        <v>1</v>
      </c>
      <c r="DY55" s="78">
        <v>72.362232015451596</v>
      </c>
      <c r="DZ55" s="78">
        <v>18.99089349110394</v>
      </c>
      <c r="EA55" s="78">
        <v>0.51552415645270533</v>
      </c>
      <c r="EB55" s="78">
        <v>0.37980549890809384</v>
      </c>
      <c r="EC55" s="78">
        <v>0</v>
      </c>
      <c r="ED55" s="78">
        <v>0.24110775477667379</v>
      </c>
      <c r="EE55" s="78">
        <v>3.8236879405634999E-2</v>
      </c>
      <c r="EF55" s="78">
        <v>2.8349378012200031E-2</v>
      </c>
      <c r="EG55" s="78">
        <v>1.2099496122718043</v>
      </c>
      <c r="EH55" s="78">
        <v>2.4633206883100139E-2</v>
      </c>
      <c r="EI55" s="78">
        <v>0</v>
      </c>
      <c r="EJ55" s="78">
        <v>6.2092680067342494</v>
      </c>
      <c r="EK55" s="78">
        <v>0</v>
      </c>
      <c r="EL55" s="78">
        <v>100</v>
      </c>
      <c r="EM55" s="76">
        <v>93.701540304075067</v>
      </c>
      <c r="EN55" s="76" t="s">
        <v>129</v>
      </c>
      <c r="EO55" s="289">
        <v>9.2951215026252764E-3</v>
      </c>
      <c r="EP55" s="257">
        <f t="shared" si="12"/>
        <v>0.92951215026252765</v>
      </c>
      <c r="EQ55" s="257">
        <f t="shared" si="13"/>
        <v>82.151927961209907</v>
      </c>
      <c r="ER55" s="324">
        <f t="shared" si="14"/>
        <v>0.80928344714821565</v>
      </c>
      <c r="ES55" s="257">
        <f t="shared" si="15"/>
        <v>0.93557524748632936</v>
      </c>
      <c r="ET55">
        <f t="shared" si="8"/>
        <v>18</v>
      </c>
      <c r="EU55" s="324">
        <f t="shared" si="16"/>
        <v>0.86501160577149716</v>
      </c>
      <c r="EV55" s="39">
        <f t="shared" si="17"/>
        <v>164.42</v>
      </c>
      <c r="EW55"/>
      <c r="EX55">
        <f t="shared" si="18"/>
        <v>0.83162393162393178</v>
      </c>
      <c r="EY55"/>
      <c r="EZ55"/>
      <c r="FA55"/>
      <c r="FB55"/>
      <c r="FC55"/>
      <c r="FD55"/>
    </row>
    <row r="56" spans="1:160" s="77" customFormat="1" ht="13" customHeight="1" x14ac:dyDescent="0.2">
      <c r="A56" s="72" t="s">
        <v>130</v>
      </c>
      <c r="B56" s="73" t="s">
        <v>461</v>
      </c>
      <c r="C56" s="276">
        <f t="shared" si="28"/>
        <v>164.07</v>
      </c>
      <c r="D56" s="74">
        <v>28</v>
      </c>
      <c r="E56" s="74">
        <v>78</v>
      </c>
      <c r="F56" s="75">
        <f t="shared" si="23"/>
        <v>53</v>
      </c>
      <c r="G56" s="73" t="s">
        <v>517</v>
      </c>
      <c r="H56" s="84">
        <v>5</v>
      </c>
      <c r="I56" s="85">
        <v>5</v>
      </c>
      <c r="J56" s="85">
        <v>6</v>
      </c>
      <c r="K56" s="89">
        <f t="shared" si="20"/>
        <v>4.166666666666667</v>
      </c>
      <c r="L56" s="75">
        <v>164</v>
      </c>
      <c r="M56" s="75">
        <v>109</v>
      </c>
      <c r="N56" s="75">
        <v>70</v>
      </c>
      <c r="O56" s="75">
        <v>52.37</v>
      </c>
      <c r="P56" s="75">
        <v>23.66</v>
      </c>
      <c r="Q56" s="75">
        <v>11.31</v>
      </c>
      <c r="R56" s="75">
        <v>2.7E-2</v>
      </c>
      <c r="S56" s="75">
        <v>0.28999999999999998</v>
      </c>
      <c r="T56" s="75">
        <v>0.01</v>
      </c>
      <c r="U56" s="75">
        <v>0.04</v>
      </c>
      <c r="V56" s="75">
        <v>0.43</v>
      </c>
      <c r="W56" s="75">
        <v>0.75600000000000001</v>
      </c>
      <c r="X56" s="75">
        <v>0.06</v>
      </c>
      <c r="Y56" s="75">
        <v>11.85</v>
      </c>
      <c r="Z56" s="75">
        <v>100.8</v>
      </c>
      <c r="AA56" s="75">
        <v>31</v>
      </c>
      <c r="AB56" s="75">
        <v>2</v>
      </c>
      <c r="AC56" s="75">
        <v>172</v>
      </c>
      <c r="AD56" s="75">
        <v>30</v>
      </c>
      <c r="AE56" s="75">
        <v>7</v>
      </c>
      <c r="AF56" s="75">
        <v>0</v>
      </c>
      <c r="AG56" s="75">
        <v>60</v>
      </c>
      <c r="AH56" s="75">
        <v>70</v>
      </c>
      <c r="AI56" s="75">
        <v>24</v>
      </c>
      <c r="AJ56" s="75">
        <v>1</v>
      </c>
      <c r="AK56" s="75">
        <v>0</v>
      </c>
      <c r="AL56" s="75">
        <v>35</v>
      </c>
      <c r="AM56" s="75">
        <v>9</v>
      </c>
      <c r="AN56" s="68">
        <f>'O.G.Chem Results'!AN56/'O.G.Chem Results'!$AN$142</f>
        <v>3.2051282051282048</v>
      </c>
      <c r="AO56" s="75">
        <v>143</v>
      </c>
      <c r="AP56" s="75">
        <v>6</v>
      </c>
      <c r="AQ56" s="75" t="s">
        <v>72</v>
      </c>
      <c r="AR56" s="75">
        <v>0.6</v>
      </c>
      <c r="AS56" s="75" t="s">
        <v>73</v>
      </c>
      <c r="AT56" s="75">
        <v>2</v>
      </c>
      <c r="AU56" s="75" t="s">
        <v>74</v>
      </c>
      <c r="AV56" s="75">
        <v>2</v>
      </c>
      <c r="AW56" s="75">
        <v>90</v>
      </c>
      <c r="AX56" s="75" t="s">
        <v>75</v>
      </c>
      <c r="AY56" s="68">
        <f>'O.G.Chem Results'!AY56/'O.G.Chem Results'!AY$142</f>
        <v>39.148936170212764</v>
      </c>
      <c r="AZ56" s="68">
        <f>'O.G.Chem Results'!AZ56/'O.G.Chem Results'!AZ$142</f>
        <v>32.824933687002648</v>
      </c>
      <c r="BA56" s="68">
        <f>'O.G.Chem Results'!BA56/'O.G.Chem Results'!BA$142</f>
        <v>24.579124579124578</v>
      </c>
      <c r="BB56" s="68">
        <f>'O.G.Chem Results'!BB56/'O.G.Chem Results'!BB$142</f>
        <v>18.567639257294431</v>
      </c>
      <c r="BC56" s="68">
        <f>'O.G.Chem Results'!BC56/'O.G.Chem Results'!BC$142</f>
        <v>10.876954452753232</v>
      </c>
      <c r="BD56" s="68">
        <f>'O.G.Chem Results'!BD56/'O.G.Chem Results'!BD$142</f>
        <v>7.3214285714285712</v>
      </c>
      <c r="BE56" s="68">
        <f>'O.G.Chem Results'!BE56/'O.G.Chem Results'!BE$142</f>
        <v>7.3863636363636367</v>
      </c>
      <c r="BF56" s="68">
        <f>'O.G.Chem Results'!BF56/'O.G.Chem Results'!BF$142</f>
        <v>5.5096418732782375</v>
      </c>
      <c r="BG56" s="68">
        <f>'O.G.Chem Results'!BG56/'O.G.Chem Results'!BG$142</f>
        <v>5.3564070869386073</v>
      </c>
      <c r="BH56" s="68">
        <f>'O.G.Chem Results'!BH56/'O.G.Chem Results'!BH$142</f>
        <v>3.5971223021582732</v>
      </c>
      <c r="BI56" s="68">
        <f>'O.G.Chem Results'!BI56/'O.G.Chem Results'!BI$142</f>
        <v>5.0346129641283826</v>
      </c>
      <c r="BJ56" s="68">
        <f>'O.G.Chem Results'!BJ56/'O.G.Chem Results'!BJ$142</f>
        <v>4.9586776859504136</v>
      </c>
      <c r="BK56" s="68">
        <f>'O.G.Chem Results'!BK56/'O.G.Chem Results'!BK$142</f>
        <v>5.5384615384615383</v>
      </c>
      <c r="BL56" s="68">
        <f>'O.G.Chem Results'!BL56/'O.G.Chem Results'!BL$142</f>
        <v>6.1728395061728385</v>
      </c>
      <c r="BM56" s="75">
        <v>3.5</v>
      </c>
      <c r="BN56" s="75">
        <v>0.4</v>
      </c>
      <c r="BO56" s="75">
        <v>0</v>
      </c>
      <c r="BP56" s="75">
        <v>0</v>
      </c>
      <c r="BQ56" s="75">
        <v>11</v>
      </c>
      <c r="BR56" s="75">
        <v>8.1</v>
      </c>
      <c r="BS56" s="75">
        <v>1.4</v>
      </c>
      <c r="BT56" s="76">
        <f t="shared" si="24"/>
        <v>0.45606737211882642</v>
      </c>
      <c r="BU56" s="281">
        <f t="shared" si="25"/>
        <v>176.87314331126819</v>
      </c>
      <c r="BV56" s="77">
        <f t="shared" si="26"/>
        <v>53</v>
      </c>
      <c r="BW56" s="78">
        <f t="shared" si="22"/>
        <v>98.011599005799496</v>
      </c>
      <c r="BX56" s="69">
        <f t="shared" si="11"/>
        <v>1.3354801787725736</v>
      </c>
      <c r="BY56" s="76">
        <v>9.26</v>
      </c>
      <c r="BZ56" s="76">
        <v>2.06</v>
      </c>
      <c r="CA56" s="76">
        <v>27.41</v>
      </c>
      <c r="CB56" s="76">
        <v>0.21160000000000001</v>
      </c>
      <c r="CC56" s="76">
        <v>1.84E-2</v>
      </c>
      <c r="CD56" s="76">
        <v>0</v>
      </c>
      <c r="CE56" s="76">
        <v>0</v>
      </c>
      <c r="CF56" s="76">
        <v>0</v>
      </c>
      <c r="CG56" s="76">
        <v>0</v>
      </c>
      <c r="CH56" s="76">
        <v>11.8</v>
      </c>
      <c r="CI56" s="76">
        <v>2.09</v>
      </c>
      <c r="CJ56" s="76">
        <v>0</v>
      </c>
      <c r="CK56" s="76">
        <v>23.36</v>
      </c>
      <c r="CL56" s="76">
        <v>16.350000000000001</v>
      </c>
      <c r="CM56" s="76">
        <v>0.2</v>
      </c>
      <c r="CN56" s="76">
        <v>0</v>
      </c>
      <c r="CO56" s="76">
        <v>1.02</v>
      </c>
      <c r="CP56" s="76">
        <v>6.25</v>
      </c>
      <c r="CQ56" s="76">
        <v>0</v>
      </c>
      <c r="CR56" s="76">
        <v>0</v>
      </c>
      <c r="CS56" s="76">
        <v>0</v>
      </c>
      <c r="CT56" s="76">
        <v>0</v>
      </c>
      <c r="CU56" s="76">
        <v>0</v>
      </c>
      <c r="CV56" s="76">
        <v>0</v>
      </c>
      <c r="CW56" s="76">
        <v>0</v>
      </c>
      <c r="CX56" s="76">
        <v>0</v>
      </c>
      <c r="CY56" s="281">
        <v>100.03</v>
      </c>
      <c r="CZ56" s="285">
        <v>0.3089843309660692</v>
      </c>
      <c r="DA56" s="285">
        <v>2.3853004170893925E-3</v>
      </c>
      <c r="DB56" s="285">
        <v>2.0741742757299063E-4</v>
      </c>
      <c r="DC56" s="285">
        <v>0</v>
      </c>
      <c r="DD56" s="285">
        <v>0</v>
      </c>
      <c r="DE56" s="285">
        <v>0</v>
      </c>
      <c r="DF56" s="285">
        <v>0</v>
      </c>
      <c r="DG56" s="285">
        <v>0.13301769811746139</v>
      </c>
      <c r="DH56" s="285">
        <v>2.355991432758426E-2</v>
      </c>
      <c r="DI56" s="285">
        <v>0</v>
      </c>
      <c r="DJ56" s="285">
        <v>0.26332995152744898</v>
      </c>
      <c r="DK56" s="285">
        <v>0.18430842069665201</v>
      </c>
      <c r="DL56" s="285">
        <v>2.2545372562281589E-3</v>
      </c>
      <c r="DM56" s="285">
        <v>0</v>
      </c>
      <c r="DN56" s="285">
        <v>1.1498140006763611E-2</v>
      </c>
      <c r="DO56" s="285">
        <v>7.0454289257129973E-2</v>
      </c>
      <c r="DP56" s="285">
        <v>0</v>
      </c>
      <c r="DQ56" s="285">
        <v>0</v>
      </c>
      <c r="DR56" s="285">
        <v>0</v>
      </c>
      <c r="DS56" s="285">
        <v>0</v>
      </c>
      <c r="DT56" s="285">
        <v>0</v>
      </c>
      <c r="DU56" s="285">
        <v>0</v>
      </c>
      <c r="DV56" s="285">
        <v>0</v>
      </c>
      <c r="DW56" s="285">
        <v>0</v>
      </c>
      <c r="DX56" s="76">
        <v>0.99999999999999989</v>
      </c>
      <c r="DY56" s="78">
        <v>56.046329303637258</v>
      </c>
      <c r="DZ56" s="78">
        <v>21.901605333243829</v>
      </c>
      <c r="EA56" s="78">
        <v>11.533981419338875</v>
      </c>
      <c r="EB56" s="78">
        <v>0.49511794957736105</v>
      </c>
      <c r="EC56" s="78">
        <v>0</v>
      </c>
      <c r="ED56" s="78">
        <v>0.2425014148370836</v>
      </c>
      <c r="EE56" s="78">
        <v>3.6486142912956375E-3</v>
      </c>
      <c r="EF56" s="78">
        <v>2.4521672759649712E-3</v>
      </c>
      <c r="EG56" s="78">
        <v>0.92990882996537694</v>
      </c>
      <c r="EH56" s="78">
        <v>2.4827584572404277E-2</v>
      </c>
      <c r="EI56" s="78">
        <v>0</v>
      </c>
      <c r="EJ56" s="78">
        <v>8.8196273832605474</v>
      </c>
      <c r="EK56" s="78">
        <v>0</v>
      </c>
      <c r="EL56" s="78">
        <v>100</v>
      </c>
      <c r="EM56" s="76">
        <v>95.901456374511966</v>
      </c>
      <c r="EN56" s="76" t="s">
        <v>130</v>
      </c>
      <c r="EO56" s="289">
        <v>0.12073659984378199</v>
      </c>
      <c r="EP56" s="257">
        <f t="shared" si="12"/>
        <v>12.0736599843782</v>
      </c>
      <c r="EQ56" s="257">
        <f t="shared" si="13"/>
        <v>87.725040916530276</v>
      </c>
      <c r="ER56" s="324">
        <f t="shared" si="14"/>
        <v>0.80176324320731385</v>
      </c>
      <c r="ES56" s="257">
        <f t="shared" si="15"/>
        <v>1.0166136474865413</v>
      </c>
      <c r="ET56">
        <f t="shared" si="8"/>
        <v>53</v>
      </c>
      <c r="EU56" s="324">
        <f t="shared" si="16"/>
        <v>0.78866071214918276</v>
      </c>
      <c r="EV56" s="39">
        <f t="shared" si="17"/>
        <v>164.07</v>
      </c>
      <c r="EW56"/>
      <c r="EX56">
        <f t="shared" si="18"/>
        <v>0.89102564102564097</v>
      </c>
      <c r="EY56"/>
      <c r="EZ56"/>
      <c r="FA56"/>
      <c r="FB56"/>
      <c r="FC56"/>
      <c r="FD56"/>
    </row>
    <row r="57" spans="1:160" s="77" customFormat="1" ht="13" customHeight="1" x14ac:dyDescent="0.2">
      <c r="A57" s="72" t="s">
        <v>131</v>
      </c>
      <c r="B57" s="73" t="s">
        <v>461</v>
      </c>
      <c r="C57" s="276">
        <f t="shared" si="28"/>
        <v>163.66</v>
      </c>
      <c r="D57" s="74">
        <v>78</v>
      </c>
      <c r="E57" s="74">
        <v>110</v>
      </c>
      <c r="F57" s="75">
        <f t="shared" si="23"/>
        <v>94</v>
      </c>
      <c r="G57" s="73" t="s">
        <v>518</v>
      </c>
      <c r="H57" s="84">
        <v>2.5</v>
      </c>
      <c r="I57" s="85">
        <v>4</v>
      </c>
      <c r="J57" s="85">
        <v>8</v>
      </c>
      <c r="K57" s="89">
        <f t="shared" si="20"/>
        <v>1.25</v>
      </c>
      <c r="L57" s="75">
        <v>150</v>
      </c>
      <c r="M57" s="75">
        <v>75</v>
      </c>
      <c r="N57" s="75">
        <v>38</v>
      </c>
      <c r="O57" s="75">
        <v>54.6</v>
      </c>
      <c r="P57" s="75">
        <v>22.62</v>
      </c>
      <c r="Q57" s="75">
        <v>10.56</v>
      </c>
      <c r="R57" s="75">
        <v>2.5000000000000001E-2</v>
      </c>
      <c r="S57" s="75">
        <v>0.4</v>
      </c>
      <c r="T57" s="75">
        <v>0.03</v>
      </c>
      <c r="U57" s="75">
        <v>0.04</v>
      </c>
      <c r="V57" s="75">
        <v>0.32</v>
      </c>
      <c r="W57" s="75">
        <v>0.75800000000000001</v>
      </c>
      <c r="X57" s="75">
        <v>7.0000000000000007E-2</v>
      </c>
      <c r="Y57" s="75">
        <v>11.01</v>
      </c>
      <c r="Z57" s="75">
        <v>100.4</v>
      </c>
      <c r="AA57" s="75">
        <v>35</v>
      </c>
      <c r="AB57" s="75">
        <v>2</v>
      </c>
      <c r="AC57" s="75">
        <v>152</v>
      </c>
      <c r="AD57" s="75">
        <v>30</v>
      </c>
      <c r="AE57" s="75">
        <v>5</v>
      </c>
      <c r="AF57" s="75">
        <v>0</v>
      </c>
      <c r="AG57" s="75">
        <v>60</v>
      </c>
      <c r="AH57" s="75">
        <v>60</v>
      </c>
      <c r="AI57" s="75">
        <v>23</v>
      </c>
      <c r="AJ57" s="75">
        <v>1</v>
      </c>
      <c r="AK57" s="75">
        <v>0</v>
      </c>
      <c r="AL57" s="75">
        <v>24</v>
      </c>
      <c r="AM57" s="75">
        <v>4</v>
      </c>
      <c r="AN57" s="68" t="e">
        <f>'O.G.Chem Results'!AN57/'O.G.Chem Results'!$AN$142</f>
        <v>#VALUE!</v>
      </c>
      <c r="AO57" s="75">
        <v>107</v>
      </c>
      <c r="AP57" s="75">
        <v>5</v>
      </c>
      <c r="AQ57" s="75" t="s">
        <v>72</v>
      </c>
      <c r="AR57" s="75" t="s">
        <v>74</v>
      </c>
      <c r="AS57" s="75" t="s">
        <v>73</v>
      </c>
      <c r="AT57" s="75">
        <v>1</v>
      </c>
      <c r="AU57" s="75" t="s">
        <v>74</v>
      </c>
      <c r="AV57" s="75">
        <v>1.4</v>
      </c>
      <c r="AW57" s="75">
        <v>46</v>
      </c>
      <c r="AX57" s="75" t="s">
        <v>75</v>
      </c>
      <c r="AY57" s="68">
        <f>'O.G.Chem Results'!AY57/'O.G.Chem Results'!AY$142</f>
        <v>20.000000000000004</v>
      </c>
      <c r="AZ57" s="68">
        <f>'O.G.Chem Results'!AZ57/'O.G.Chem Results'!AZ$142</f>
        <v>20.22546419098143</v>
      </c>
      <c r="BA57" s="68">
        <f>'O.G.Chem Results'!BA57/'O.G.Chem Results'!BA$142</f>
        <v>13.468013468013467</v>
      </c>
      <c r="BB57" s="68">
        <f>'O.G.Chem Results'!BB57/'O.G.Chem Results'!BB$142</f>
        <v>9.9469496021220163</v>
      </c>
      <c r="BC57" s="68">
        <f>'O.G.Chem Results'!BC57/'O.G.Chem Results'!BC$142</f>
        <v>6.1182868796736924</v>
      </c>
      <c r="BD57" s="68">
        <f>'O.G.Chem Results'!BD57/'O.G.Chem Results'!BD$142</f>
        <v>4.4642857142857144</v>
      </c>
      <c r="BE57" s="68">
        <f>'O.G.Chem Results'!BE57/'O.G.Chem Results'!BE$142</f>
        <v>3.4090909090909092</v>
      </c>
      <c r="BF57" s="68">
        <f>'O.G.Chem Results'!BF57/'O.G.Chem Results'!BF$142</f>
        <v>2.7548209366391188</v>
      </c>
      <c r="BG57" s="68">
        <f>'O.G.Chem Results'!BG57/'O.G.Chem Results'!BG$142</f>
        <v>2.88421920065925</v>
      </c>
      <c r="BH57" s="68">
        <f>'O.G.Chem Results'!BH57/'O.G.Chem Results'!BH$142</f>
        <v>3.5971223021582732</v>
      </c>
      <c r="BI57" s="68">
        <f>'O.G.Chem Results'!BI57/'O.G.Chem Results'!BI$142</f>
        <v>3.146633102580239</v>
      </c>
      <c r="BJ57" s="68">
        <f>'O.G.Chem Results'!BJ57/'O.G.Chem Results'!BJ$142</f>
        <v>3.3057851239669422</v>
      </c>
      <c r="BK57" s="68">
        <f>'O.G.Chem Results'!BK57/'O.G.Chem Results'!BK$142</f>
        <v>3.6923076923076921</v>
      </c>
      <c r="BL57" s="68">
        <f>'O.G.Chem Results'!BL57/'O.G.Chem Results'!BL$142</f>
        <v>4.1152263374485596</v>
      </c>
      <c r="BM57" s="75">
        <v>2.7</v>
      </c>
      <c r="BN57" s="75">
        <v>0.4</v>
      </c>
      <c r="BO57" s="75">
        <v>0</v>
      </c>
      <c r="BP57" s="75">
        <v>0</v>
      </c>
      <c r="BQ57" s="75">
        <v>11</v>
      </c>
      <c r="BR57" s="75">
        <v>5.3</v>
      </c>
      <c r="BS57" s="75">
        <v>0.9</v>
      </c>
      <c r="BT57" s="76">
        <f t="shared" si="24"/>
        <v>0.50280250576986474</v>
      </c>
      <c r="BU57" s="281">
        <f t="shared" si="25"/>
        <v>101.1282054599273</v>
      </c>
      <c r="BV57" s="77">
        <f t="shared" si="26"/>
        <v>94</v>
      </c>
      <c r="BW57" s="78">
        <f t="shared" si="22"/>
        <v>98.305084745762699</v>
      </c>
      <c r="BX57" s="69">
        <f t="shared" si="11"/>
        <v>1.5017407161803713</v>
      </c>
      <c r="BY57" s="76">
        <v>8.2799999999999994</v>
      </c>
      <c r="BZ57" s="76">
        <v>1.82</v>
      </c>
      <c r="CA57" s="76">
        <v>24.26</v>
      </c>
      <c r="CB57" s="76">
        <v>0.1012</v>
      </c>
      <c r="CC57" s="76">
        <v>8.8000000000000005E-3</v>
      </c>
      <c r="CD57" s="76">
        <v>0</v>
      </c>
      <c r="CE57" s="76">
        <v>0</v>
      </c>
      <c r="CF57" s="76">
        <v>0</v>
      </c>
      <c r="CG57" s="76">
        <v>0</v>
      </c>
      <c r="CH57" s="76">
        <v>8.1</v>
      </c>
      <c r="CI57" s="76">
        <v>1.6</v>
      </c>
      <c r="CJ57" s="76">
        <v>0</v>
      </c>
      <c r="CK57" s="76">
        <v>26.39</v>
      </c>
      <c r="CL57" s="76">
        <v>13.89</v>
      </c>
      <c r="CM57" s="76">
        <v>0.18</v>
      </c>
      <c r="CN57" s="76">
        <v>0</v>
      </c>
      <c r="CO57" s="76">
        <v>12.07</v>
      </c>
      <c r="CP57" s="76">
        <v>3.3</v>
      </c>
      <c r="CQ57" s="76">
        <v>0</v>
      </c>
      <c r="CR57" s="76">
        <v>0</v>
      </c>
      <c r="CS57" s="76">
        <v>0</v>
      </c>
      <c r="CT57" s="76">
        <v>0</v>
      </c>
      <c r="CU57" s="76">
        <v>0</v>
      </c>
      <c r="CV57" s="76">
        <v>0</v>
      </c>
      <c r="CW57" s="76">
        <v>0</v>
      </c>
      <c r="CX57" s="76">
        <v>0</v>
      </c>
      <c r="CY57" s="281">
        <v>100.00000000000001</v>
      </c>
      <c r="CZ57" s="285">
        <v>0.26985539488320359</v>
      </c>
      <c r="DA57" s="285">
        <v>1.1256952169076753E-3</v>
      </c>
      <c r="DB57" s="285">
        <v>9.7886540600667426E-5</v>
      </c>
      <c r="DC57" s="285">
        <v>0</v>
      </c>
      <c r="DD57" s="285">
        <v>0</v>
      </c>
      <c r="DE57" s="285">
        <v>0</v>
      </c>
      <c r="DF57" s="285">
        <v>0</v>
      </c>
      <c r="DG57" s="285">
        <v>9.0100111234705238E-2</v>
      </c>
      <c r="DH57" s="285">
        <v>1.7797552836484987E-2</v>
      </c>
      <c r="DI57" s="285">
        <v>0</v>
      </c>
      <c r="DJ57" s="285">
        <v>0.29354838709677422</v>
      </c>
      <c r="DK57" s="285">
        <v>0.15450500556173527</v>
      </c>
      <c r="DL57" s="285">
        <v>2.0022246941045607E-3</v>
      </c>
      <c r="DM57" s="285">
        <v>0</v>
      </c>
      <c r="DN57" s="285">
        <v>0.13426028921023361</v>
      </c>
      <c r="DO57" s="285">
        <v>3.6707452725250278E-2</v>
      </c>
      <c r="DP57" s="285">
        <v>0</v>
      </c>
      <c r="DQ57" s="285">
        <v>0</v>
      </c>
      <c r="DR57" s="285">
        <v>0</v>
      </c>
      <c r="DS57" s="285">
        <v>0</v>
      </c>
      <c r="DT57" s="285">
        <v>0</v>
      </c>
      <c r="DU57" s="285">
        <v>0</v>
      </c>
      <c r="DV57" s="285">
        <v>0</v>
      </c>
      <c r="DW57" s="285">
        <v>0</v>
      </c>
      <c r="DX57" s="76">
        <v>1.0000000000000002</v>
      </c>
      <c r="DY57" s="78">
        <v>55.367886034630509</v>
      </c>
      <c r="DZ57" s="78">
        <v>23.488437657595046</v>
      </c>
      <c r="EA57" s="78">
        <v>7.991637775192113</v>
      </c>
      <c r="EB57" s="78">
        <v>2.2538761813992365</v>
      </c>
      <c r="EC57" s="78">
        <v>0</v>
      </c>
      <c r="ED57" s="78">
        <v>0.83889526135226045</v>
      </c>
      <c r="EE57" s="78">
        <v>2.0330716387624941E-2</v>
      </c>
      <c r="EF57" s="78">
        <v>1.1572517045796678E-3</v>
      </c>
      <c r="EG57" s="78">
        <v>1.1832301795078148</v>
      </c>
      <c r="EH57" s="78">
        <v>0.28990416564085436</v>
      </c>
      <c r="EI57" s="78">
        <v>0</v>
      </c>
      <c r="EJ57" s="78">
        <v>8.5646447765899723</v>
      </c>
      <c r="EK57" s="78">
        <v>0</v>
      </c>
      <c r="EL57" s="78">
        <v>100</v>
      </c>
      <c r="EM57" s="76">
        <v>95.121246724784498</v>
      </c>
      <c r="EN57" s="76" t="s">
        <v>131</v>
      </c>
      <c r="EO57" s="289">
        <v>0.10448362812917281</v>
      </c>
      <c r="EP57" s="257">
        <f t="shared" si="12"/>
        <v>10.448362812917281</v>
      </c>
      <c r="EQ57" s="257">
        <f t="shared" si="13"/>
        <v>76.351970669110898</v>
      </c>
      <c r="ER57" s="324">
        <f t="shared" si="14"/>
        <v>0.93714888047167288</v>
      </c>
      <c r="ES57" s="257">
        <f t="shared" si="15"/>
        <v>1.2148167817312796</v>
      </c>
      <c r="ET57">
        <f t="shared" si="8"/>
        <v>94</v>
      </c>
      <c r="EU57" s="324">
        <f t="shared" si="16"/>
        <v>0.77143228062433244</v>
      </c>
      <c r="EV57" s="39">
        <f t="shared" si="17"/>
        <v>163.66</v>
      </c>
      <c r="EW57"/>
      <c r="EX57"/>
      <c r="EY57"/>
      <c r="EZ57"/>
      <c r="FA57"/>
      <c r="FB57"/>
      <c r="FC57"/>
      <c r="FD57"/>
    </row>
    <row r="58" spans="1:160" s="77" customFormat="1" ht="13" customHeight="1" x14ac:dyDescent="0.2">
      <c r="A58" s="72" t="s">
        <v>132</v>
      </c>
      <c r="B58" s="73" t="s">
        <v>461</v>
      </c>
      <c r="C58" s="276">
        <f t="shared" si="28"/>
        <v>163.31</v>
      </c>
      <c r="D58" s="74">
        <v>110</v>
      </c>
      <c r="E58" s="74">
        <v>148</v>
      </c>
      <c r="F58" s="75">
        <f t="shared" si="23"/>
        <v>129</v>
      </c>
      <c r="G58" s="73" t="s">
        <v>518</v>
      </c>
      <c r="H58" s="84">
        <v>2.5</v>
      </c>
      <c r="I58" s="85">
        <v>4</v>
      </c>
      <c r="J58" s="85">
        <v>8</v>
      </c>
      <c r="K58" s="89">
        <f t="shared" si="20"/>
        <v>1.25</v>
      </c>
      <c r="L58" s="75">
        <v>150</v>
      </c>
      <c r="M58" s="75">
        <v>75</v>
      </c>
      <c r="N58" s="75">
        <v>38</v>
      </c>
      <c r="O58" s="75">
        <v>53.81</v>
      </c>
      <c r="P58" s="75">
        <v>23.58</v>
      </c>
      <c r="Q58" s="75">
        <v>10.49</v>
      </c>
      <c r="R58" s="75">
        <v>2.9000000000000001E-2</v>
      </c>
      <c r="S58" s="75">
        <v>0.38</v>
      </c>
      <c r="T58" s="75">
        <v>0</v>
      </c>
      <c r="U58" s="75">
        <v>0.05</v>
      </c>
      <c r="V58" s="75">
        <v>0.4</v>
      </c>
      <c r="W58" s="75">
        <v>0.76300000000000001</v>
      </c>
      <c r="X58" s="75">
        <v>0.05</v>
      </c>
      <c r="Y58" s="75">
        <v>10.9</v>
      </c>
      <c r="Z58" s="75">
        <v>100.5</v>
      </c>
      <c r="AA58" s="75">
        <v>34</v>
      </c>
      <c r="AB58" s="75">
        <v>2</v>
      </c>
      <c r="AC58" s="75">
        <v>151</v>
      </c>
      <c r="AD58" s="75">
        <v>30</v>
      </c>
      <c r="AE58" s="75">
        <v>6</v>
      </c>
      <c r="AF58" s="75">
        <v>0</v>
      </c>
      <c r="AG58" s="75">
        <v>60</v>
      </c>
      <c r="AH58" s="75">
        <v>70</v>
      </c>
      <c r="AI58" s="75">
        <v>22</v>
      </c>
      <c r="AJ58" s="75">
        <v>1</v>
      </c>
      <c r="AK58" s="75">
        <v>0</v>
      </c>
      <c r="AL58" s="75">
        <v>27</v>
      </c>
      <c r="AM58" s="75">
        <v>4</v>
      </c>
      <c r="AN58" s="68">
        <f>'O.G.Chem Results'!AN58/'O.G.Chem Results'!$AN$142</f>
        <v>1.2820512820512819</v>
      </c>
      <c r="AO58" s="75">
        <v>148</v>
      </c>
      <c r="AP58" s="75">
        <v>5</v>
      </c>
      <c r="AQ58" s="75" t="s">
        <v>72</v>
      </c>
      <c r="AR58" s="75" t="s">
        <v>74</v>
      </c>
      <c r="AS58" s="75" t="s">
        <v>73</v>
      </c>
      <c r="AT58" s="75">
        <v>1</v>
      </c>
      <c r="AU58" s="75" t="s">
        <v>74</v>
      </c>
      <c r="AV58" s="75">
        <v>1.6</v>
      </c>
      <c r="AW58" s="75">
        <v>57</v>
      </c>
      <c r="AX58" s="75" t="s">
        <v>75</v>
      </c>
      <c r="AY58" s="68">
        <f>'O.G.Chem Results'!AY58/'O.G.Chem Results'!AY$142</f>
        <v>23.829787234042552</v>
      </c>
      <c r="AZ58" s="68">
        <f>'O.G.Chem Results'!AZ58/'O.G.Chem Results'!AZ$142</f>
        <v>25.69628647214854</v>
      </c>
      <c r="BA58" s="68">
        <f>'O.G.Chem Results'!BA58/'O.G.Chem Results'!BA$142</f>
        <v>15.824915824915823</v>
      </c>
      <c r="BB58" s="68">
        <f>'O.G.Chem Results'!BB58/'O.G.Chem Results'!BB$142</f>
        <v>11.715296198054819</v>
      </c>
      <c r="BC58" s="68">
        <f>'O.G.Chem Results'!BC58/'O.G.Chem Results'!BC$142</f>
        <v>7.4779061862678464</v>
      </c>
      <c r="BD58" s="68">
        <f>'O.G.Chem Results'!BD58/'O.G.Chem Results'!BD$142</f>
        <v>5.1785714285714279</v>
      </c>
      <c r="BE58" s="68">
        <f>'O.G.Chem Results'!BE58/'O.G.Chem Results'!BE$142</f>
        <v>4.5454545454545459</v>
      </c>
      <c r="BF58" s="68">
        <f>'O.G.Chem Results'!BF58/'O.G.Chem Results'!BF$142</f>
        <v>2.7548209366391188</v>
      </c>
      <c r="BG58" s="68">
        <f>'O.G.Chem Results'!BG58/'O.G.Chem Results'!BG$142</f>
        <v>3.296250515039143</v>
      </c>
      <c r="BH58" s="68">
        <f>'O.G.Chem Results'!BH58/'O.G.Chem Results'!BH$142</f>
        <v>3.5971223021582732</v>
      </c>
      <c r="BI58" s="68">
        <f>'O.G.Chem Results'!BI58/'O.G.Chem Results'!BI$142</f>
        <v>3.146633102580239</v>
      </c>
      <c r="BJ58" s="68">
        <f>'O.G.Chem Results'!BJ58/'O.G.Chem Results'!BJ$142</f>
        <v>3.71900826446281</v>
      </c>
      <c r="BK58" s="68">
        <f>'O.G.Chem Results'!BK58/'O.G.Chem Results'!BK$142</f>
        <v>4.3076923076923075</v>
      </c>
      <c r="BL58" s="68">
        <f>'O.G.Chem Results'!BL58/'O.G.Chem Results'!BL$142</f>
        <v>4.9382716049382713</v>
      </c>
      <c r="BM58" s="75">
        <v>3.5</v>
      </c>
      <c r="BN58" s="75">
        <v>0.3</v>
      </c>
      <c r="BO58" s="75">
        <v>0</v>
      </c>
      <c r="BP58" s="75">
        <v>0</v>
      </c>
      <c r="BQ58" s="75">
        <v>12</v>
      </c>
      <c r="BR58" s="75">
        <v>5.5</v>
      </c>
      <c r="BS58" s="75">
        <v>1</v>
      </c>
      <c r="BT58" s="76">
        <f t="shared" si="24"/>
        <v>0.51884360194974088</v>
      </c>
      <c r="BU58" s="281">
        <f t="shared" si="25"/>
        <v>120.02801692296572</v>
      </c>
      <c r="BV58" s="77">
        <f t="shared" si="26"/>
        <v>129</v>
      </c>
      <c r="BW58" s="78">
        <f t="shared" si="22"/>
        <v>98.127340823970044</v>
      </c>
      <c r="BX58" s="69">
        <f t="shared" si="11"/>
        <v>1.6237866132400249</v>
      </c>
      <c r="BY58" s="76">
        <v>9.9700000000000006</v>
      </c>
      <c r="BZ58" s="76">
        <v>1.18</v>
      </c>
      <c r="CA58" s="76">
        <v>26.75</v>
      </c>
      <c r="CB58" s="76">
        <v>0</v>
      </c>
      <c r="CC58" s="76">
        <v>0</v>
      </c>
      <c r="CD58" s="76">
        <v>0</v>
      </c>
      <c r="CE58" s="76">
        <v>0</v>
      </c>
      <c r="CF58" s="76">
        <v>0</v>
      </c>
      <c r="CG58" s="76">
        <v>0</v>
      </c>
      <c r="CH58" s="76">
        <v>8.02</v>
      </c>
      <c r="CI58" s="76">
        <v>2.81</v>
      </c>
      <c r="CJ58" s="76">
        <v>0</v>
      </c>
      <c r="CK58" s="76">
        <v>24.87</v>
      </c>
      <c r="CL58" s="76">
        <v>14.98</v>
      </c>
      <c r="CM58" s="76">
        <v>0</v>
      </c>
      <c r="CN58" s="76">
        <v>0</v>
      </c>
      <c r="CO58" s="76">
        <v>6.94</v>
      </c>
      <c r="CP58" s="76">
        <v>4.2300000000000004</v>
      </c>
      <c r="CQ58" s="76">
        <v>0</v>
      </c>
      <c r="CR58" s="76">
        <v>0</v>
      </c>
      <c r="CS58" s="76">
        <v>0</v>
      </c>
      <c r="CT58" s="76">
        <v>0</v>
      </c>
      <c r="CU58" s="76">
        <v>0</v>
      </c>
      <c r="CV58" s="76">
        <v>0</v>
      </c>
      <c r="CW58" s="76">
        <v>0</v>
      </c>
      <c r="CX58" s="76">
        <v>0</v>
      </c>
      <c r="CY58" s="281">
        <v>99.750000000000014</v>
      </c>
      <c r="CZ58" s="285">
        <v>0.3019187358916478</v>
      </c>
      <c r="DA58" s="285">
        <v>0</v>
      </c>
      <c r="DB58" s="285">
        <v>0</v>
      </c>
      <c r="DC58" s="285">
        <v>0</v>
      </c>
      <c r="DD58" s="285">
        <v>0</v>
      </c>
      <c r="DE58" s="285">
        <v>0</v>
      </c>
      <c r="DF58" s="285">
        <v>0</v>
      </c>
      <c r="DG58" s="285">
        <v>9.0519187358916467E-2</v>
      </c>
      <c r="DH58" s="285">
        <v>3.1715575620767489E-2</v>
      </c>
      <c r="DI58" s="285">
        <v>0</v>
      </c>
      <c r="DJ58" s="285">
        <v>0.28069977426636566</v>
      </c>
      <c r="DK58" s="285">
        <v>0.16907449209932279</v>
      </c>
      <c r="DL58" s="285">
        <v>0</v>
      </c>
      <c r="DM58" s="285">
        <v>0</v>
      </c>
      <c r="DN58" s="285">
        <v>7.83295711060948E-2</v>
      </c>
      <c r="DO58" s="285">
        <v>4.7742663656884878E-2</v>
      </c>
      <c r="DP58" s="285">
        <v>0</v>
      </c>
      <c r="DQ58" s="285">
        <v>0</v>
      </c>
      <c r="DR58" s="285">
        <v>0</v>
      </c>
      <c r="DS58" s="285">
        <v>0</v>
      </c>
      <c r="DT58" s="285">
        <v>0</v>
      </c>
      <c r="DU58" s="285">
        <v>0</v>
      </c>
      <c r="DV58" s="285">
        <v>0</v>
      </c>
      <c r="DW58" s="285">
        <v>0</v>
      </c>
      <c r="DX58" s="76">
        <v>0.99999999999999989</v>
      </c>
      <c r="DY58" s="78">
        <v>56.760027831218288</v>
      </c>
      <c r="DZ58" s="78">
        <v>23.238422910978809</v>
      </c>
      <c r="EA58" s="78">
        <v>7.9990746023086894</v>
      </c>
      <c r="EB58" s="78">
        <v>1.4331040108402877</v>
      </c>
      <c r="EC58" s="78">
        <v>0</v>
      </c>
      <c r="ED58" s="78">
        <v>0.55291135308088091</v>
      </c>
      <c r="EE58" s="78">
        <v>1.0791595983251363E-2</v>
      </c>
      <c r="EF58" s="78">
        <v>0</v>
      </c>
      <c r="EG58" s="78">
        <v>0.98031162747975986</v>
      </c>
      <c r="EH58" s="78">
        <v>0.16913466439030675</v>
      </c>
      <c r="EI58" s="78">
        <v>0</v>
      </c>
      <c r="EJ58" s="78">
        <v>8.8562214037197187</v>
      </c>
      <c r="EK58" s="78">
        <v>0</v>
      </c>
      <c r="EL58" s="78">
        <v>99.999999999999972</v>
      </c>
      <c r="EM58" s="76">
        <v>95.909522877320427</v>
      </c>
      <c r="EN58" s="76" t="s">
        <v>132</v>
      </c>
      <c r="EO58" s="289">
        <v>9.5611579741246039E-2</v>
      </c>
      <c r="EP58" s="257">
        <f t="shared" si="12"/>
        <v>9.5611579741246047</v>
      </c>
      <c r="EQ58" s="257">
        <f t="shared" si="13"/>
        <v>81.9401778496362</v>
      </c>
      <c r="ER58" s="324">
        <f t="shared" si="14"/>
        <v>0.86141829129492953</v>
      </c>
      <c r="ES58" s="257">
        <f t="shared" si="15"/>
        <v>1.2983415130267821</v>
      </c>
      <c r="ET58">
        <f t="shared" si="8"/>
        <v>129</v>
      </c>
      <c r="EU58" s="324">
        <f t="shared" si="16"/>
        <v>0.66347589032005339</v>
      </c>
      <c r="EV58" s="39">
        <f t="shared" si="17"/>
        <v>163.31</v>
      </c>
      <c r="EW58"/>
      <c r="EX58">
        <f t="shared" si="18"/>
        <v>0.35641025641025642</v>
      </c>
      <c r="EY58"/>
      <c r="EZ58"/>
      <c r="FA58"/>
      <c r="FB58"/>
      <c r="FC58"/>
      <c r="FD58"/>
    </row>
    <row r="59" spans="1:160" s="77" customFormat="1" ht="13" customHeight="1" x14ac:dyDescent="0.2">
      <c r="A59" s="72" t="s">
        <v>133</v>
      </c>
      <c r="B59" s="73" t="s">
        <v>461</v>
      </c>
      <c r="C59" s="276">
        <f t="shared" si="28"/>
        <v>162.85999999999999</v>
      </c>
      <c r="D59" s="74">
        <v>148</v>
      </c>
      <c r="E59" s="74">
        <v>200</v>
      </c>
      <c r="F59" s="75">
        <f t="shared" si="23"/>
        <v>174</v>
      </c>
      <c r="G59" s="73" t="s">
        <v>517</v>
      </c>
      <c r="H59" s="84">
        <v>5</v>
      </c>
      <c r="I59" s="85">
        <v>5</v>
      </c>
      <c r="J59" s="85">
        <v>6</v>
      </c>
      <c r="K59" s="89">
        <f t="shared" si="20"/>
        <v>4.166666666666667</v>
      </c>
      <c r="L59" s="75">
        <v>164</v>
      </c>
      <c r="M59" s="75">
        <v>109</v>
      </c>
      <c r="N59" s="75">
        <v>70</v>
      </c>
      <c r="O59" s="75">
        <v>56.35</v>
      </c>
      <c r="P59" s="75">
        <v>22.1</v>
      </c>
      <c r="Q59" s="75">
        <v>9.8699999999999992</v>
      </c>
      <c r="R59" s="75">
        <v>4.2000000000000003E-2</v>
      </c>
      <c r="S59" s="75">
        <v>0.53</v>
      </c>
      <c r="T59" s="75">
        <v>0.01</v>
      </c>
      <c r="U59" s="75">
        <v>0.03</v>
      </c>
      <c r="V59" s="75">
        <v>0.46</v>
      </c>
      <c r="W59" s="75">
        <v>0.73</v>
      </c>
      <c r="X59" s="75">
        <v>0.05</v>
      </c>
      <c r="Y59" s="75">
        <v>9.99</v>
      </c>
      <c r="Z59" s="75">
        <v>100.2</v>
      </c>
      <c r="AA59" s="75">
        <v>32</v>
      </c>
      <c r="AB59" s="75">
        <v>2</v>
      </c>
      <c r="AC59" s="75">
        <v>141</v>
      </c>
      <c r="AD59" s="75">
        <v>20</v>
      </c>
      <c r="AE59" s="75">
        <v>8</v>
      </c>
      <c r="AF59" s="75">
        <v>0</v>
      </c>
      <c r="AG59" s="75">
        <v>60</v>
      </c>
      <c r="AH59" s="75">
        <v>80</v>
      </c>
      <c r="AI59" s="75">
        <v>21</v>
      </c>
      <c r="AJ59" s="75">
        <v>1</v>
      </c>
      <c r="AK59" s="75">
        <v>0</v>
      </c>
      <c r="AL59" s="75">
        <v>28</v>
      </c>
      <c r="AM59" s="75">
        <v>2</v>
      </c>
      <c r="AN59" s="68">
        <f>'O.G.Chem Results'!AN59/'O.G.Chem Results'!$AN$142</f>
        <v>2.5641025641025639</v>
      </c>
      <c r="AO59" s="75">
        <v>121</v>
      </c>
      <c r="AP59" s="75">
        <v>4</v>
      </c>
      <c r="AQ59" s="75" t="s">
        <v>72</v>
      </c>
      <c r="AR59" s="75" t="s">
        <v>74</v>
      </c>
      <c r="AS59" s="75" t="s">
        <v>73</v>
      </c>
      <c r="AT59" s="75">
        <v>1</v>
      </c>
      <c r="AU59" s="75" t="s">
        <v>74</v>
      </c>
      <c r="AV59" s="75">
        <v>1.4</v>
      </c>
      <c r="AW59" s="75">
        <v>69</v>
      </c>
      <c r="AX59" s="75" t="s">
        <v>75</v>
      </c>
      <c r="AY59" s="68">
        <f>'O.G.Chem Results'!AY59/'O.G.Chem Results'!AY$142</f>
        <v>31.489361702127663</v>
      </c>
      <c r="AZ59" s="68">
        <f>'O.G.Chem Results'!AZ59/'O.G.Chem Results'!AZ$142</f>
        <v>38.793103448275858</v>
      </c>
      <c r="BA59" s="68">
        <f>'O.G.Chem Results'!BA59/'O.G.Chem Results'!BA$142</f>
        <v>22.895622895622896</v>
      </c>
      <c r="BB59" s="68">
        <f>'O.G.Chem Results'!BB59/'O.G.Chem Results'!BB$142</f>
        <v>17.020335985853229</v>
      </c>
      <c r="BC59" s="68">
        <f>'O.G.Chem Results'!BC59/'O.G.Chem Results'!BC$142</f>
        <v>10.876954452753232</v>
      </c>
      <c r="BD59" s="68">
        <f>'O.G.Chem Results'!BD59/'O.G.Chem Results'!BD$142</f>
        <v>6.9642857142857144</v>
      </c>
      <c r="BE59" s="68">
        <f>'O.G.Chem Results'!BE59/'O.G.Chem Results'!BE$142</f>
        <v>6.8181818181818183</v>
      </c>
      <c r="BF59" s="68">
        <f>'O.G.Chem Results'!BF59/'O.G.Chem Results'!BF$142</f>
        <v>5.5096418732782375</v>
      </c>
      <c r="BG59" s="68">
        <f>'O.G.Chem Results'!BG59/'O.G.Chem Results'!BG$142</f>
        <v>4.5323444581788221</v>
      </c>
      <c r="BH59" s="68">
        <f>'O.G.Chem Results'!BH59/'O.G.Chem Results'!BH$142</f>
        <v>3.5971223021582732</v>
      </c>
      <c r="BI59" s="68">
        <f>'O.G.Chem Results'!BI59/'O.G.Chem Results'!BI$142</f>
        <v>3.7759597230962867</v>
      </c>
      <c r="BJ59" s="68">
        <f>'O.G.Chem Results'!BJ59/'O.G.Chem Results'!BJ$142</f>
        <v>4.1322314049586781</v>
      </c>
      <c r="BK59" s="68">
        <f>'O.G.Chem Results'!BK59/'O.G.Chem Results'!BK$142</f>
        <v>4.9230769230769234</v>
      </c>
      <c r="BL59" s="68">
        <f>'O.G.Chem Results'!BL59/'O.G.Chem Results'!BL$142</f>
        <v>5.3497942386831276</v>
      </c>
      <c r="BM59" s="75">
        <v>3</v>
      </c>
      <c r="BN59" s="75">
        <v>0.3</v>
      </c>
      <c r="BO59" s="75">
        <v>0</v>
      </c>
      <c r="BP59" s="75">
        <v>0</v>
      </c>
      <c r="BQ59" s="75">
        <v>11</v>
      </c>
      <c r="BR59" s="75">
        <v>4.2</v>
      </c>
      <c r="BS59" s="75">
        <v>0.7</v>
      </c>
      <c r="BT59" s="76">
        <f t="shared" si="24"/>
        <v>0.55195991440054271</v>
      </c>
      <c r="BU59" s="281">
        <f t="shared" si="25"/>
        <v>166.6780169405308</v>
      </c>
      <c r="BV59" s="77">
        <f t="shared" si="26"/>
        <v>174</v>
      </c>
      <c r="BW59" s="78">
        <f t="shared" si="22"/>
        <v>97.787610619469007</v>
      </c>
      <c r="BX59" s="69">
        <f t="shared" si="11"/>
        <v>1.6943458417849897</v>
      </c>
      <c r="BY59" s="76">
        <v>9.85</v>
      </c>
      <c r="BZ59" s="76">
        <v>0.61</v>
      </c>
      <c r="CA59" s="76">
        <v>30.08</v>
      </c>
      <c r="CB59" s="76">
        <v>1.84E-2</v>
      </c>
      <c r="CC59" s="76">
        <v>1.6000000000000001E-3</v>
      </c>
      <c r="CD59" s="76">
        <v>0</v>
      </c>
      <c r="CE59" s="76">
        <v>0</v>
      </c>
      <c r="CF59" s="76">
        <v>0</v>
      </c>
      <c r="CG59" s="76">
        <v>0</v>
      </c>
      <c r="CH59" s="76">
        <v>8.86</v>
      </c>
      <c r="CI59" s="76">
        <v>1.76</v>
      </c>
      <c r="CJ59" s="76">
        <v>0</v>
      </c>
      <c r="CK59" s="76">
        <v>26.84</v>
      </c>
      <c r="CL59" s="76">
        <v>15.76</v>
      </c>
      <c r="CM59" s="76">
        <v>0.18</v>
      </c>
      <c r="CN59" s="76">
        <v>0</v>
      </c>
      <c r="CO59" s="76">
        <v>1.49</v>
      </c>
      <c r="CP59" s="76">
        <v>4.53</v>
      </c>
      <c r="CQ59" s="76">
        <v>0</v>
      </c>
      <c r="CR59" s="76">
        <v>0</v>
      </c>
      <c r="CS59" s="76">
        <v>0</v>
      </c>
      <c r="CT59" s="76">
        <v>0</v>
      </c>
      <c r="CU59" s="76">
        <v>0</v>
      </c>
      <c r="CV59" s="76">
        <v>0</v>
      </c>
      <c r="CW59" s="76">
        <v>0</v>
      </c>
      <c r="CX59" s="76">
        <v>0</v>
      </c>
      <c r="CY59" s="281">
        <v>99.98</v>
      </c>
      <c r="CZ59" s="285">
        <v>0.3360142984807864</v>
      </c>
      <c r="DA59" s="285">
        <v>2.0554066130473638E-4</v>
      </c>
      <c r="DB59" s="285">
        <v>1.7873100983020557E-5</v>
      </c>
      <c r="DC59" s="285">
        <v>0</v>
      </c>
      <c r="DD59" s="285">
        <v>0</v>
      </c>
      <c r="DE59" s="285">
        <v>0</v>
      </c>
      <c r="DF59" s="285">
        <v>0</v>
      </c>
      <c r="DG59" s="285">
        <v>9.8972296693476319E-2</v>
      </c>
      <c r="DH59" s="285">
        <v>1.9660411081322611E-2</v>
      </c>
      <c r="DI59" s="285">
        <v>0</v>
      </c>
      <c r="DJ59" s="285">
        <v>0.29982126899016981</v>
      </c>
      <c r="DK59" s="285">
        <v>0.17605004468275245</v>
      </c>
      <c r="DL59" s="285">
        <v>2.0107238605898124E-3</v>
      </c>
      <c r="DM59" s="285">
        <v>0</v>
      </c>
      <c r="DN59" s="285">
        <v>1.664432529043789E-2</v>
      </c>
      <c r="DO59" s="285">
        <v>5.060321715817695E-2</v>
      </c>
      <c r="DP59" s="285">
        <v>0</v>
      </c>
      <c r="DQ59" s="285">
        <v>0</v>
      </c>
      <c r="DR59" s="285">
        <v>0</v>
      </c>
      <c r="DS59" s="285">
        <v>0</v>
      </c>
      <c r="DT59" s="285">
        <v>0</v>
      </c>
      <c r="DU59" s="285">
        <v>0</v>
      </c>
      <c r="DV59" s="285">
        <v>0</v>
      </c>
      <c r="DW59" s="285">
        <v>0</v>
      </c>
      <c r="DX59" s="76">
        <v>0.99999999999999989</v>
      </c>
      <c r="DY59" s="78">
        <v>59.07361556816079</v>
      </c>
      <c r="DZ59" s="78">
        <v>22.094915942474248</v>
      </c>
      <c r="EA59" s="78">
        <v>8.7430216636705698</v>
      </c>
      <c r="EB59" s="78">
        <v>0.4861012549333627</v>
      </c>
      <c r="EC59" s="78">
        <v>0</v>
      </c>
      <c r="ED59" s="78">
        <v>0.22131391938456044</v>
      </c>
      <c r="EE59" s="78">
        <v>4.1343511262588659E-3</v>
      </c>
      <c r="EF59" s="78">
        <v>2.1130255959402093E-4</v>
      </c>
      <c r="EG59" s="78">
        <v>0.68952231585448043</v>
      </c>
      <c r="EH59" s="78">
        <v>3.5939586190103151E-2</v>
      </c>
      <c r="EI59" s="78">
        <v>0</v>
      </c>
      <c r="EJ59" s="78">
        <v>8.6512240956460342</v>
      </c>
      <c r="EK59" s="78">
        <v>0</v>
      </c>
      <c r="EL59" s="78">
        <v>100</v>
      </c>
      <c r="EM59" s="76">
        <v>96.955221602788058</v>
      </c>
      <c r="EN59" s="76" t="s">
        <v>133</v>
      </c>
      <c r="EO59" s="289">
        <v>9.2728720315479352E-2</v>
      </c>
      <c r="EP59" s="257">
        <f t="shared" si="12"/>
        <v>9.2728720315479354</v>
      </c>
      <c r="EQ59" s="257">
        <f t="shared" si="13"/>
        <v>89.807627404657438</v>
      </c>
      <c r="ER59" s="324">
        <f t="shared" si="14"/>
        <v>0.78714123560888583</v>
      </c>
      <c r="ES59" s="257">
        <f t="shared" si="15"/>
        <v>1.4547584838130889</v>
      </c>
      <c r="ET59">
        <f t="shared" si="8"/>
        <v>174</v>
      </c>
      <c r="EU59" s="324">
        <f t="shared" si="16"/>
        <v>0.54108035413940214</v>
      </c>
      <c r="EV59" s="39">
        <f t="shared" si="17"/>
        <v>162.85999999999999</v>
      </c>
      <c r="EW59"/>
      <c r="EX59">
        <f t="shared" si="18"/>
        <v>0.71282051282051284</v>
      </c>
      <c r="EY59"/>
      <c r="EZ59"/>
      <c r="FA59"/>
      <c r="FB59"/>
      <c r="FC59"/>
      <c r="FD59"/>
    </row>
    <row r="60" spans="1:160" s="77" customFormat="1" ht="13" customHeight="1" x14ac:dyDescent="0.2">
      <c r="A60" s="72" t="s">
        <v>134</v>
      </c>
      <c r="B60" s="73" t="s">
        <v>461</v>
      </c>
      <c r="C60" s="276">
        <f t="shared" si="28"/>
        <v>162.04999999999998</v>
      </c>
      <c r="D60" s="74">
        <v>210</v>
      </c>
      <c r="E60" s="74">
        <v>300</v>
      </c>
      <c r="F60" s="75">
        <f t="shared" si="23"/>
        <v>255</v>
      </c>
      <c r="G60" s="73" t="s">
        <v>517</v>
      </c>
      <c r="H60" s="84">
        <v>5</v>
      </c>
      <c r="I60" s="85">
        <v>5</v>
      </c>
      <c r="J60" s="85">
        <v>6</v>
      </c>
      <c r="K60" s="89">
        <f t="shared" si="20"/>
        <v>4.166666666666667</v>
      </c>
      <c r="L60" s="75">
        <v>164</v>
      </c>
      <c r="M60" s="75">
        <v>109</v>
      </c>
      <c r="N60" s="75">
        <v>70</v>
      </c>
      <c r="O60" s="75">
        <v>58.26</v>
      </c>
      <c r="P60" s="75">
        <v>20.92</v>
      </c>
      <c r="Q60" s="75">
        <v>8.9700000000000006</v>
      </c>
      <c r="R60" s="75">
        <v>9.5000000000000001E-2</v>
      </c>
      <c r="S60" s="75">
        <v>0.69</v>
      </c>
      <c r="T60" s="75">
        <v>0</v>
      </c>
      <c r="U60" s="75">
        <v>0.04</v>
      </c>
      <c r="V60" s="75">
        <v>0.63</v>
      </c>
      <c r="W60" s="75">
        <v>0.67400000000000004</v>
      </c>
      <c r="X60" s="75">
        <v>0.04</v>
      </c>
      <c r="Y60" s="75">
        <v>9.69</v>
      </c>
      <c r="Z60" s="75">
        <v>100</v>
      </c>
      <c r="AA60" s="75">
        <v>27</v>
      </c>
      <c r="AB60" s="75">
        <v>2</v>
      </c>
      <c r="AC60" s="75">
        <v>134</v>
      </c>
      <c r="AD60" s="75">
        <v>0</v>
      </c>
      <c r="AE60" s="75">
        <v>19</v>
      </c>
      <c r="AF60" s="75">
        <v>0</v>
      </c>
      <c r="AG60" s="75">
        <v>50</v>
      </c>
      <c r="AH60" s="75">
        <v>100</v>
      </c>
      <c r="AI60" s="75">
        <v>20</v>
      </c>
      <c r="AJ60" s="75">
        <v>1</v>
      </c>
      <c r="AK60" s="75">
        <v>0</v>
      </c>
      <c r="AL60" s="75">
        <v>36</v>
      </c>
      <c r="AM60" s="75" t="s">
        <v>72</v>
      </c>
      <c r="AN60" s="68">
        <f>'O.G.Chem Results'!AN60/'O.G.Chem Results'!$AN$142</f>
        <v>5.1282051282051277</v>
      </c>
      <c r="AO60" s="75">
        <v>126</v>
      </c>
      <c r="AP60" s="75">
        <v>4</v>
      </c>
      <c r="AQ60" s="75" t="s">
        <v>72</v>
      </c>
      <c r="AR60" s="75" t="s">
        <v>74</v>
      </c>
      <c r="AS60" s="75" t="s">
        <v>73</v>
      </c>
      <c r="AT60" s="75">
        <v>0</v>
      </c>
      <c r="AU60" s="75" t="s">
        <v>74</v>
      </c>
      <c r="AV60" s="75">
        <v>1.6</v>
      </c>
      <c r="AW60" s="75">
        <v>107</v>
      </c>
      <c r="AX60" s="75" t="s">
        <v>75</v>
      </c>
      <c r="AY60" s="68">
        <f>'O.G.Chem Results'!AY60/'O.G.Chem Results'!AY$142</f>
        <v>57.021276595744688</v>
      </c>
      <c r="AZ60" s="68">
        <f>'O.G.Chem Results'!AZ60/'O.G.Chem Results'!AZ$142</f>
        <v>65.318302387267892</v>
      </c>
      <c r="BA60" s="68">
        <f>'O.G.Chem Results'!BA60/'O.G.Chem Results'!BA$142</f>
        <v>39.393939393939391</v>
      </c>
      <c r="BB60" s="68">
        <f>'O.G.Chem Results'!BB60/'O.G.Chem Results'!BB$142</f>
        <v>30.28293545534925</v>
      </c>
      <c r="BC60" s="68">
        <f>'O.G.Chem Results'!BC60/'O.G.Chem Results'!BC$142</f>
        <v>18.354860639021076</v>
      </c>
      <c r="BD60" s="68">
        <f>'O.G.Chem Results'!BD60/'O.G.Chem Results'!BD$142</f>
        <v>12.857142857142856</v>
      </c>
      <c r="BE60" s="68">
        <f>'O.G.Chem Results'!BE60/'O.G.Chem Results'!BE$142</f>
        <v>12.500000000000002</v>
      </c>
      <c r="BF60" s="68">
        <f>'O.G.Chem Results'!BF60/'O.G.Chem Results'!BF$142</f>
        <v>8.2644628099173545</v>
      </c>
      <c r="BG60" s="68">
        <f>'O.G.Chem Results'!BG60/'O.G.Chem Results'!BG$142</f>
        <v>7.8285949732179638</v>
      </c>
      <c r="BH60" s="68">
        <f>'O.G.Chem Results'!BH60/'O.G.Chem Results'!BH$142</f>
        <v>7.1942446043165464</v>
      </c>
      <c r="BI60" s="68">
        <f>'O.G.Chem Results'!BI60/'O.G.Chem Results'!BI$142</f>
        <v>6.9225928256765261</v>
      </c>
      <c r="BJ60" s="68">
        <f>'O.G.Chem Results'!BJ60/'O.G.Chem Results'!BJ$142</f>
        <v>7.4380165289256199</v>
      </c>
      <c r="BK60" s="68">
        <f>'O.G.Chem Results'!BK60/'O.G.Chem Results'!BK$142</f>
        <v>8</v>
      </c>
      <c r="BL60" s="68">
        <f>'O.G.Chem Results'!BL60/'O.G.Chem Results'!BL$142</f>
        <v>8.2304526748971192</v>
      </c>
      <c r="BM60" s="75">
        <v>3</v>
      </c>
      <c r="BN60" s="75">
        <v>0.2</v>
      </c>
      <c r="BO60" s="75">
        <v>0</v>
      </c>
      <c r="BP60" s="75">
        <v>0</v>
      </c>
      <c r="BQ60" s="75">
        <v>58</v>
      </c>
      <c r="BR60" s="75">
        <v>3.4</v>
      </c>
      <c r="BS60" s="75">
        <v>0.6</v>
      </c>
      <c r="BT60" s="76">
        <f t="shared" si="24"/>
        <v>0.5339098183126626</v>
      </c>
      <c r="BU60" s="281">
        <f t="shared" si="25"/>
        <v>289.60682174541625</v>
      </c>
      <c r="BV60" s="77">
        <f t="shared" si="26"/>
        <v>255</v>
      </c>
      <c r="BW60" s="78">
        <f t="shared" si="22"/>
        <v>96.89671144048171</v>
      </c>
      <c r="BX60" s="69">
        <f t="shared" si="11"/>
        <v>1.6580799836768005</v>
      </c>
      <c r="BY60" s="76">
        <v>9.86</v>
      </c>
      <c r="BZ60" s="76">
        <v>0.03</v>
      </c>
      <c r="CA60" s="76">
        <v>34.57</v>
      </c>
      <c r="CB60" s="76">
        <v>0</v>
      </c>
      <c r="CC60" s="76">
        <v>0</v>
      </c>
      <c r="CD60" s="76">
        <v>0</v>
      </c>
      <c r="CE60" s="76">
        <v>0</v>
      </c>
      <c r="CF60" s="76">
        <v>0</v>
      </c>
      <c r="CG60" s="76">
        <v>0</v>
      </c>
      <c r="CH60" s="76">
        <v>6.16</v>
      </c>
      <c r="CI60" s="76">
        <v>1.36</v>
      </c>
      <c r="CJ60" s="76">
        <v>0</v>
      </c>
      <c r="CK60" s="76">
        <v>25.85</v>
      </c>
      <c r="CL60" s="76">
        <v>15.91</v>
      </c>
      <c r="CM60" s="76">
        <v>0.14000000000000001</v>
      </c>
      <c r="CN60" s="76">
        <v>0</v>
      </c>
      <c r="CO60" s="76">
        <v>0.69</v>
      </c>
      <c r="CP60" s="76">
        <v>5.44</v>
      </c>
      <c r="CQ60" s="76">
        <v>0</v>
      </c>
      <c r="CR60" s="76">
        <v>0</v>
      </c>
      <c r="CS60" s="76">
        <v>0</v>
      </c>
      <c r="CT60" s="76">
        <v>0</v>
      </c>
      <c r="CU60" s="76">
        <v>0</v>
      </c>
      <c r="CV60" s="76">
        <v>0</v>
      </c>
      <c r="CW60" s="76">
        <v>0</v>
      </c>
      <c r="CX60" s="76">
        <v>0</v>
      </c>
      <c r="CY60" s="281">
        <v>100.01</v>
      </c>
      <c r="CZ60" s="285">
        <v>0.38359964491788728</v>
      </c>
      <c r="DA60" s="285">
        <v>0</v>
      </c>
      <c r="DB60" s="285">
        <v>0</v>
      </c>
      <c r="DC60" s="285">
        <v>0</v>
      </c>
      <c r="DD60" s="285">
        <v>0</v>
      </c>
      <c r="DE60" s="285">
        <v>0</v>
      </c>
      <c r="DF60" s="285">
        <v>0</v>
      </c>
      <c r="DG60" s="285">
        <v>6.835330670217489E-2</v>
      </c>
      <c r="DH60" s="285">
        <v>1.5090989791389262E-2</v>
      </c>
      <c r="DI60" s="285">
        <v>0</v>
      </c>
      <c r="DJ60" s="285">
        <v>0.28683976919662679</v>
      </c>
      <c r="DK60" s="285">
        <v>0.17654238792720819</v>
      </c>
      <c r="DL60" s="285">
        <v>1.5534842432312476E-3</v>
      </c>
      <c r="DM60" s="285">
        <v>0</v>
      </c>
      <c r="DN60" s="285">
        <v>7.6564580559254332E-3</v>
      </c>
      <c r="DO60" s="285">
        <v>6.0363959165557049E-2</v>
      </c>
      <c r="DP60" s="285">
        <v>0</v>
      </c>
      <c r="DQ60" s="285">
        <v>0</v>
      </c>
      <c r="DR60" s="285">
        <v>0</v>
      </c>
      <c r="DS60" s="285">
        <v>0</v>
      </c>
      <c r="DT60" s="285">
        <v>0</v>
      </c>
      <c r="DU60" s="285">
        <v>0</v>
      </c>
      <c r="DV60" s="285">
        <v>0</v>
      </c>
      <c r="DW60" s="285">
        <v>0</v>
      </c>
      <c r="DX60" s="76">
        <v>1.0000000000000002</v>
      </c>
      <c r="DY60" s="78">
        <v>63.356229106882623</v>
      </c>
      <c r="DZ60" s="78">
        <v>21.131484371156279</v>
      </c>
      <c r="EA60" s="78">
        <v>6.1615635857360891</v>
      </c>
      <c r="EB60" s="78">
        <v>0.39005416067413762</v>
      </c>
      <c r="EC60" s="78">
        <v>0</v>
      </c>
      <c r="ED60" s="78">
        <v>0.19497888944364752</v>
      </c>
      <c r="EE60" s="78">
        <v>2.4773799546945986E-3</v>
      </c>
      <c r="EF60" s="78">
        <v>0</v>
      </c>
      <c r="EG60" s="78">
        <v>0.74871492694320685</v>
      </c>
      <c r="EH60" s="78">
        <v>1.6532357389694007E-2</v>
      </c>
      <c r="EI60" s="78">
        <v>0</v>
      </c>
      <c r="EJ60" s="78">
        <v>7.9979652218196362</v>
      </c>
      <c r="EK60" s="78">
        <v>0</v>
      </c>
      <c r="EL60" s="78">
        <v>100</v>
      </c>
      <c r="EM60" s="76">
        <v>96.567182717408329</v>
      </c>
      <c r="EN60" s="76" t="s">
        <v>134</v>
      </c>
      <c r="EO60" s="289">
        <v>6.5867226208708995E-2</v>
      </c>
      <c r="EP60" s="257">
        <f t="shared" si="12"/>
        <v>6.5867226208708995</v>
      </c>
      <c r="EQ60" s="257">
        <f t="shared" si="13"/>
        <v>88.937014979245632</v>
      </c>
      <c r="ER60" s="324">
        <f t="shared" si="14"/>
        <v>0.83339497186922129</v>
      </c>
      <c r="ES60" s="257">
        <f t="shared" si="15"/>
        <v>1.357729040095621</v>
      </c>
      <c r="ET60">
        <f t="shared" si="8"/>
        <v>255</v>
      </c>
      <c r="EU60" s="324">
        <f t="shared" si="16"/>
        <v>0.61381538381953415</v>
      </c>
      <c r="EV60" s="39">
        <f t="shared" si="17"/>
        <v>162.04999999999998</v>
      </c>
      <c r="EW60"/>
      <c r="EX60">
        <f t="shared" si="18"/>
        <v>0.71282051282051284</v>
      </c>
      <c r="EY60"/>
      <c r="EZ60"/>
      <c r="FA60"/>
      <c r="FB60"/>
      <c r="FC60"/>
      <c r="FD60"/>
    </row>
    <row r="61" spans="1:160" s="77" customFormat="1" ht="13" customHeight="1" x14ac:dyDescent="0.2">
      <c r="A61" s="72" t="s">
        <v>135</v>
      </c>
      <c r="B61" s="73" t="s">
        <v>461</v>
      </c>
      <c r="C61" s="276">
        <f t="shared" si="28"/>
        <v>161.1</v>
      </c>
      <c r="D61" s="74">
        <v>300</v>
      </c>
      <c r="E61" s="74">
        <v>400</v>
      </c>
      <c r="F61" s="75">
        <f t="shared" si="23"/>
        <v>350</v>
      </c>
      <c r="G61" s="73" t="s">
        <v>506</v>
      </c>
      <c r="H61" s="84">
        <v>5</v>
      </c>
      <c r="I61" s="85">
        <v>4</v>
      </c>
      <c r="J61" s="85">
        <v>6</v>
      </c>
      <c r="K61" s="89">
        <f t="shared" si="20"/>
        <v>3.3333333333333335</v>
      </c>
      <c r="L61" s="75">
        <v>136</v>
      </c>
      <c r="M61" s="75">
        <v>83</v>
      </c>
      <c r="N61" s="75">
        <v>47</v>
      </c>
      <c r="O61" s="75">
        <v>58.97</v>
      </c>
      <c r="P61" s="75">
        <v>20.079999999999998</v>
      </c>
      <c r="Q61" s="75">
        <v>8.8699999999999992</v>
      </c>
      <c r="R61" s="75">
        <v>0.14099999999999999</v>
      </c>
      <c r="S61" s="75">
        <v>0.95</v>
      </c>
      <c r="T61" s="75">
        <v>0.01</v>
      </c>
      <c r="U61" s="75">
        <v>0.04</v>
      </c>
      <c r="V61" s="75">
        <v>0.83</v>
      </c>
      <c r="W61" s="75">
        <v>0.68100000000000005</v>
      </c>
      <c r="X61" s="75">
        <v>0.03</v>
      </c>
      <c r="Y61" s="75">
        <v>9.23</v>
      </c>
      <c r="Z61" s="75">
        <v>99.85</v>
      </c>
      <c r="AA61" s="75">
        <v>26</v>
      </c>
      <c r="AB61" s="75">
        <v>2</v>
      </c>
      <c r="AC61" s="75">
        <v>130</v>
      </c>
      <c r="AD61" s="75">
        <v>0</v>
      </c>
      <c r="AE61" s="75">
        <v>33</v>
      </c>
      <c r="AF61" s="75">
        <v>0</v>
      </c>
      <c r="AG61" s="75">
        <v>40</v>
      </c>
      <c r="AH61" s="75">
        <v>90</v>
      </c>
      <c r="AI61" s="75">
        <v>19</v>
      </c>
      <c r="AJ61" s="75">
        <v>1</v>
      </c>
      <c r="AK61" s="75">
        <v>0</v>
      </c>
      <c r="AL61" s="75">
        <v>46</v>
      </c>
      <c r="AM61" s="75" t="s">
        <v>72</v>
      </c>
      <c r="AN61" s="68">
        <f>'O.G.Chem Results'!AN61/'O.G.Chem Results'!$AN$142</f>
        <v>8.3333333333333339</v>
      </c>
      <c r="AO61" s="75">
        <v>132</v>
      </c>
      <c r="AP61" s="75">
        <v>4</v>
      </c>
      <c r="AQ61" s="75" t="s">
        <v>72</v>
      </c>
      <c r="AR61" s="75" t="s">
        <v>74</v>
      </c>
      <c r="AS61" s="75" t="s">
        <v>73</v>
      </c>
      <c r="AT61" s="75">
        <v>1</v>
      </c>
      <c r="AU61" s="75" t="s">
        <v>74</v>
      </c>
      <c r="AV61" s="75">
        <v>2.2000000000000002</v>
      </c>
      <c r="AW61" s="75">
        <v>144</v>
      </c>
      <c r="AX61" s="75" t="s">
        <v>75</v>
      </c>
      <c r="AY61" s="68">
        <f>'O.G.Chem Results'!AY61/'O.G.Chem Results'!AY$142</f>
        <v>76.170212765957444</v>
      </c>
      <c r="AZ61" s="68">
        <f>'O.G.Chem Results'!AZ61/'O.G.Chem Results'!AZ$142</f>
        <v>70.291777188328908</v>
      </c>
      <c r="BA61" s="68">
        <f>'O.G.Chem Results'!BA61/'O.G.Chem Results'!BA$142</f>
        <v>49.607182940516275</v>
      </c>
      <c r="BB61" s="68">
        <f>'O.G.Chem Results'!BB61/'O.G.Chem Results'!BB$142</f>
        <v>37.135278514588862</v>
      </c>
      <c r="BC61" s="68">
        <f>'O.G.Chem Results'!BC61/'O.G.Chem Results'!BC$142</f>
        <v>23.113528212100615</v>
      </c>
      <c r="BD61" s="68">
        <f>'O.G.Chem Results'!BD61/'O.G.Chem Results'!BD$142</f>
        <v>15.714285714285714</v>
      </c>
      <c r="BE61" s="68">
        <f>'O.G.Chem Results'!BE61/'O.G.Chem Results'!BE$142</f>
        <v>17.045454545454547</v>
      </c>
      <c r="BF61" s="68">
        <f>'O.G.Chem Results'!BF61/'O.G.Chem Results'!BF$142</f>
        <v>11.019283746556475</v>
      </c>
      <c r="BG61" s="68">
        <f>'O.G.Chem Results'!BG61/'O.G.Chem Results'!BG$142</f>
        <v>10.712814173877215</v>
      </c>
      <c r="BH61" s="68">
        <f>'O.G.Chem Results'!BH61/'O.G.Chem Results'!BH$142</f>
        <v>8.9928057553956826</v>
      </c>
      <c r="BI61" s="68">
        <f>'O.G.Chem Results'!BI61/'O.G.Chem Results'!BI$142</f>
        <v>10.069225928256765</v>
      </c>
      <c r="BJ61" s="68">
        <f>'O.G.Chem Results'!BJ61/'O.G.Chem Results'!BJ$142</f>
        <v>9.9173553719008272</v>
      </c>
      <c r="BK61" s="68">
        <f>'O.G.Chem Results'!BK61/'O.G.Chem Results'!BK$142</f>
        <v>10.461538461538462</v>
      </c>
      <c r="BL61" s="68">
        <f>'O.G.Chem Results'!BL61/'O.G.Chem Results'!BL$142</f>
        <v>10.699588477366255</v>
      </c>
      <c r="BM61" s="75">
        <v>3.4</v>
      </c>
      <c r="BN61" s="75">
        <v>0.2</v>
      </c>
      <c r="BO61" s="75">
        <v>4</v>
      </c>
      <c r="BP61" s="75">
        <v>0</v>
      </c>
      <c r="BQ61" s="75">
        <v>351</v>
      </c>
      <c r="BR61" s="75">
        <v>4.2</v>
      </c>
      <c r="BS61" s="75">
        <v>0.7</v>
      </c>
      <c r="BT61" s="76">
        <f t="shared" si="24"/>
        <v>0.47993187317930297</v>
      </c>
      <c r="BU61" s="281">
        <f t="shared" si="25"/>
        <v>360.95033179612409</v>
      </c>
      <c r="BV61" s="77">
        <f t="shared" si="26"/>
        <v>350</v>
      </c>
      <c r="BW61" s="78">
        <f t="shared" si="22"/>
        <v>95.801526717557252</v>
      </c>
      <c r="BX61" s="69">
        <f t="shared" si="11"/>
        <v>1.4169677256742321</v>
      </c>
      <c r="BY61" s="76">
        <v>8.4499999999999993</v>
      </c>
      <c r="BZ61" s="76">
        <v>0.23</v>
      </c>
      <c r="CA61" s="76">
        <v>29.28</v>
      </c>
      <c r="CB61" s="76">
        <v>0</v>
      </c>
      <c r="CC61" s="76">
        <v>0</v>
      </c>
      <c r="CD61" s="76">
        <v>0</v>
      </c>
      <c r="CE61" s="76">
        <v>0</v>
      </c>
      <c r="CF61" s="76">
        <v>0</v>
      </c>
      <c r="CG61" s="76">
        <v>0</v>
      </c>
      <c r="CH61" s="76">
        <v>5.75</v>
      </c>
      <c r="CI61" s="76">
        <v>2.21</v>
      </c>
      <c r="CJ61" s="76">
        <v>0</v>
      </c>
      <c r="CK61" s="76">
        <v>21.07</v>
      </c>
      <c r="CL61" s="76">
        <v>13.53</v>
      </c>
      <c r="CM61" s="76">
        <v>0</v>
      </c>
      <c r="CN61" s="76">
        <v>0</v>
      </c>
      <c r="CO61" s="76">
        <v>17.329999999999998</v>
      </c>
      <c r="CP61" s="76">
        <v>2.14</v>
      </c>
      <c r="CQ61" s="76">
        <v>0</v>
      </c>
      <c r="CR61" s="76">
        <v>0</v>
      </c>
      <c r="CS61" s="76">
        <v>0</v>
      </c>
      <c r="CT61" s="76">
        <v>0</v>
      </c>
      <c r="CU61" s="76">
        <v>0</v>
      </c>
      <c r="CV61" s="76">
        <v>0</v>
      </c>
      <c r="CW61" s="76">
        <v>0</v>
      </c>
      <c r="CX61" s="76">
        <v>0</v>
      </c>
      <c r="CY61" s="281">
        <v>99.990000000000009</v>
      </c>
      <c r="CZ61" s="285">
        <v>0.32066586354178073</v>
      </c>
      <c r="DA61" s="285">
        <v>0</v>
      </c>
      <c r="DB61" s="285">
        <v>0</v>
      </c>
      <c r="DC61" s="285">
        <v>0</v>
      </c>
      <c r="DD61" s="285">
        <v>0</v>
      </c>
      <c r="DE61" s="285">
        <v>0</v>
      </c>
      <c r="DF61" s="285">
        <v>0</v>
      </c>
      <c r="DG61" s="285">
        <v>6.2972292191435769E-2</v>
      </c>
      <c r="DH61" s="285">
        <v>2.4203263607490963E-2</v>
      </c>
      <c r="DI61" s="285">
        <v>0</v>
      </c>
      <c r="DJ61" s="285">
        <v>0.23075238199540027</v>
      </c>
      <c r="DK61" s="285">
        <v>0.1481765414521958</v>
      </c>
      <c r="DL61" s="285">
        <v>0</v>
      </c>
      <c r="DM61" s="285">
        <v>0</v>
      </c>
      <c r="DN61" s="285">
        <v>0.18979301281349248</v>
      </c>
      <c r="DO61" s="285">
        <v>2.3436644398203921E-2</v>
      </c>
      <c r="DP61" s="285">
        <v>0</v>
      </c>
      <c r="DQ61" s="285">
        <v>0</v>
      </c>
      <c r="DR61" s="285">
        <v>0</v>
      </c>
      <c r="DS61" s="285">
        <v>0</v>
      </c>
      <c r="DT61" s="285">
        <v>0</v>
      </c>
      <c r="DU61" s="285">
        <v>0</v>
      </c>
      <c r="DV61" s="285">
        <v>0</v>
      </c>
      <c r="DW61" s="285">
        <v>0</v>
      </c>
      <c r="DX61" s="76">
        <v>0.99999999999999989</v>
      </c>
      <c r="DY61" s="78">
        <v>58.695439608449618</v>
      </c>
      <c r="DZ61" s="78">
        <v>22.067742906584854</v>
      </c>
      <c r="EA61" s="78">
        <v>5.6193611349033183</v>
      </c>
      <c r="EB61" s="78">
        <v>3.0584219312297711</v>
      </c>
      <c r="EC61" s="78">
        <v>0</v>
      </c>
      <c r="ED61" s="78">
        <v>1.1105302601197753</v>
      </c>
      <c r="EE61" s="78">
        <v>2.6148100721157815E-2</v>
      </c>
      <c r="EF61" s="78">
        <v>0</v>
      </c>
      <c r="EG61" s="78">
        <v>1.3041390884010524</v>
      </c>
      <c r="EH61" s="78">
        <v>0.40981428945086495</v>
      </c>
      <c r="EI61" s="78">
        <v>0</v>
      </c>
      <c r="EJ61" s="78">
        <v>7.7084026801395895</v>
      </c>
      <c r="EK61" s="78">
        <v>0</v>
      </c>
      <c r="EL61" s="78">
        <v>100</v>
      </c>
      <c r="EM61" s="76">
        <v>94.314533387294503</v>
      </c>
      <c r="EN61" s="76" t="s">
        <v>135</v>
      </c>
      <c r="EO61" s="289">
        <v>8.9530410399437682E-2</v>
      </c>
      <c r="EP61" s="257">
        <f t="shared" si="12"/>
        <v>8.9530410399437681</v>
      </c>
      <c r="EQ61" s="257">
        <f t="shared" si="13"/>
        <v>68.611961953893271</v>
      </c>
      <c r="ER61" s="324">
        <f t="shared" si="14"/>
        <v>0.78260377306640627</v>
      </c>
      <c r="ES61" s="257">
        <f t="shared" si="15"/>
        <v>1.1129412745880642</v>
      </c>
      <c r="ET61">
        <f t="shared" si="8"/>
        <v>350</v>
      </c>
      <c r="EU61" s="324">
        <f t="shared" si="16"/>
        <v>0.7031851463645945</v>
      </c>
      <c r="EV61" s="39">
        <f t="shared" si="17"/>
        <v>161.1</v>
      </c>
      <c r="EW61"/>
      <c r="EX61">
        <f t="shared" si="18"/>
        <v>0.92666666666666686</v>
      </c>
      <c r="EY61"/>
      <c r="EZ61"/>
      <c r="FA61"/>
      <c r="FB61"/>
      <c r="FC61"/>
      <c r="FD61"/>
    </row>
    <row r="62" spans="1:160" s="77" customFormat="1" ht="13" customHeight="1" x14ac:dyDescent="0.2">
      <c r="A62" s="72" t="s">
        <v>136</v>
      </c>
      <c r="B62" s="73" t="s">
        <v>461</v>
      </c>
      <c r="C62" s="276">
        <f t="shared" si="28"/>
        <v>160.1</v>
      </c>
      <c r="D62" s="74">
        <v>400</v>
      </c>
      <c r="E62" s="74">
        <v>500</v>
      </c>
      <c r="F62" s="75">
        <f t="shared" si="23"/>
        <v>450</v>
      </c>
      <c r="G62" s="73" t="s">
        <v>506</v>
      </c>
      <c r="H62" s="84">
        <v>5</v>
      </c>
      <c r="I62" s="85">
        <v>4</v>
      </c>
      <c r="J62" s="85">
        <v>6</v>
      </c>
      <c r="K62" s="89">
        <f t="shared" si="20"/>
        <v>3.3333333333333335</v>
      </c>
      <c r="L62" s="75">
        <v>136</v>
      </c>
      <c r="M62" s="75">
        <v>83</v>
      </c>
      <c r="N62" s="75">
        <v>47</v>
      </c>
      <c r="O62" s="75">
        <v>58.48</v>
      </c>
      <c r="P62" s="75">
        <v>20.86</v>
      </c>
      <c r="Q62" s="75">
        <v>8.9</v>
      </c>
      <c r="R62" s="75">
        <v>0.16600000000000001</v>
      </c>
      <c r="S62" s="75">
        <v>0.9</v>
      </c>
      <c r="T62" s="75">
        <v>0.01</v>
      </c>
      <c r="U62" s="75">
        <v>0.04</v>
      </c>
      <c r="V62" s="75">
        <v>0.76</v>
      </c>
      <c r="W62" s="75">
        <v>0.68500000000000005</v>
      </c>
      <c r="X62" s="75">
        <v>0.03</v>
      </c>
      <c r="Y62" s="75">
        <v>9.4700000000000006</v>
      </c>
      <c r="Z62" s="75">
        <v>100.3</v>
      </c>
      <c r="AA62" s="75">
        <v>27</v>
      </c>
      <c r="AB62" s="75">
        <v>2</v>
      </c>
      <c r="AC62" s="75">
        <v>128</v>
      </c>
      <c r="AD62" s="75">
        <v>0</v>
      </c>
      <c r="AE62" s="75">
        <v>40</v>
      </c>
      <c r="AF62" s="75">
        <v>0</v>
      </c>
      <c r="AG62" s="75">
        <v>60</v>
      </c>
      <c r="AH62" s="75">
        <v>100</v>
      </c>
      <c r="AI62" s="75">
        <v>19</v>
      </c>
      <c r="AJ62" s="75">
        <v>1</v>
      </c>
      <c r="AK62" s="75">
        <v>0</v>
      </c>
      <c r="AL62" s="75">
        <v>41</v>
      </c>
      <c r="AM62" s="75" t="s">
        <v>72</v>
      </c>
      <c r="AN62" s="68">
        <f>'O.G.Chem Results'!AN62/'O.G.Chem Results'!$AN$142</f>
        <v>9.615384615384615</v>
      </c>
      <c r="AO62" s="75">
        <v>142</v>
      </c>
      <c r="AP62" s="75">
        <v>3</v>
      </c>
      <c r="AQ62" s="75" t="s">
        <v>72</v>
      </c>
      <c r="AR62" s="75" t="s">
        <v>74</v>
      </c>
      <c r="AS62" s="75" t="s">
        <v>73</v>
      </c>
      <c r="AT62" s="75">
        <v>0</v>
      </c>
      <c r="AU62" s="75" t="s">
        <v>74</v>
      </c>
      <c r="AV62" s="75">
        <v>1.7</v>
      </c>
      <c r="AW62" s="75">
        <v>151</v>
      </c>
      <c r="AX62" s="75" t="s">
        <v>75</v>
      </c>
      <c r="AY62" s="68">
        <f>'O.G.Chem Results'!AY62/'O.G.Chem Results'!AY$142</f>
        <v>76.170212765957444</v>
      </c>
      <c r="AZ62" s="68">
        <f>'O.G.Chem Results'!AZ62/'O.G.Chem Results'!AZ$142</f>
        <v>61.007957559681685</v>
      </c>
      <c r="BA62" s="68">
        <f>'O.G.Chem Results'!BA62/'O.G.Chem Results'!BA$142</f>
        <v>48.709315375982044</v>
      </c>
      <c r="BB62" s="68">
        <f>'O.G.Chem Results'!BB62/'O.G.Chem Results'!BB$142</f>
        <v>37.577365163572061</v>
      </c>
      <c r="BC62" s="68">
        <f>'O.G.Chem Results'!BC62/'O.G.Chem Results'!BC$142</f>
        <v>23.793337865397692</v>
      </c>
      <c r="BD62" s="68">
        <f>'O.G.Chem Results'!BD62/'O.G.Chem Results'!BD$142</f>
        <v>17.5</v>
      </c>
      <c r="BE62" s="68">
        <f>'O.G.Chem Results'!BE62/'O.G.Chem Results'!BE$142</f>
        <v>17.613636363636367</v>
      </c>
      <c r="BF62" s="68">
        <f>'O.G.Chem Results'!BF62/'O.G.Chem Results'!BF$142</f>
        <v>13.774104683195592</v>
      </c>
      <c r="BG62" s="68">
        <f>'O.G.Chem Results'!BG62/'O.G.Chem Results'!BG$142</f>
        <v>12.360939431396787</v>
      </c>
      <c r="BH62" s="68">
        <f>'O.G.Chem Results'!BH62/'O.G.Chem Results'!BH$142</f>
        <v>10.791366906474819</v>
      </c>
      <c r="BI62" s="68">
        <f>'O.G.Chem Results'!BI62/'O.G.Chem Results'!BI$142</f>
        <v>11.32787916928886</v>
      </c>
      <c r="BJ62" s="68">
        <f>'O.G.Chem Results'!BJ62/'O.G.Chem Results'!BJ$142</f>
        <v>11.5702479338843</v>
      </c>
      <c r="BK62" s="68">
        <f>'O.G.Chem Results'!BK62/'O.G.Chem Results'!BK$142</f>
        <v>11.692307692307692</v>
      </c>
      <c r="BL62" s="68">
        <f>'O.G.Chem Results'!BL62/'O.G.Chem Results'!BL$142</f>
        <v>12.345679012345677</v>
      </c>
      <c r="BM62" s="75">
        <v>3.5</v>
      </c>
      <c r="BN62" s="75">
        <v>0.2</v>
      </c>
      <c r="BO62" s="75">
        <v>0</v>
      </c>
      <c r="BP62" s="75">
        <v>0</v>
      </c>
      <c r="BQ62" s="75">
        <v>161</v>
      </c>
      <c r="BR62" s="75">
        <v>2.7</v>
      </c>
      <c r="BS62" s="75">
        <v>0.6</v>
      </c>
      <c r="BT62" s="76">
        <f t="shared" si="24"/>
        <v>0.44473517480848812</v>
      </c>
      <c r="BU62" s="281">
        <f t="shared" si="25"/>
        <v>366.23434992312104</v>
      </c>
      <c r="BV62" s="77">
        <f t="shared" si="26"/>
        <v>450</v>
      </c>
      <c r="BW62" s="78">
        <f t="shared" si="22"/>
        <v>96.262113520996763</v>
      </c>
      <c r="BX62" s="69">
        <f t="shared" si="11"/>
        <v>1.2524905572736493</v>
      </c>
      <c r="BY62" s="76">
        <v>9.09</v>
      </c>
      <c r="BZ62" s="76">
        <v>0.17</v>
      </c>
      <c r="CA62" s="76">
        <v>31.19</v>
      </c>
      <c r="CB62" s="76">
        <v>0</v>
      </c>
      <c r="CC62" s="76">
        <v>0</v>
      </c>
      <c r="CD62" s="76">
        <v>0</v>
      </c>
      <c r="CE62" s="76">
        <v>0</v>
      </c>
      <c r="CF62" s="76">
        <v>0</v>
      </c>
      <c r="CG62" s="76">
        <v>0</v>
      </c>
      <c r="CH62" s="76">
        <v>5.94</v>
      </c>
      <c r="CI62" s="76">
        <v>4</v>
      </c>
      <c r="CJ62" s="76">
        <v>0</v>
      </c>
      <c r="CK62" s="76">
        <v>13.5</v>
      </c>
      <c r="CL62" s="76">
        <v>13.15</v>
      </c>
      <c r="CM62" s="76">
        <v>0</v>
      </c>
      <c r="CN62" s="76">
        <v>0</v>
      </c>
      <c r="CO62" s="76">
        <v>20.11</v>
      </c>
      <c r="CP62" s="76">
        <v>2.86</v>
      </c>
      <c r="CQ62" s="76">
        <v>0</v>
      </c>
      <c r="CR62" s="76">
        <v>0</v>
      </c>
      <c r="CS62" s="76">
        <v>0</v>
      </c>
      <c r="CT62" s="76">
        <v>0</v>
      </c>
      <c r="CU62" s="76">
        <v>0</v>
      </c>
      <c r="CV62" s="76">
        <v>0</v>
      </c>
      <c r="CW62" s="76">
        <v>0</v>
      </c>
      <c r="CX62" s="76">
        <v>0</v>
      </c>
      <c r="CY62" s="281">
        <v>100.01</v>
      </c>
      <c r="CZ62" s="285">
        <v>0.34369146005509643</v>
      </c>
      <c r="DA62" s="285">
        <v>0</v>
      </c>
      <c r="DB62" s="285">
        <v>0</v>
      </c>
      <c r="DC62" s="285">
        <v>0</v>
      </c>
      <c r="DD62" s="285">
        <v>0</v>
      </c>
      <c r="DE62" s="285">
        <v>0</v>
      </c>
      <c r="DF62" s="285">
        <v>0</v>
      </c>
      <c r="DG62" s="285">
        <v>6.545454545454546E-2</v>
      </c>
      <c r="DH62" s="285">
        <v>4.4077134986225897E-2</v>
      </c>
      <c r="DI62" s="285">
        <v>0</v>
      </c>
      <c r="DJ62" s="285">
        <v>0.1487603305785124</v>
      </c>
      <c r="DK62" s="285">
        <v>0.14490358126721764</v>
      </c>
      <c r="DL62" s="285">
        <v>0</v>
      </c>
      <c r="DM62" s="285">
        <v>0</v>
      </c>
      <c r="DN62" s="285">
        <v>0.22159779614325067</v>
      </c>
      <c r="DO62" s="285">
        <v>3.1515151515151517E-2</v>
      </c>
      <c r="DP62" s="285">
        <v>0</v>
      </c>
      <c r="DQ62" s="285">
        <v>0</v>
      </c>
      <c r="DR62" s="285">
        <v>0</v>
      </c>
      <c r="DS62" s="285">
        <v>0</v>
      </c>
      <c r="DT62" s="285">
        <v>0</v>
      </c>
      <c r="DU62" s="285">
        <v>0</v>
      </c>
      <c r="DV62" s="285">
        <v>0</v>
      </c>
      <c r="DW62" s="285">
        <v>0</v>
      </c>
      <c r="DX62" s="76">
        <v>1</v>
      </c>
      <c r="DY62" s="78">
        <v>58.783825464707363</v>
      </c>
      <c r="DZ62" s="78">
        <v>21.123105101197716</v>
      </c>
      <c r="EA62" s="78">
        <v>5.7007417707072365</v>
      </c>
      <c r="EB62" s="78">
        <v>3.5895708540038576</v>
      </c>
      <c r="EC62" s="78">
        <v>0</v>
      </c>
      <c r="ED62" s="78">
        <v>1.3069418723875448</v>
      </c>
      <c r="EE62" s="78">
        <v>3.0529898900094766E-2</v>
      </c>
      <c r="EF62" s="78">
        <v>0</v>
      </c>
      <c r="EG62" s="78">
        <v>1.5708851356814448</v>
      </c>
      <c r="EH62" s="78">
        <v>0.47848939233377241</v>
      </c>
      <c r="EI62" s="78">
        <v>0</v>
      </c>
      <c r="EJ62" s="78">
        <v>7.4159105100809821</v>
      </c>
      <c r="EK62" s="78">
        <v>0</v>
      </c>
      <c r="EL62" s="78">
        <v>100.00000000000003</v>
      </c>
      <c r="EM62" s="76">
        <v>92.952920347654995</v>
      </c>
      <c r="EN62" s="76" t="s">
        <v>136</v>
      </c>
      <c r="EO62" s="289">
        <v>9.6133740015714411E-2</v>
      </c>
      <c r="EP62" s="257">
        <f t="shared" si="12"/>
        <v>9.613374001571442</v>
      </c>
      <c r="EQ62" s="257">
        <f t="shared" si="13"/>
        <v>61.43384822028208</v>
      </c>
      <c r="ER62" s="324">
        <f t="shared" si="14"/>
        <v>0.84526823443811139</v>
      </c>
      <c r="ES62" s="257">
        <f t="shared" si="15"/>
        <v>0.96370051488490838</v>
      </c>
      <c r="ET62">
        <f t="shared" si="8"/>
        <v>450</v>
      </c>
      <c r="EU62" s="324">
        <f t="shared" si="16"/>
        <v>0.87710675814992067</v>
      </c>
      <c r="EV62" s="39">
        <f t="shared" si="17"/>
        <v>160.1</v>
      </c>
      <c r="EW62"/>
      <c r="EX62">
        <f t="shared" si="18"/>
        <v>0.89102564102564108</v>
      </c>
      <c r="EY62"/>
      <c r="EZ62"/>
      <c r="FA62"/>
      <c r="FB62"/>
      <c r="FC62"/>
      <c r="FD62"/>
    </row>
    <row r="63" spans="1:160" s="77" customFormat="1" ht="13" customHeight="1" x14ac:dyDescent="0.2">
      <c r="A63" s="72" t="s">
        <v>137</v>
      </c>
      <c r="B63" s="73" t="s">
        <v>461</v>
      </c>
      <c r="C63" s="276">
        <f t="shared" si="28"/>
        <v>159.1</v>
      </c>
      <c r="D63" s="74">
        <v>500</v>
      </c>
      <c r="E63" s="74">
        <v>600</v>
      </c>
      <c r="F63" s="75">
        <f t="shared" si="23"/>
        <v>550</v>
      </c>
      <c r="G63" s="73" t="s">
        <v>523</v>
      </c>
      <c r="H63" s="84">
        <v>7.5</v>
      </c>
      <c r="I63" s="85">
        <v>5</v>
      </c>
      <c r="J63" s="85">
        <v>8</v>
      </c>
      <c r="K63" s="89">
        <f t="shared" si="20"/>
        <v>4.6875</v>
      </c>
      <c r="L63" s="75">
        <v>169</v>
      </c>
      <c r="M63" s="75">
        <v>108</v>
      </c>
      <c r="N63" s="75">
        <v>39</v>
      </c>
      <c r="O63" s="75">
        <v>57.42</v>
      </c>
      <c r="P63" s="75">
        <v>21.36</v>
      </c>
      <c r="Q63" s="75">
        <v>9.23</v>
      </c>
      <c r="R63" s="75">
        <v>0.223</v>
      </c>
      <c r="S63" s="75">
        <v>0.97</v>
      </c>
      <c r="T63" s="75">
        <v>0.01</v>
      </c>
      <c r="U63" s="75">
        <v>0.03</v>
      </c>
      <c r="V63" s="75">
        <v>0.81</v>
      </c>
      <c r="W63" s="75">
        <v>0.71599999999999997</v>
      </c>
      <c r="X63" s="75">
        <v>0.04</v>
      </c>
      <c r="Y63" s="75">
        <v>9.83</v>
      </c>
      <c r="Z63" s="75">
        <v>100.7</v>
      </c>
      <c r="AA63" s="75">
        <v>28</v>
      </c>
      <c r="AB63" s="75">
        <v>1</v>
      </c>
      <c r="AC63" s="75">
        <v>138</v>
      </c>
      <c r="AD63" s="75">
        <v>0</v>
      </c>
      <c r="AE63" s="75">
        <v>52</v>
      </c>
      <c r="AF63" s="75">
        <v>0</v>
      </c>
      <c r="AG63" s="75">
        <v>70</v>
      </c>
      <c r="AH63" s="75">
        <v>90</v>
      </c>
      <c r="AI63" s="75">
        <v>19</v>
      </c>
      <c r="AJ63" s="75">
        <v>1</v>
      </c>
      <c r="AK63" s="75">
        <v>0</v>
      </c>
      <c r="AL63" s="75">
        <v>42</v>
      </c>
      <c r="AM63" s="75" t="s">
        <v>72</v>
      </c>
      <c r="AN63" s="68">
        <f>'O.G.Chem Results'!AN63/'O.G.Chem Results'!$AN$142</f>
        <v>10.897435897435898</v>
      </c>
      <c r="AO63" s="75">
        <v>149</v>
      </c>
      <c r="AP63" s="75">
        <v>4</v>
      </c>
      <c r="AQ63" s="75" t="s">
        <v>72</v>
      </c>
      <c r="AR63" s="75" t="s">
        <v>74</v>
      </c>
      <c r="AS63" s="75" t="s">
        <v>73</v>
      </c>
      <c r="AT63" s="75">
        <v>0</v>
      </c>
      <c r="AU63" s="75" t="s">
        <v>74</v>
      </c>
      <c r="AV63" s="75">
        <v>1.6</v>
      </c>
      <c r="AW63" s="75">
        <v>168</v>
      </c>
      <c r="AX63" s="75" t="s">
        <v>75</v>
      </c>
      <c r="AY63" s="68">
        <f>'O.G.Chem Results'!AY63/'O.G.Chem Results'!AY$142</f>
        <v>74.893617021276611</v>
      </c>
      <c r="AZ63" s="68">
        <f>'O.G.Chem Results'!AZ63/'O.G.Chem Results'!AZ$142</f>
        <v>61.33952254641909</v>
      </c>
      <c r="BA63" s="68">
        <f>'O.G.Chem Results'!BA63/'O.G.Chem Results'!BA$142</f>
        <v>50.168350168350166</v>
      </c>
      <c r="BB63" s="68">
        <f>'O.G.Chem Results'!BB63/'O.G.Chem Results'!BB$142</f>
        <v>38.240495137046864</v>
      </c>
      <c r="BC63" s="68">
        <f>'O.G.Chem Results'!BC63/'O.G.Chem Results'!BC$142</f>
        <v>25.152957171991847</v>
      </c>
      <c r="BD63" s="68">
        <f>'O.G.Chem Results'!BD63/'O.G.Chem Results'!BD$142</f>
        <v>19.464285714285715</v>
      </c>
      <c r="BE63" s="68">
        <f>'O.G.Chem Results'!BE63/'O.G.Chem Results'!BE$142</f>
        <v>20.454545454545457</v>
      </c>
      <c r="BF63" s="68">
        <f>'O.G.Chem Results'!BF63/'O.G.Chem Results'!BF$142</f>
        <v>16.528925619834709</v>
      </c>
      <c r="BG63" s="68">
        <f>'O.G.Chem Results'!BG63/'O.G.Chem Results'!BG$142</f>
        <v>14.009064688916357</v>
      </c>
      <c r="BH63" s="68">
        <f>'O.G.Chem Results'!BH63/'O.G.Chem Results'!BH$142</f>
        <v>12.589928057553955</v>
      </c>
      <c r="BI63" s="68">
        <f>'O.G.Chem Results'!BI63/'O.G.Chem Results'!BI$142</f>
        <v>13.215859030837004</v>
      </c>
      <c r="BJ63" s="68">
        <f>'O.G.Chem Results'!BJ63/'O.G.Chem Results'!BJ$142</f>
        <v>12.809917355371901</v>
      </c>
      <c r="BK63" s="68">
        <f>'O.G.Chem Results'!BK63/'O.G.Chem Results'!BK$142</f>
        <v>13.538461538461538</v>
      </c>
      <c r="BL63" s="68">
        <f>'O.G.Chem Results'!BL63/'O.G.Chem Results'!BL$142</f>
        <v>14.403292181069956</v>
      </c>
      <c r="BM63" s="75">
        <v>3.7</v>
      </c>
      <c r="BN63" s="75">
        <v>0.2</v>
      </c>
      <c r="BO63" s="75">
        <v>0</v>
      </c>
      <c r="BP63" s="75">
        <v>0</v>
      </c>
      <c r="BQ63" s="75">
        <v>24</v>
      </c>
      <c r="BR63" s="75">
        <v>2.9</v>
      </c>
      <c r="BS63" s="75">
        <v>0.6</v>
      </c>
      <c r="BT63" s="76">
        <f t="shared" si="24"/>
        <v>0.45025404788486745</v>
      </c>
      <c r="BU63" s="281">
        <f t="shared" si="25"/>
        <v>386.80922168596112</v>
      </c>
      <c r="BV63" s="77">
        <f t="shared" si="26"/>
        <v>550</v>
      </c>
      <c r="BW63" s="78">
        <f t="shared" si="22"/>
        <v>96.172895092300763</v>
      </c>
      <c r="BX63" s="69">
        <f t="shared" si="11"/>
        <v>1.2226737044487563</v>
      </c>
      <c r="BY63" s="76">
        <v>7.95</v>
      </c>
      <c r="BZ63" s="76">
        <v>0.17</v>
      </c>
      <c r="CA63" s="76">
        <v>28.66</v>
      </c>
      <c r="CB63" s="76">
        <v>0</v>
      </c>
      <c r="CC63" s="76">
        <v>0</v>
      </c>
      <c r="CD63" s="76">
        <v>0</v>
      </c>
      <c r="CE63" s="76">
        <v>0</v>
      </c>
      <c r="CF63" s="76">
        <v>0</v>
      </c>
      <c r="CG63" s="76">
        <v>0</v>
      </c>
      <c r="CH63" s="76">
        <v>5.61</v>
      </c>
      <c r="CI63" s="76">
        <v>3.98</v>
      </c>
      <c r="CJ63" s="76">
        <v>0</v>
      </c>
      <c r="CK63" s="76">
        <v>13.84</v>
      </c>
      <c r="CL63" s="76">
        <v>17.55</v>
      </c>
      <c r="CM63" s="76">
        <v>0</v>
      </c>
      <c r="CN63" s="76">
        <v>0</v>
      </c>
      <c r="CO63" s="76">
        <v>18.57</v>
      </c>
      <c r="CP63" s="76">
        <v>3.67</v>
      </c>
      <c r="CQ63" s="76">
        <v>0</v>
      </c>
      <c r="CR63" s="76">
        <v>0</v>
      </c>
      <c r="CS63" s="76">
        <v>0</v>
      </c>
      <c r="CT63" s="76">
        <v>0</v>
      </c>
      <c r="CU63" s="76">
        <v>0</v>
      </c>
      <c r="CV63" s="76">
        <v>0</v>
      </c>
      <c r="CW63" s="76">
        <v>0</v>
      </c>
      <c r="CX63" s="76">
        <v>0</v>
      </c>
      <c r="CY63" s="281">
        <v>99.999999999999986</v>
      </c>
      <c r="CZ63" s="285">
        <v>0.31192860252503263</v>
      </c>
      <c r="DA63" s="285">
        <v>0</v>
      </c>
      <c r="DB63" s="285">
        <v>0</v>
      </c>
      <c r="DC63" s="285">
        <v>0</v>
      </c>
      <c r="DD63" s="285">
        <v>0</v>
      </c>
      <c r="DE63" s="285">
        <v>0</v>
      </c>
      <c r="DF63" s="285">
        <v>0</v>
      </c>
      <c r="DG63" s="285">
        <v>6.1057901610796689E-2</v>
      </c>
      <c r="DH63" s="285">
        <v>4.3317370483239005E-2</v>
      </c>
      <c r="DI63" s="285">
        <v>0</v>
      </c>
      <c r="DJ63" s="285">
        <v>0.15063125816282105</v>
      </c>
      <c r="DK63" s="285">
        <v>0.19101001306051371</v>
      </c>
      <c r="DL63" s="285">
        <v>0</v>
      </c>
      <c r="DM63" s="285">
        <v>0</v>
      </c>
      <c r="DN63" s="285">
        <v>0.20211144971702219</v>
      </c>
      <c r="DO63" s="285">
        <v>3.9943404440574655E-2</v>
      </c>
      <c r="DP63" s="285">
        <v>0</v>
      </c>
      <c r="DQ63" s="285">
        <v>0</v>
      </c>
      <c r="DR63" s="285">
        <v>0</v>
      </c>
      <c r="DS63" s="285">
        <v>0</v>
      </c>
      <c r="DT63" s="285">
        <v>0</v>
      </c>
      <c r="DU63" s="285">
        <v>0</v>
      </c>
      <c r="DV63" s="285">
        <v>0</v>
      </c>
      <c r="DW63" s="285">
        <v>0</v>
      </c>
      <c r="DX63" s="76">
        <v>1</v>
      </c>
      <c r="DY63" s="78">
        <v>57.471601934354844</v>
      </c>
      <c r="DZ63" s="78">
        <v>22.657335556874493</v>
      </c>
      <c r="EA63" s="78">
        <v>5.3360673610203797</v>
      </c>
      <c r="EB63" s="78">
        <v>3.3241839470315178</v>
      </c>
      <c r="EC63" s="78">
        <v>0</v>
      </c>
      <c r="ED63" s="78">
        <v>1.2198399920011063</v>
      </c>
      <c r="EE63" s="78">
        <v>2.7845232370557624E-2</v>
      </c>
      <c r="EF63" s="78">
        <v>0</v>
      </c>
      <c r="EG63" s="78">
        <v>1.5628004100855333</v>
      </c>
      <c r="EH63" s="78">
        <v>0.43641311620391421</v>
      </c>
      <c r="EI63" s="78">
        <v>0</v>
      </c>
      <c r="EJ63" s="78">
        <v>7.963912450057661</v>
      </c>
      <c r="EK63" s="78">
        <v>0</v>
      </c>
      <c r="EL63" s="78">
        <v>100</v>
      </c>
      <c r="EM63" s="76">
        <v>93.44009041668177</v>
      </c>
      <c r="EN63" s="76" t="s">
        <v>137</v>
      </c>
      <c r="EO63" s="289">
        <v>8.9594278632847343E-2</v>
      </c>
      <c r="EP63" s="257">
        <f t="shared" si="12"/>
        <v>8.9594278632847342</v>
      </c>
      <c r="EQ63" s="257">
        <f t="shared" si="13"/>
        <v>64.821259095223027</v>
      </c>
      <c r="ER63" s="324">
        <f t="shared" si="14"/>
        <v>0.85355630514003078</v>
      </c>
      <c r="ES63" s="257">
        <f t="shared" si="15"/>
        <v>0.97867781758661054</v>
      </c>
      <c r="ET63">
        <f t="shared" si="8"/>
        <v>550</v>
      </c>
      <c r="EU63" s="324">
        <f t="shared" si="16"/>
        <v>0.87215249983378029</v>
      </c>
      <c r="EV63" s="39">
        <f t="shared" si="17"/>
        <v>159.1</v>
      </c>
      <c r="EW63"/>
      <c r="EX63">
        <f t="shared" si="18"/>
        <v>0.86556776556776571</v>
      </c>
      <c r="EY63"/>
      <c r="EZ63"/>
      <c r="FA63"/>
      <c r="FB63"/>
      <c r="FC63"/>
      <c r="FD63"/>
    </row>
    <row r="64" spans="1:160" s="77" customFormat="1" ht="13" customHeight="1" x14ac:dyDescent="0.2">
      <c r="A64" s="72" t="s">
        <v>138</v>
      </c>
      <c r="B64" s="73" t="s">
        <v>461</v>
      </c>
      <c r="C64" s="276">
        <f t="shared" si="28"/>
        <v>158.1</v>
      </c>
      <c r="D64" s="74">
        <v>600</v>
      </c>
      <c r="E64" s="74">
        <v>700</v>
      </c>
      <c r="F64" s="75">
        <f t="shared" si="23"/>
        <v>650</v>
      </c>
      <c r="G64" s="73" t="s">
        <v>506</v>
      </c>
      <c r="H64" s="84">
        <v>5</v>
      </c>
      <c r="I64" s="85">
        <v>4</v>
      </c>
      <c r="J64" s="85">
        <v>6</v>
      </c>
      <c r="K64" s="89">
        <f t="shared" si="20"/>
        <v>3.3333333333333335</v>
      </c>
      <c r="L64" s="75">
        <v>136</v>
      </c>
      <c r="M64" s="75">
        <v>83</v>
      </c>
      <c r="N64" s="75">
        <v>47</v>
      </c>
      <c r="O64" s="75">
        <v>57.6</v>
      </c>
      <c r="P64" s="75">
        <v>20.13</v>
      </c>
      <c r="Q64" s="75">
        <v>8.7200000000000006</v>
      </c>
      <c r="R64" s="75">
        <v>0.20499999999999999</v>
      </c>
      <c r="S64" s="75">
        <v>0.86</v>
      </c>
      <c r="T64" s="75">
        <v>0</v>
      </c>
      <c r="U64" s="75">
        <v>0.05</v>
      </c>
      <c r="V64" s="75">
        <v>0.68</v>
      </c>
      <c r="W64" s="75">
        <v>0.66900000000000004</v>
      </c>
      <c r="X64" s="75">
        <v>0.05</v>
      </c>
      <c r="Y64" s="75">
        <v>9.5500000000000007</v>
      </c>
      <c r="Z64" s="75">
        <v>98.52</v>
      </c>
      <c r="AA64" s="75">
        <v>26</v>
      </c>
      <c r="AB64" s="75">
        <v>1</v>
      </c>
      <c r="AC64" s="75">
        <v>126</v>
      </c>
      <c r="AD64" s="75">
        <v>0</v>
      </c>
      <c r="AE64" s="75">
        <v>55</v>
      </c>
      <c r="AF64" s="75">
        <v>0</v>
      </c>
      <c r="AG64" s="75">
        <v>110</v>
      </c>
      <c r="AH64" s="75">
        <v>80</v>
      </c>
      <c r="AI64" s="75">
        <v>19</v>
      </c>
      <c r="AJ64" s="75">
        <v>1</v>
      </c>
      <c r="AK64" s="75">
        <v>0</v>
      </c>
      <c r="AL64" s="75">
        <v>36</v>
      </c>
      <c r="AM64" s="75">
        <v>3</v>
      </c>
      <c r="AN64" s="68">
        <f>'O.G.Chem Results'!AN64/'O.G.Chem Results'!$AN$142</f>
        <v>11.538461538461538</v>
      </c>
      <c r="AO64" s="75">
        <v>115</v>
      </c>
      <c r="AP64" s="75">
        <v>4</v>
      </c>
      <c r="AQ64" s="75" t="s">
        <v>72</v>
      </c>
      <c r="AR64" s="75">
        <v>0.9</v>
      </c>
      <c r="AS64" s="75" t="s">
        <v>73</v>
      </c>
      <c r="AT64" s="75">
        <v>0</v>
      </c>
      <c r="AU64" s="75">
        <v>2.9</v>
      </c>
      <c r="AV64" s="75">
        <v>1.5</v>
      </c>
      <c r="AW64" s="75">
        <v>145</v>
      </c>
      <c r="AX64" s="75" t="s">
        <v>75</v>
      </c>
      <c r="AY64" s="68">
        <f>'O.G.Chem Results'!AY64/'O.G.Chem Results'!AY$142</f>
        <v>70.638297872340431</v>
      </c>
      <c r="AZ64" s="68">
        <f>'O.G.Chem Results'!AZ64/'O.G.Chem Results'!AZ$142</f>
        <v>51.392572944297079</v>
      </c>
      <c r="BA64" s="68">
        <f>'O.G.Chem Results'!BA64/'O.G.Chem Results'!BA$142</f>
        <v>46.240179573512911</v>
      </c>
      <c r="BB64" s="68">
        <f>'O.G.Chem Results'!BB64/'O.G.Chem Results'!BB$142</f>
        <v>36.03006189213086</v>
      </c>
      <c r="BC64" s="68">
        <f>'O.G.Chem Results'!BC64/'O.G.Chem Results'!BC$142</f>
        <v>25.152957171991847</v>
      </c>
      <c r="BD64" s="68">
        <f>'O.G.Chem Results'!BD64/'O.G.Chem Results'!BD$142</f>
        <v>19.821428571428573</v>
      </c>
      <c r="BE64" s="68">
        <f>'O.G.Chem Results'!BE64/'O.G.Chem Results'!BE$142</f>
        <v>20.454545454545457</v>
      </c>
      <c r="BF64" s="68">
        <f>'O.G.Chem Results'!BF64/'O.G.Chem Results'!BF$142</f>
        <v>16.528925619834709</v>
      </c>
      <c r="BG64" s="68">
        <f>'O.G.Chem Results'!BG64/'O.G.Chem Results'!BG$142</f>
        <v>15.245158632056038</v>
      </c>
      <c r="BH64" s="68">
        <f>'O.G.Chem Results'!BH64/'O.G.Chem Results'!BH$142</f>
        <v>14.388489208633093</v>
      </c>
      <c r="BI64" s="68">
        <f>'O.G.Chem Results'!BI64/'O.G.Chem Results'!BI$142</f>
        <v>13.845185651353052</v>
      </c>
      <c r="BJ64" s="68">
        <f>'O.G.Chem Results'!BJ64/'O.G.Chem Results'!BJ$142</f>
        <v>13.636363636363637</v>
      </c>
      <c r="BK64" s="68">
        <f>'O.G.Chem Results'!BK64/'O.G.Chem Results'!BK$142</f>
        <v>14.153846153846152</v>
      </c>
      <c r="BL64" s="68">
        <f>'O.G.Chem Results'!BL64/'O.G.Chem Results'!BL$142</f>
        <v>14.814814814814813</v>
      </c>
      <c r="BM64" s="75">
        <v>3</v>
      </c>
      <c r="BN64" s="75">
        <v>0.3</v>
      </c>
      <c r="BO64" s="75">
        <v>0</v>
      </c>
      <c r="BP64" s="75">
        <v>0</v>
      </c>
      <c r="BQ64" s="75">
        <v>3910</v>
      </c>
      <c r="BR64" s="75">
        <v>2.5</v>
      </c>
      <c r="BS64" s="75">
        <v>0.6</v>
      </c>
      <c r="BT64" s="76">
        <f t="shared" si="24"/>
        <v>0.42114403183698573</v>
      </c>
      <c r="BU64" s="281">
        <f t="shared" si="25"/>
        <v>372.34282719714861</v>
      </c>
      <c r="BV64" s="77">
        <f t="shared" si="26"/>
        <v>650</v>
      </c>
      <c r="BW64" s="78">
        <f t="shared" si="22"/>
        <v>96.500479386385436</v>
      </c>
      <c r="BX64" s="69">
        <f t="shared" si="11"/>
        <v>1.1114267595477838</v>
      </c>
      <c r="BY64" s="76">
        <v>6.59</v>
      </c>
      <c r="BZ64" s="76">
        <v>0.24</v>
      </c>
      <c r="CA64" s="76">
        <v>24.79</v>
      </c>
      <c r="CB64" s="76">
        <v>0</v>
      </c>
      <c r="CC64" s="76">
        <v>0</v>
      </c>
      <c r="CD64" s="76">
        <v>0</v>
      </c>
      <c r="CE64" s="76">
        <v>0</v>
      </c>
      <c r="CF64" s="76">
        <v>0</v>
      </c>
      <c r="CG64" s="76">
        <v>0</v>
      </c>
      <c r="CH64" s="76">
        <v>3.63</v>
      </c>
      <c r="CI64" s="76">
        <v>2.2400000000000002</v>
      </c>
      <c r="CJ64" s="76">
        <v>0</v>
      </c>
      <c r="CK64" s="76">
        <v>11.84</v>
      </c>
      <c r="CL64" s="76">
        <v>19.96</v>
      </c>
      <c r="CM64" s="76">
        <v>0</v>
      </c>
      <c r="CN64" s="76">
        <v>0</v>
      </c>
      <c r="CO64" s="76">
        <v>29.72</v>
      </c>
      <c r="CP64" s="76">
        <v>2.99</v>
      </c>
      <c r="CQ64" s="76">
        <v>0</v>
      </c>
      <c r="CR64" s="76">
        <v>0</v>
      </c>
      <c r="CS64" s="76">
        <v>0</v>
      </c>
      <c r="CT64" s="76">
        <v>0</v>
      </c>
      <c r="CU64" s="76">
        <v>0</v>
      </c>
      <c r="CV64" s="76">
        <v>0</v>
      </c>
      <c r="CW64" s="76">
        <v>0</v>
      </c>
      <c r="CX64" s="76">
        <v>0</v>
      </c>
      <c r="CY64" s="281">
        <v>101.99999999999999</v>
      </c>
      <c r="CZ64" s="285">
        <v>0.260481244089524</v>
      </c>
      <c r="DA64" s="285">
        <v>0</v>
      </c>
      <c r="DB64" s="285">
        <v>0</v>
      </c>
      <c r="DC64" s="285">
        <v>0</v>
      </c>
      <c r="DD64" s="285">
        <v>0</v>
      </c>
      <c r="DE64" s="285">
        <v>0</v>
      </c>
      <c r="DF64" s="285">
        <v>0</v>
      </c>
      <c r="DG64" s="285">
        <v>3.8142271724282861E-2</v>
      </c>
      <c r="DH64" s="285">
        <v>2.3536828832615323E-2</v>
      </c>
      <c r="DI64" s="285">
        <v>0</v>
      </c>
      <c r="DJ64" s="285">
        <v>0.12440895240096669</v>
      </c>
      <c r="DK64" s="285">
        <v>0.20972995691919724</v>
      </c>
      <c r="DL64" s="285">
        <v>0</v>
      </c>
      <c r="DM64" s="285">
        <v>0</v>
      </c>
      <c r="DN64" s="285">
        <v>0.31228328254702109</v>
      </c>
      <c r="DO64" s="285">
        <v>3.1417463486392773E-2</v>
      </c>
      <c r="DP64" s="285">
        <v>0</v>
      </c>
      <c r="DQ64" s="285">
        <v>0</v>
      </c>
      <c r="DR64" s="285">
        <v>0</v>
      </c>
      <c r="DS64" s="285">
        <v>0</v>
      </c>
      <c r="DT64" s="285">
        <v>0</v>
      </c>
      <c r="DU64" s="285">
        <v>0</v>
      </c>
      <c r="DV64" s="285">
        <v>0</v>
      </c>
      <c r="DW64" s="285">
        <v>0</v>
      </c>
      <c r="DX64" s="76">
        <v>1</v>
      </c>
      <c r="DY64" s="78">
        <v>56.093656924975754</v>
      </c>
      <c r="DZ64" s="78">
        <v>23.550490037756209</v>
      </c>
      <c r="EA64" s="78">
        <v>3.3800177212237048</v>
      </c>
      <c r="EB64" s="78">
        <v>5.0002260546617929</v>
      </c>
      <c r="EC64" s="78">
        <v>0</v>
      </c>
      <c r="ED64" s="78">
        <v>1.8095026476185745</v>
      </c>
      <c r="EE64" s="78">
        <v>4.3023789993773653E-2</v>
      </c>
      <c r="EF64" s="78">
        <v>0</v>
      </c>
      <c r="EG64" s="78">
        <v>2.0628470626615583</v>
      </c>
      <c r="EH64" s="78">
        <v>0.67430380943556589</v>
      </c>
      <c r="EI64" s="78">
        <v>0</v>
      </c>
      <c r="EJ64" s="78">
        <v>7.3859319516730677</v>
      </c>
      <c r="EK64" s="78">
        <v>0</v>
      </c>
      <c r="EL64" s="78">
        <v>100</v>
      </c>
      <c r="EM64" s="76">
        <v>91.792012664421364</v>
      </c>
      <c r="EN64" s="76" t="s">
        <v>138</v>
      </c>
      <c r="EO64" s="289">
        <v>8.8302641208050592E-2</v>
      </c>
      <c r="EP64" s="257">
        <f t="shared" si="12"/>
        <v>8.8302641208050598</v>
      </c>
      <c r="EQ64" s="257">
        <f t="shared" si="13"/>
        <v>53.523728331912473</v>
      </c>
      <c r="ER64" s="324">
        <f t="shared" si="14"/>
        <v>0.86921788872058181</v>
      </c>
      <c r="ES64" s="257">
        <f t="shared" si="15"/>
        <v>0.86955403078379068</v>
      </c>
      <c r="ET64">
        <f t="shared" si="8"/>
        <v>650</v>
      </c>
      <c r="EU64" s="324">
        <f t="shared" si="16"/>
        <v>0.9996134316542632</v>
      </c>
      <c r="EV64" s="39">
        <f t="shared" si="17"/>
        <v>158.1</v>
      </c>
      <c r="EW64"/>
      <c r="EX64">
        <f t="shared" si="18"/>
        <v>0.80192307692307696</v>
      </c>
      <c r="EY64"/>
      <c r="EZ64"/>
      <c r="FA64"/>
      <c r="FB64"/>
      <c r="FC64"/>
      <c r="FD64"/>
    </row>
    <row r="65" spans="1:160" s="77" customFormat="1" ht="13" customHeight="1" x14ac:dyDescent="0.2">
      <c r="A65" s="72" t="s">
        <v>139</v>
      </c>
      <c r="B65" s="73" t="s">
        <v>461</v>
      </c>
      <c r="C65" s="276">
        <f t="shared" si="28"/>
        <v>157.1</v>
      </c>
      <c r="D65" s="74">
        <v>700</v>
      </c>
      <c r="E65" s="74">
        <v>800</v>
      </c>
      <c r="F65" s="75">
        <f t="shared" si="23"/>
        <v>750</v>
      </c>
      <c r="G65" s="73" t="s">
        <v>523</v>
      </c>
      <c r="H65" s="84">
        <v>7.5</v>
      </c>
      <c r="I65" s="85">
        <v>5</v>
      </c>
      <c r="J65" s="85">
        <v>8</v>
      </c>
      <c r="K65" s="89">
        <f t="shared" si="20"/>
        <v>4.6875</v>
      </c>
      <c r="L65" s="75">
        <v>169</v>
      </c>
      <c r="M65" s="75">
        <v>108</v>
      </c>
      <c r="N65" s="75">
        <v>39</v>
      </c>
      <c r="O65" s="75">
        <v>54.67</v>
      </c>
      <c r="P65" s="75">
        <v>20.63</v>
      </c>
      <c r="Q65" s="75">
        <v>10.86</v>
      </c>
      <c r="R65" s="75">
        <v>0.22800000000000001</v>
      </c>
      <c r="S65" s="75">
        <v>0.7</v>
      </c>
      <c r="T65" s="75">
        <v>0</v>
      </c>
      <c r="U65" s="75">
        <v>0.04</v>
      </c>
      <c r="V65" s="75">
        <v>0.67</v>
      </c>
      <c r="W65" s="75">
        <v>0.77300000000000002</v>
      </c>
      <c r="X65" s="75">
        <v>0.08</v>
      </c>
      <c r="Y65" s="75">
        <v>10.31</v>
      </c>
      <c r="Z65" s="75">
        <v>98.98</v>
      </c>
      <c r="AA65" s="75">
        <v>38</v>
      </c>
      <c r="AB65" s="75">
        <v>1</v>
      </c>
      <c r="AC65" s="75">
        <v>153</v>
      </c>
      <c r="AD65" s="75">
        <v>20</v>
      </c>
      <c r="AE65" s="75">
        <v>78</v>
      </c>
      <c r="AF65" s="75">
        <v>0</v>
      </c>
      <c r="AG65" s="75">
        <v>120</v>
      </c>
      <c r="AH65" s="75">
        <v>80</v>
      </c>
      <c r="AI65" s="75">
        <v>21</v>
      </c>
      <c r="AJ65" s="75">
        <v>1</v>
      </c>
      <c r="AK65" s="75">
        <v>0</v>
      </c>
      <c r="AL65" s="75">
        <v>37</v>
      </c>
      <c r="AM65" s="75">
        <v>2</v>
      </c>
      <c r="AN65" s="68">
        <f>'O.G.Chem Results'!AN65/'O.G.Chem Results'!$AN$142</f>
        <v>8.9743589743589745</v>
      </c>
      <c r="AO65" s="75">
        <v>119</v>
      </c>
      <c r="AP65" s="75">
        <v>4</v>
      </c>
      <c r="AQ65" s="75" t="s">
        <v>72</v>
      </c>
      <c r="AR65" s="75" t="s">
        <v>74</v>
      </c>
      <c r="AS65" s="75" t="s">
        <v>73</v>
      </c>
      <c r="AT65" s="75">
        <v>0</v>
      </c>
      <c r="AU65" s="75" t="s">
        <v>74</v>
      </c>
      <c r="AV65" s="75">
        <v>1.6</v>
      </c>
      <c r="AW65" s="75">
        <v>138</v>
      </c>
      <c r="AX65" s="75" t="s">
        <v>75</v>
      </c>
      <c r="AY65" s="68">
        <f>'O.G.Chem Results'!AY65/'O.G.Chem Results'!AY$142</f>
        <v>53.191489361702132</v>
      </c>
      <c r="AZ65" s="68">
        <f>'O.G.Chem Results'!AZ65/'O.G.Chem Results'!AZ$142</f>
        <v>44.429708222811669</v>
      </c>
      <c r="BA65" s="68">
        <f>'O.G.Chem Results'!BA65/'O.G.Chem Results'!BA$142</f>
        <v>37.48597081930415</v>
      </c>
      <c r="BB65" s="68">
        <f>'O.G.Chem Results'!BB65/'O.G.Chem Results'!BB$142</f>
        <v>30.06189213085765</v>
      </c>
      <c r="BC65" s="68">
        <f>'O.G.Chem Results'!BC65/'O.G.Chem Results'!BC$142</f>
        <v>21.753908905506464</v>
      </c>
      <c r="BD65" s="68">
        <f>'O.G.Chem Results'!BD65/'O.G.Chem Results'!BD$142</f>
        <v>17.678571428571427</v>
      </c>
      <c r="BE65" s="68">
        <f>'O.G.Chem Results'!BE65/'O.G.Chem Results'!BE$142</f>
        <v>18.181818181818183</v>
      </c>
      <c r="BF65" s="68">
        <f>'O.G.Chem Results'!BF65/'O.G.Chem Results'!BF$142</f>
        <v>13.774104683195592</v>
      </c>
      <c r="BG65" s="68">
        <f>'O.G.Chem Results'!BG65/'O.G.Chem Results'!BG$142</f>
        <v>13.597033374536464</v>
      </c>
      <c r="BH65" s="68">
        <f>'O.G.Chem Results'!BH65/'O.G.Chem Results'!BH$142</f>
        <v>12.589928057553955</v>
      </c>
      <c r="BI65" s="68">
        <f>'O.G.Chem Results'!BI65/'O.G.Chem Results'!BI$142</f>
        <v>13.215859030837004</v>
      </c>
      <c r="BJ65" s="68">
        <f>'O.G.Chem Results'!BJ65/'O.G.Chem Results'!BJ$142</f>
        <v>12.809917355371901</v>
      </c>
      <c r="BK65" s="68">
        <f>'O.G.Chem Results'!BK65/'O.G.Chem Results'!BK$142</f>
        <v>13.538461538461538</v>
      </c>
      <c r="BL65" s="68">
        <f>'O.G.Chem Results'!BL65/'O.G.Chem Results'!BL$142</f>
        <v>13.991769547325102</v>
      </c>
      <c r="BM65" s="75">
        <v>3.2</v>
      </c>
      <c r="BN65" s="75">
        <v>0.2</v>
      </c>
      <c r="BO65" s="75">
        <v>0</v>
      </c>
      <c r="BP65" s="75">
        <v>0</v>
      </c>
      <c r="BQ65" s="75">
        <v>44</v>
      </c>
      <c r="BR65" s="75">
        <v>2.2999999999999998</v>
      </c>
      <c r="BS65" s="75">
        <v>0.5</v>
      </c>
      <c r="BT65" s="76">
        <f t="shared" si="24"/>
        <v>0.45512357277063159</v>
      </c>
      <c r="BU65" s="281">
        <f t="shared" si="25"/>
        <v>316.30043263785319</v>
      </c>
      <c r="BV65" s="77">
        <f t="shared" si="26"/>
        <v>750</v>
      </c>
      <c r="BW65" s="78">
        <f t="shared" si="22"/>
        <v>96.67291471415183</v>
      </c>
      <c r="BX65" s="69">
        <f t="shared" si="11"/>
        <v>1.1852356295366826</v>
      </c>
      <c r="BY65" s="76">
        <v>8.19</v>
      </c>
      <c r="BZ65" s="76">
        <v>0.2</v>
      </c>
      <c r="CA65" s="76">
        <v>21.57</v>
      </c>
      <c r="CB65" s="76">
        <v>0</v>
      </c>
      <c r="CC65" s="76">
        <v>0</v>
      </c>
      <c r="CD65" s="76">
        <v>0</v>
      </c>
      <c r="CE65" s="76">
        <v>0</v>
      </c>
      <c r="CF65" s="76">
        <v>0</v>
      </c>
      <c r="CG65" s="76">
        <v>0</v>
      </c>
      <c r="CH65" s="76">
        <v>4.46</v>
      </c>
      <c r="CI65" s="76">
        <v>3.05</v>
      </c>
      <c r="CJ65" s="76">
        <v>0</v>
      </c>
      <c r="CK65" s="76">
        <v>12.5</v>
      </c>
      <c r="CL65" s="76">
        <v>22.15</v>
      </c>
      <c r="CM65" s="76">
        <v>0</v>
      </c>
      <c r="CN65" s="76">
        <v>0</v>
      </c>
      <c r="CO65" s="76">
        <v>24.17</v>
      </c>
      <c r="CP65" s="76">
        <v>3.71</v>
      </c>
      <c r="CQ65" s="76">
        <v>0</v>
      </c>
      <c r="CR65" s="76">
        <v>0</v>
      </c>
      <c r="CS65" s="76">
        <v>0</v>
      </c>
      <c r="CT65" s="76">
        <v>0</v>
      </c>
      <c r="CU65" s="76">
        <v>0</v>
      </c>
      <c r="CV65" s="76">
        <v>0</v>
      </c>
      <c r="CW65" s="76">
        <v>0</v>
      </c>
      <c r="CX65" s="76">
        <v>0</v>
      </c>
      <c r="CY65" s="281">
        <v>100</v>
      </c>
      <c r="CZ65" s="285">
        <v>0.23545464468944438</v>
      </c>
      <c r="DA65" s="285">
        <v>0</v>
      </c>
      <c r="DB65" s="285">
        <v>0</v>
      </c>
      <c r="DC65" s="285">
        <v>0</v>
      </c>
      <c r="DD65" s="285">
        <v>0</v>
      </c>
      <c r="DE65" s="285">
        <v>0</v>
      </c>
      <c r="DF65" s="285">
        <v>0</v>
      </c>
      <c r="DG65" s="285">
        <v>4.8684641414692718E-2</v>
      </c>
      <c r="DH65" s="285">
        <v>3.3293308590765201E-2</v>
      </c>
      <c r="DI65" s="285">
        <v>0</v>
      </c>
      <c r="DJ65" s="285">
        <v>0.13644798602772623</v>
      </c>
      <c r="DK65" s="285">
        <v>0.24178583124113087</v>
      </c>
      <c r="DL65" s="285">
        <v>0</v>
      </c>
      <c r="DM65" s="285">
        <v>0</v>
      </c>
      <c r="DN65" s="285">
        <v>0.26383582578321146</v>
      </c>
      <c r="DO65" s="285">
        <v>4.0497762253029146E-2</v>
      </c>
      <c r="DP65" s="285">
        <v>0</v>
      </c>
      <c r="DQ65" s="285">
        <v>0</v>
      </c>
      <c r="DR65" s="285">
        <v>0</v>
      </c>
      <c r="DS65" s="285">
        <v>0</v>
      </c>
      <c r="DT65" s="285">
        <v>0</v>
      </c>
      <c r="DU65" s="285">
        <v>0</v>
      </c>
      <c r="DV65" s="285">
        <v>0</v>
      </c>
      <c r="DW65" s="285">
        <v>0</v>
      </c>
      <c r="DX65" s="76">
        <v>1</v>
      </c>
      <c r="DY65" s="78">
        <v>54.10921210524581</v>
      </c>
      <c r="DZ65" s="78">
        <v>24.975164402915357</v>
      </c>
      <c r="EA65" s="78">
        <v>4.2798634657689645</v>
      </c>
      <c r="EB65" s="78">
        <v>4.2871219244315011</v>
      </c>
      <c r="EC65" s="78">
        <v>0</v>
      </c>
      <c r="ED65" s="78">
        <v>1.5634465787712062</v>
      </c>
      <c r="EE65" s="78">
        <v>3.6349102868231724E-2</v>
      </c>
      <c r="EF65" s="78">
        <v>0</v>
      </c>
      <c r="EG65" s="78">
        <v>1.9048599444442034</v>
      </c>
      <c r="EH65" s="78">
        <v>0.5696926871658915</v>
      </c>
      <c r="EI65" s="78">
        <v>0</v>
      </c>
      <c r="EJ65" s="78">
        <v>8.274289788388856</v>
      </c>
      <c r="EK65" s="78">
        <v>0</v>
      </c>
      <c r="EL65" s="78">
        <v>100</v>
      </c>
      <c r="EM65" s="76">
        <v>92.78799927894444</v>
      </c>
      <c r="EN65" s="76" t="s">
        <v>139</v>
      </c>
      <c r="EO65" s="289">
        <v>8.9528263633993008E-2</v>
      </c>
      <c r="EP65" s="257">
        <f t="shared" si="12"/>
        <v>8.9528263633992999</v>
      </c>
      <c r="EQ65" s="257">
        <f t="shared" si="13"/>
        <v>60.194174757281559</v>
      </c>
      <c r="ER65" s="324">
        <f t="shared" si="14"/>
        <v>0.88535117389574181</v>
      </c>
      <c r="ES65" s="257">
        <f t="shared" si="15"/>
        <v>0.97687163932165999</v>
      </c>
      <c r="ET65">
        <f t="shared" si="8"/>
        <v>750</v>
      </c>
      <c r="EU65" s="324">
        <f t="shared" si="16"/>
        <v>0.90631270093021632</v>
      </c>
      <c r="EV65" s="39">
        <f t="shared" si="17"/>
        <v>157.1</v>
      </c>
      <c r="EW65"/>
      <c r="EX65">
        <f t="shared" si="18"/>
        <v>0.71282051282051295</v>
      </c>
      <c r="EY65"/>
      <c r="EZ65"/>
      <c r="FA65"/>
      <c r="FB65"/>
      <c r="FC65"/>
      <c r="FD65"/>
    </row>
    <row r="66" spans="1:160" s="77" customFormat="1" ht="13" customHeight="1" x14ac:dyDescent="0.2">
      <c r="A66" s="72" t="s">
        <v>151</v>
      </c>
      <c r="B66" s="73" t="s">
        <v>461</v>
      </c>
      <c r="C66" s="276">
        <f>161-F66/100</f>
        <v>160.94499999999999</v>
      </c>
      <c r="D66" s="74">
        <v>0</v>
      </c>
      <c r="E66" s="74">
        <v>11</v>
      </c>
      <c r="F66" s="75">
        <f t="shared" si="23"/>
        <v>5.5</v>
      </c>
      <c r="G66" s="73" t="s">
        <v>506</v>
      </c>
      <c r="H66" s="84">
        <v>5</v>
      </c>
      <c r="I66" s="85">
        <v>4</v>
      </c>
      <c r="J66" s="85">
        <v>6</v>
      </c>
      <c r="K66" s="89">
        <f t="shared" si="20"/>
        <v>3.3333333333333335</v>
      </c>
      <c r="L66" s="75">
        <v>136</v>
      </c>
      <c r="M66" s="75">
        <v>83</v>
      </c>
      <c r="N66" s="75">
        <v>47</v>
      </c>
      <c r="O66" s="75">
        <v>70.239999999999995</v>
      </c>
      <c r="P66" s="75">
        <v>12.63</v>
      </c>
      <c r="Q66" s="75">
        <v>4.49</v>
      </c>
      <c r="R66" s="75">
        <v>0.29399999999999998</v>
      </c>
      <c r="S66" s="75">
        <v>0.21</v>
      </c>
      <c r="T66" s="75">
        <v>0.08</v>
      </c>
      <c r="U66" s="75">
        <v>0.13</v>
      </c>
      <c r="V66" s="75">
        <v>0.75</v>
      </c>
      <c r="W66" s="75">
        <v>0.78400000000000003</v>
      </c>
      <c r="X66" s="75">
        <v>0.05</v>
      </c>
      <c r="Y66" s="75">
        <v>9.67</v>
      </c>
      <c r="Z66" s="75">
        <v>99.32</v>
      </c>
      <c r="AA66" s="75">
        <v>13</v>
      </c>
      <c r="AB66" s="75">
        <v>2</v>
      </c>
      <c r="AC66" s="75">
        <v>81</v>
      </c>
      <c r="AD66" s="75">
        <v>30</v>
      </c>
      <c r="AE66" s="75">
        <v>25</v>
      </c>
      <c r="AF66" s="75">
        <v>0</v>
      </c>
      <c r="AG66" s="75">
        <v>30</v>
      </c>
      <c r="AH66" s="75">
        <v>50</v>
      </c>
      <c r="AI66" s="75">
        <v>13</v>
      </c>
      <c r="AJ66" s="75">
        <v>0</v>
      </c>
      <c r="AK66" s="75">
        <v>0</v>
      </c>
      <c r="AL66" s="75">
        <v>49</v>
      </c>
      <c r="AM66" s="75">
        <v>32</v>
      </c>
      <c r="AN66" s="68">
        <f>'O.G.Chem Results'!AN66/'O.G.Chem Results'!$AN$142</f>
        <v>35.256410256410255</v>
      </c>
      <c r="AO66" s="75">
        <v>257</v>
      </c>
      <c r="AP66" s="75">
        <v>5</v>
      </c>
      <c r="AQ66" s="75">
        <v>2</v>
      </c>
      <c r="AR66" s="75" t="s">
        <v>74</v>
      </c>
      <c r="AS66" s="75" t="s">
        <v>73</v>
      </c>
      <c r="AT66" s="75">
        <v>0</v>
      </c>
      <c r="AU66" s="75" t="s">
        <v>74</v>
      </c>
      <c r="AV66" s="75">
        <v>2.5</v>
      </c>
      <c r="AW66" s="75">
        <v>349</v>
      </c>
      <c r="AX66" s="75" t="s">
        <v>75</v>
      </c>
      <c r="AY66" s="68">
        <f>'O.G.Chem Results'!AY66/'O.G.Chem Results'!AY$142</f>
        <v>252.34042553191489</v>
      </c>
      <c r="AZ66" s="68">
        <f>'O.G.Chem Results'!AZ66/'O.G.Chem Results'!AZ$142</f>
        <v>288.46153846153845</v>
      </c>
      <c r="BA66" s="68">
        <f>'O.G.Chem Results'!BA66/'O.G.Chem Results'!BA$142</f>
        <v>193.0415263748597</v>
      </c>
      <c r="BB66" s="68">
        <f>'O.G.Chem Results'!BB66/'O.G.Chem Results'!BB$142</f>
        <v>147.21485411140583</v>
      </c>
      <c r="BC66" s="68">
        <f>'O.G.Chem Results'!BC66/'O.G.Chem Results'!BC$142</f>
        <v>98.572399728076149</v>
      </c>
      <c r="BD66" s="68">
        <f>'O.G.Chem Results'!BD66/'O.G.Chem Results'!BD$142</f>
        <v>68.571428571428569</v>
      </c>
      <c r="BE66" s="68">
        <f>'O.G.Chem Results'!BE66/'O.G.Chem Results'!BE$142</f>
        <v>69.88636363636364</v>
      </c>
      <c r="BF66" s="68">
        <f>'O.G.Chem Results'!BF66/'O.G.Chem Results'!BF$142</f>
        <v>52.341597796143247</v>
      </c>
      <c r="BG66" s="68">
        <f>'O.G.Chem Results'!BG66/'O.G.Chem Results'!BG$142</f>
        <v>49.443757725587147</v>
      </c>
      <c r="BH66" s="68">
        <f>'O.G.Chem Results'!BH66/'O.G.Chem Results'!BH$142</f>
        <v>41.366906474820141</v>
      </c>
      <c r="BI66" s="68">
        <f>'O.G.Chem Results'!BI66/'O.G.Chem Results'!BI$142</f>
        <v>41.535556954059153</v>
      </c>
      <c r="BJ66" s="68">
        <f>'O.G.Chem Results'!BJ66/'O.G.Chem Results'!BJ$142</f>
        <v>40.909090909090907</v>
      </c>
      <c r="BK66" s="68">
        <f>'O.G.Chem Results'!BK66/'O.G.Chem Results'!BK$142</f>
        <v>43.076923076923073</v>
      </c>
      <c r="BL66" s="68">
        <f>'O.G.Chem Results'!BL66/'O.G.Chem Results'!BL$142</f>
        <v>43.621399176954732</v>
      </c>
      <c r="BM66" s="75">
        <v>5.7</v>
      </c>
      <c r="BN66" s="75">
        <v>0.5</v>
      </c>
      <c r="BO66" s="75">
        <v>2</v>
      </c>
      <c r="BP66" s="75">
        <v>0.2</v>
      </c>
      <c r="BQ66" s="75">
        <v>95</v>
      </c>
      <c r="BR66" s="75">
        <v>5.6</v>
      </c>
      <c r="BS66" s="75">
        <v>2</v>
      </c>
      <c r="BT66" s="76">
        <f t="shared" si="24"/>
        <v>0.53339587809823563</v>
      </c>
      <c r="BU66" s="281">
        <f t="shared" si="25"/>
        <v>1430.383768529166</v>
      </c>
      <c r="BV66" s="77">
        <f t="shared" si="26"/>
        <v>5.5</v>
      </c>
      <c r="BW66" s="78">
        <f t="shared" si="22"/>
        <v>92.935982339955842</v>
      </c>
      <c r="BX66" s="69">
        <f t="shared" si="11"/>
        <v>1.4942978533094813</v>
      </c>
      <c r="BY66" s="76">
        <v>10.31</v>
      </c>
      <c r="BZ66" s="76">
        <v>1.67</v>
      </c>
      <c r="CA66" s="76">
        <v>48.47</v>
      </c>
      <c r="CB66" s="76">
        <v>2.3552</v>
      </c>
      <c r="CC66" s="76">
        <v>0.20480000000000001</v>
      </c>
      <c r="CD66" s="76">
        <v>0</v>
      </c>
      <c r="CE66" s="76">
        <v>0</v>
      </c>
      <c r="CF66" s="76">
        <v>0</v>
      </c>
      <c r="CG66" s="76">
        <v>0</v>
      </c>
      <c r="CH66" s="76">
        <v>0</v>
      </c>
      <c r="CI66" s="76">
        <v>2.0699999999999998</v>
      </c>
      <c r="CJ66" s="76">
        <v>0</v>
      </c>
      <c r="CK66" s="76">
        <v>8.5</v>
      </c>
      <c r="CL66" s="76">
        <v>15.04</v>
      </c>
      <c r="CM66" s="76">
        <v>5.84</v>
      </c>
      <c r="CN66" s="76">
        <v>0</v>
      </c>
      <c r="CO66" s="76">
        <v>0.89</v>
      </c>
      <c r="CP66" s="76">
        <v>4.6500000000000004</v>
      </c>
      <c r="CQ66" s="76">
        <v>0</v>
      </c>
      <c r="CR66" s="76">
        <v>0</v>
      </c>
      <c r="CS66" s="76">
        <v>0</v>
      </c>
      <c r="CT66" s="76">
        <v>0</v>
      </c>
      <c r="CU66" s="76">
        <v>0</v>
      </c>
      <c r="CV66" s="76">
        <v>0</v>
      </c>
      <c r="CW66" s="76">
        <v>0</v>
      </c>
      <c r="CX66" s="76">
        <v>0</v>
      </c>
      <c r="CY66" s="281">
        <v>100.00000000000001</v>
      </c>
      <c r="CZ66" s="285">
        <v>0.55067030220404456</v>
      </c>
      <c r="DA66" s="285">
        <v>2.6757555101113384E-2</v>
      </c>
      <c r="DB66" s="285">
        <v>2.3267439218359466E-3</v>
      </c>
      <c r="DC66" s="285">
        <v>0</v>
      </c>
      <c r="DD66" s="285">
        <v>0</v>
      </c>
      <c r="DE66" s="285">
        <v>0</v>
      </c>
      <c r="DF66" s="285">
        <v>0</v>
      </c>
      <c r="DG66" s="285">
        <v>0</v>
      </c>
      <c r="DH66" s="285">
        <v>2.3517382413087935E-2</v>
      </c>
      <c r="DI66" s="285">
        <v>0</v>
      </c>
      <c r="DJ66" s="285">
        <v>9.6568961599636446E-2</v>
      </c>
      <c r="DK66" s="285">
        <v>0.17087025675982731</v>
      </c>
      <c r="DL66" s="285">
        <v>6.634855714610316E-2</v>
      </c>
      <c r="DM66" s="285">
        <v>0</v>
      </c>
      <c r="DN66" s="285">
        <v>1.0111338332197229E-2</v>
      </c>
      <c r="DO66" s="285">
        <v>5.282890252215406E-2</v>
      </c>
      <c r="DP66" s="285">
        <v>0</v>
      </c>
      <c r="DQ66" s="285">
        <v>0</v>
      </c>
      <c r="DR66" s="285">
        <v>0</v>
      </c>
      <c r="DS66" s="285">
        <v>0</v>
      </c>
      <c r="DT66" s="285">
        <v>0</v>
      </c>
      <c r="DU66" s="285">
        <v>0</v>
      </c>
      <c r="DV66" s="285">
        <v>0</v>
      </c>
      <c r="DW66" s="285">
        <v>0</v>
      </c>
      <c r="DX66" s="76">
        <v>1</v>
      </c>
      <c r="DY66" s="78">
        <v>75.170630558352386</v>
      </c>
      <c r="DZ66" s="78">
        <v>16.713969352933713</v>
      </c>
      <c r="EA66" s="78">
        <v>0.4080789282974992</v>
      </c>
      <c r="EB66" s="78">
        <v>0.39443501940084108</v>
      </c>
      <c r="EC66" s="78">
        <v>0</v>
      </c>
      <c r="ED66" s="78">
        <v>0.29646786400718061</v>
      </c>
      <c r="EE66" s="78">
        <v>6.2148916857724085E-2</v>
      </c>
      <c r="EF66" s="78">
        <v>2.7507646640100709E-2</v>
      </c>
      <c r="EG66" s="78">
        <v>1.3827775177864294</v>
      </c>
      <c r="EH66" s="78">
        <v>2.1833105827129367E-2</v>
      </c>
      <c r="EI66" s="78">
        <v>0</v>
      </c>
      <c r="EJ66" s="78">
        <v>5.5221510898970081</v>
      </c>
      <c r="EK66" s="78">
        <v>0</v>
      </c>
      <c r="EL66" s="78">
        <v>100</v>
      </c>
      <c r="EM66" s="76">
        <v>91.903654361291416</v>
      </c>
      <c r="EN66" s="76" t="s">
        <v>151</v>
      </c>
      <c r="EO66" s="289">
        <v>8.3801309944441602E-3</v>
      </c>
      <c r="EP66" s="257">
        <f t="shared" si="12"/>
        <v>0.83801309944441604</v>
      </c>
      <c r="EQ66" s="257">
        <f t="shared" si="13"/>
        <v>75.971521803619098</v>
      </c>
      <c r="ER66" s="324">
        <f t="shared" si="14"/>
        <v>0.81410343044110711</v>
      </c>
      <c r="ES66" s="257">
        <f t="shared" si="15"/>
        <v>1.3274893645019366</v>
      </c>
      <c r="ET66">
        <f t="shared" si="8"/>
        <v>5.5</v>
      </c>
      <c r="EU66" s="324">
        <f t="shared" si="16"/>
        <v>0.6132655011865592</v>
      </c>
      <c r="EV66" s="39">
        <f t="shared" si="17"/>
        <v>160.94499999999999</v>
      </c>
      <c r="EW66"/>
      <c r="EX66">
        <f t="shared" si="18"/>
        <v>0.85228539576365669</v>
      </c>
      <c r="EY66"/>
      <c r="EZ66" s="324">
        <f>AVERAGE(ER66:ER77)</f>
        <v>0.83489694237305201</v>
      </c>
      <c r="FA66" s="260" t="s">
        <v>667</v>
      </c>
      <c r="FB66"/>
      <c r="FC66"/>
      <c r="FD66"/>
    </row>
    <row r="67" spans="1:160" s="77" customFormat="1" ht="13" customHeight="1" x14ac:dyDescent="0.2">
      <c r="A67" s="72" t="s">
        <v>152</v>
      </c>
      <c r="B67" s="73" t="s">
        <v>461</v>
      </c>
      <c r="C67" s="276">
        <f t="shared" ref="C67:C77" si="29">161-F67/100</f>
        <v>160.79</v>
      </c>
      <c r="D67" s="74">
        <v>11</v>
      </c>
      <c r="E67" s="74">
        <v>31</v>
      </c>
      <c r="F67" s="75">
        <f t="shared" si="23"/>
        <v>21</v>
      </c>
      <c r="G67" s="73" t="s">
        <v>525</v>
      </c>
      <c r="H67" s="84">
        <v>2.5</v>
      </c>
      <c r="I67" s="85">
        <v>4</v>
      </c>
      <c r="J67" s="85">
        <v>4</v>
      </c>
      <c r="K67" s="89">
        <f t="shared" si="20"/>
        <v>2.5</v>
      </c>
      <c r="L67" s="75">
        <v>129</v>
      </c>
      <c r="M67" s="75">
        <v>86</v>
      </c>
      <c r="N67" s="75">
        <v>68</v>
      </c>
      <c r="O67" s="75">
        <v>71.790000000000006</v>
      </c>
      <c r="P67" s="75">
        <v>13.66</v>
      </c>
      <c r="Q67" s="75">
        <v>4.91</v>
      </c>
      <c r="R67" s="75">
        <v>0.24199999999999999</v>
      </c>
      <c r="S67" s="75">
        <v>0.22</v>
      </c>
      <c r="T67" s="75">
        <v>0.06</v>
      </c>
      <c r="U67" s="75">
        <v>0.12</v>
      </c>
      <c r="V67" s="75">
        <v>0.75</v>
      </c>
      <c r="W67" s="75">
        <v>0.78100000000000003</v>
      </c>
      <c r="X67" s="75">
        <v>0.05</v>
      </c>
      <c r="Y67" s="75">
        <v>7.75</v>
      </c>
      <c r="Z67" s="75">
        <v>100.3</v>
      </c>
      <c r="AA67" s="75">
        <v>14</v>
      </c>
      <c r="AB67" s="75">
        <v>1</v>
      </c>
      <c r="AC67" s="75">
        <v>84</v>
      </c>
      <c r="AD67" s="75">
        <v>30</v>
      </c>
      <c r="AE67" s="75">
        <v>25</v>
      </c>
      <c r="AF67" s="75">
        <v>0</v>
      </c>
      <c r="AG67" s="75">
        <v>30</v>
      </c>
      <c r="AH67" s="75">
        <v>70</v>
      </c>
      <c r="AI67" s="75">
        <v>14</v>
      </c>
      <c r="AJ67" s="75">
        <v>0</v>
      </c>
      <c r="AK67" s="75">
        <v>0</v>
      </c>
      <c r="AL67" s="75">
        <v>53</v>
      </c>
      <c r="AM67" s="75">
        <v>31</v>
      </c>
      <c r="AN67" s="68">
        <f>'O.G.Chem Results'!AN67/'O.G.Chem Results'!$AN$142</f>
        <v>24.358974358974358</v>
      </c>
      <c r="AO67" s="75">
        <v>275</v>
      </c>
      <c r="AP67" s="75">
        <v>7</v>
      </c>
      <c r="AQ67" s="75" t="s">
        <v>72</v>
      </c>
      <c r="AR67" s="75" t="s">
        <v>74</v>
      </c>
      <c r="AS67" s="75" t="s">
        <v>73</v>
      </c>
      <c r="AT67" s="75">
        <v>1</v>
      </c>
      <c r="AU67" s="75" t="s">
        <v>74</v>
      </c>
      <c r="AV67" s="75">
        <v>2.8</v>
      </c>
      <c r="AW67" s="75">
        <v>322</v>
      </c>
      <c r="AX67" s="75" t="s">
        <v>75</v>
      </c>
      <c r="AY67" s="68">
        <f>'O.G.Chem Results'!AY67/'O.G.Chem Results'!AY$142</f>
        <v>177.87234042553192</v>
      </c>
      <c r="AZ67" s="68">
        <f>'O.G.Chem Results'!AZ67/'O.G.Chem Results'!AZ$142</f>
        <v>283.48806366047739</v>
      </c>
      <c r="BA67" s="68">
        <f>'O.G.Chem Results'!BA67/'O.G.Chem Results'!BA$142</f>
        <v>149.27048260381594</v>
      </c>
      <c r="BB67" s="68">
        <f>'O.G.Chem Results'!BB67/'O.G.Chem Results'!BB$142</f>
        <v>116.71087533156499</v>
      </c>
      <c r="BC67" s="68">
        <f>'O.G.Chem Results'!BC67/'O.G.Chem Results'!BC$142</f>
        <v>79.537729435757996</v>
      </c>
      <c r="BD67" s="68">
        <f>'O.G.Chem Results'!BD67/'O.G.Chem Results'!BD$142</f>
        <v>55.357142857142854</v>
      </c>
      <c r="BE67" s="68">
        <f>'O.G.Chem Results'!BE67/'O.G.Chem Results'!BE$142</f>
        <v>55.681818181818187</v>
      </c>
      <c r="BF67" s="68">
        <f>'O.G.Chem Results'!BF67/'O.G.Chem Results'!BF$142</f>
        <v>41.32231404958678</v>
      </c>
      <c r="BG67" s="68">
        <f>'O.G.Chem Results'!BG67/'O.G.Chem Results'!BG$142</f>
        <v>37.494849608570249</v>
      </c>
      <c r="BH67" s="68">
        <f>'O.G.Chem Results'!BH67/'O.G.Chem Results'!BH$142</f>
        <v>32.374100719424462</v>
      </c>
      <c r="BI67" s="68">
        <f>'O.G.Chem Results'!BI67/'O.G.Chem Results'!BI$142</f>
        <v>32.095657646318436</v>
      </c>
      <c r="BJ67" s="68">
        <f>'O.G.Chem Results'!BJ67/'O.G.Chem Results'!BJ$142</f>
        <v>31.81818181818182</v>
      </c>
      <c r="BK67" s="68">
        <f>'O.G.Chem Results'!BK67/'O.G.Chem Results'!BK$142</f>
        <v>33.230769230769234</v>
      </c>
      <c r="BL67" s="68">
        <f>'O.G.Chem Results'!BL67/'O.G.Chem Results'!BL$142</f>
        <v>34.97942386831275</v>
      </c>
      <c r="BM67" s="75">
        <v>6.3</v>
      </c>
      <c r="BN67" s="75">
        <v>0.5</v>
      </c>
      <c r="BO67" s="75">
        <v>0</v>
      </c>
      <c r="BP67" s="75">
        <v>0.1</v>
      </c>
      <c r="BQ67" s="75">
        <v>21</v>
      </c>
      <c r="BR67" s="75">
        <v>6.1</v>
      </c>
      <c r="BS67" s="75">
        <v>2</v>
      </c>
      <c r="BT67" s="76">
        <f t="shared" si="24"/>
        <v>0.61446119161892354</v>
      </c>
      <c r="BU67" s="281">
        <f t="shared" si="25"/>
        <v>1161.2337494372732</v>
      </c>
      <c r="BV67" s="77">
        <f t="shared" si="26"/>
        <v>21</v>
      </c>
      <c r="BW67" s="78">
        <f t="shared" si="22"/>
        <v>93.625771076079502</v>
      </c>
      <c r="BX67" s="69">
        <f t="shared" si="11"/>
        <v>1.8991568776051531</v>
      </c>
      <c r="BY67" s="76">
        <v>8.0299999999999994</v>
      </c>
      <c r="BZ67" s="76">
        <v>1.44</v>
      </c>
      <c r="CA67" s="76">
        <v>50.66</v>
      </c>
      <c r="CB67" s="76">
        <v>2.1988000000000003</v>
      </c>
      <c r="CC67" s="76">
        <v>0.19120000000000001</v>
      </c>
      <c r="CD67" s="76">
        <v>0</v>
      </c>
      <c r="CE67" s="76">
        <v>0</v>
      </c>
      <c r="CF67" s="76">
        <v>0</v>
      </c>
      <c r="CG67" s="76">
        <v>0</v>
      </c>
      <c r="CH67" s="76">
        <v>0.54</v>
      </c>
      <c r="CI67" s="76">
        <v>1.0900000000000001</v>
      </c>
      <c r="CJ67" s="76">
        <v>0</v>
      </c>
      <c r="CK67" s="76">
        <v>14.45</v>
      </c>
      <c r="CL67" s="76">
        <v>14.69</v>
      </c>
      <c r="CM67" s="76">
        <v>1.76</v>
      </c>
      <c r="CN67" s="76">
        <v>0</v>
      </c>
      <c r="CO67" s="76">
        <v>0.82</v>
      </c>
      <c r="CP67" s="76">
        <v>4.04</v>
      </c>
      <c r="CQ67" s="76">
        <v>0</v>
      </c>
      <c r="CR67" s="76">
        <v>0</v>
      </c>
      <c r="CS67" s="76">
        <v>0</v>
      </c>
      <c r="CT67" s="76">
        <v>0</v>
      </c>
      <c r="CU67" s="76">
        <v>0</v>
      </c>
      <c r="CV67" s="76">
        <v>0</v>
      </c>
      <c r="CW67" s="76">
        <v>0</v>
      </c>
      <c r="CX67" s="76">
        <v>0</v>
      </c>
      <c r="CY67" s="281">
        <v>99.91</v>
      </c>
      <c r="CZ67" s="285">
        <v>0.56015037593984962</v>
      </c>
      <c r="DA67" s="285">
        <v>2.4312251216275987E-2</v>
      </c>
      <c r="DB67" s="285">
        <v>2.114108801415303E-3</v>
      </c>
      <c r="DC67" s="285">
        <v>0</v>
      </c>
      <c r="DD67" s="285">
        <v>0</v>
      </c>
      <c r="DE67" s="285">
        <v>0</v>
      </c>
      <c r="DF67" s="285">
        <v>0</v>
      </c>
      <c r="DG67" s="285">
        <v>5.9708093763821326E-3</v>
      </c>
      <c r="DH67" s="285">
        <v>1.2052189296771341E-2</v>
      </c>
      <c r="DI67" s="285">
        <v>0</v>
      </c>
      <c r="DJ67" s="285">
        <v>0.15977443609022557</v>
      </c>
      <c r="DK67" s="285">
        <v>0.1624281291463954</v>
      </c>
      <c r="DL67" s="285">
        <v>1.9460415745245468E-2</v>
      </c>
      <c r="DM67" s="285">
        <v>0</v>
      </c>
      <c r="DN67" s="285">
        <v>9.0667846085802743E-3</v>
      </c>
      <c r="DO67" s="285">
        <v>4.467049977885891E-2</v>
      </c>
      <c r="DP67" s="285">
        <v>0</v>
      </c>
      <c r="DQ67" s="285">
        <v>0</v>
      </c>
      <c r="DR67" s="285">
        <v>0</v>
      </c>
      <c r="DS67" s="285">
        <v>0</v>
      </c>
      <c r="DT67" s="285">
        <v>0</v>
      </c>
      <c r="DU67" s="285">
        <v>0</v>
      </c>
      <c r="DV67" s="285">
        <v>0</v>
      </c>
      <c r="DW67" s="285">
        <v>0</v>
      </c>
      <c r="DX67" s="76">
        <v>1</v>
      </c>
      <c r="DY67" s="78">
        <v>76.149753175288254</v>
      </c>
      <c r="DZ67" s="78">
        <v>15.967329344816472</v>
      </c>
      <c r="EA67" s="78">
        <v>0.82105763562081735</v>
      </c>
      <c r="EB67" s="78">
        <v>0.34156600771970941</v>
      </c>
      <c r="EC67" s="78">
        <v>0</v>
      </c>
      <c r="ED67" s="78">
        <v>0.19326841131517031</v>
      </c>
      <c r="EE67" s="78">
        <v>1.9069191640058374E-2</v>
      </c>
      <c r="EF67" s="78">
        <v>2.4993793825910902E-2</v>
      </c>
      <c r="EG67" s="78">
        <v>1.0561962283912509</v>
      </c>
      <c r="EH67" s="78">
        <v>1.9577632689885899E-2</v>
      </c>
      <c r="EI67" s="78">
        <v>0</v>
      </c>
      <c r="EJ67" s="78">
        <v>5.4071885786924883</v>
      </c>
      <c r="EK67" s="78">
        <v>0</v>
      </c>
      <c r="EL67" s="78">
        <v>100</v>
      </c>
      <c r="EM67" s="76">
        <v>93.553516889191272</v>
      </c>
      <c r="EN67" s="76" t="s">
        <v>152</v>
      </c>
      <c r="EO67" s="289">
        <v>1.1933645840353006E-2</v>
      </c>
      <c r="EP67" s="257">
        <f t="shared" si="12"/>
        <v>1.1933645840353007</v>
      </c>
      <c r="EQ67" s="257">
        <f t="shared" si="13"/>
        <v>80.931088900578644</v>
      </c>
      <c r="ER67" s="324">
        <f t="shared" si="14"/>
        <v>0.81877426500053441</v>
      </c>
      <c r="ES67" s="257">
        <f t="shared" si="15"/>
        <v>1.8000935322955187</v>
      </c>
      <c r="ET67">
        <f t="shared" si="8"/>
        <v>21</v>
      </c>
      <c r="EU67" s="324">
        <f t="shared" si="16"/>
        <v>0.45485095652580648</v>
      </c>
      <c r="EV67" s="39">
        <f t="shared" si="17"/>
        <v>160.79</v>
      </c>
      <c r="EW67"/>
      <c r="EX67">
        <f t="shared" si="18"/>
        <v>0.75242165242165238</v>
      </c>
      <c r="EY67"/>
      <c r="EZ67"/>
      <c r="FA67"/>
      <c r="FB67"/>
      <c r="FC67"/>
      <c r="FD67"/>
    </row>
    <row r="68" spans="1:160" s="77" customFormat="1" ht="13" customHeight="1" x14ac:dyDescent="0.2">
      <c r="A68" s="72" t="s">
        <v>153</v>
      </c>
      <c r="B68" s="73" t="s">
        <v>461</v>
      </c>
      <c r="C68" s="276">
        <f t="shared" si="29"/>
        <v>160.41999999999999</v>
      </c>
      <c r="D68" s="74">
        <v>31</v>
      </c>
      <c r="E68" s="74">
        <v>85</v>
      </c>
      <c r="F68" s="75">
        <f t="shared" si="23"/>
        <v>58</v>
      </c>
      <c r="G68" s="73" t="s">
        <v>507</v>
      </c>
      <c r="H68" s="84">
        <v>2.5</v>
      </c>
      <c r="I68" s="85">
        <v>4</v>
      </c>
      <c r="J68" s="85">
        <v>6</v>
      </c>
      <c r="K68" s="89">
        <f t="shared" si="20"/>
        <v>1.6666666666666667</v>
      </c>
      <c r="L68" s="75">
        <v>140</v>
      </c>
      <c r="M68" s="75">
        <v>81</v>
      </c>
      <c r="N68" s="75">
        <v>54</v>
      </c>
      <c r="O68" s="75">
        <v>62.73</v>
      </c>
      <c r="P68" s="75">
        <v>19.47</v>
      </c>
      <c r="Q68" s="75">
        <v>6.97</v>
      </c>
      <c r="R68" s="75">
        <v>0.121</v>
      </c>
      <c r="S68" s="75">
        <v>0.25</v>
      </c>
      <c r="T68" s="75">
        <v>0.05</v>
      </c>
      <c r="U68" s="75">
        <v>0.1</v>
      </c>
      <c r="V68" s="75">
        <v>0.71</v>
      </c>
      <c r="W68" s="75">
        <v>0.80300000000000005</v>
      </c>
      <c r="X68" s="75">
        <v>0.05</v>
      </c>
      <c r="Y68" s="75">
        <v>9.23</v>
      </c>
      <c r="Z68" s="75">
        <v>100.5</v>
      </c>
      <c r="AA68" s="75">
        <v>19</v>
      </c>
      <c r="AB68" s="75">
        <v>1</v>
      </c>
      <c r="AC68" s="75">
        <v>121</v>
      </c>
      <c r="AD68" s="75">
        <v>30</v>
      </c>
      <c r="AE68" s="75">
        <v>18</v>
      </c>
      <c r="AF68" s="75">
        <v>0</v>
      </c>
      <c r="AG68" s="75">
        <v>40</v>
      </c>
      <c r="AH68" s="75">
        <v>60</v>
      </c>
      <c r="AI68" s="75">
        <v>20</v>
      </c>
      <c r="AJ68" s="75">
        <v>1</v>
      </c>
      <c r="AK68" s="75">
        <v>0</v>
      </c>
      <c r="AL68" s="75">
        <v>55</v>
      </c>
      <c r="AM68" s="75">
        <v>27</v>
      </c>
      <c r="AN68" s="68">
        <f>'O.G.Chem Results'!AN68/'O.G.Chem Results'!$AN$142</f>
        <v>6.4102564102564097</v>
      </c>
      <c r="AO68" s="75">
        <v>236</v>
      </c>
      <c r="AP68" s="75">
        <v>8</v>
      </c>
      <c r="AQ68" s="75" t="s">
        <v>72</v>
      </c>
      <c r="AR68" s="75" t="s">
        <v>74</v>
      </c>
      <c r="AS68" s="75" t="s">
        <v>73</v>
      </c>
      <c r="AT68" s="75">
        <v>1</v>
      </c>
      <c r="AU68" s="75" t="s">
        <v>74</v>
      </c>
      <c r="AV68" s="75">
        <v>3.1</v>
      </c>
      <c r="AW68" s="75">
        <v>227</v>
      </c>
      <c r="AX68" s="75" t="s">
        <v>75</v>
      </c>
      <c r="AY68" s="68">
        <f>'O.G.Chem Results'!AY68/'O.G.Chem Results'!AY$142</f>
        <v>53.617021276595743</v>
      </c>
      <c r="AZ68" s="68">
        <f>'O.G.Chem Results'!AZ68/'O.G.Chem Results'!AZ$142</f>
        <v>107.26127320954906</v>
      </c>
      <c r="BA68" s="68">
        <f>'O.G.Chem Results'!BA68/'O.G.Chem Results'!BA$142</f>
        <v>40.291806958473622</v>
      </c>
      <c r="BB68" s="68">
        <f>'O.G.Chem Results'!BB68/'O.G.Chem Results'!BB$142</f>
        <v>30.725022104332453</v>
      </c>
      <c r="BC68" s="68">
        <f>'O.G.Chem Results'!BC68/'O.G.Chem Results'!BC$142</f>
        <v>20.394289598912309</v>
      </c>
      <c r="BD68" s="68">
        <f>'O.G.Chem Results'!BD68/'O.G.Chem Results'!BD$142</f>
        <v>13.928571428571429</v>
      </c>
      <c r="BE68" s="68">
        <f>'O.G.Chem Results'!BE68/'O.G.Chem Results'!BE$142</f>
        <v>14.204545454545455</v>
      </c>
      <c r="BF68" s="68">
        <f>'O.G.Chem Results'!BF68/'O.G.Chem Results'!BF$142</f>
        <v>11.019283746556475</v>
      </c>
      <c r="BG68" s="68">
        <f>'O.G.Chem Results'!BG68/'O.G.Chem Results'!BG$142</f>
        <v>10.300782859497321</v>
      </c>
      <c r="BH68" s="68">
        <f>'O.G.Chem Results'!BH68/'O.G.Chem Results'!BH$142</f>
        <v>8.9928057553956826</v>
      </c>
      <c r="BI68" s="68">
        <f>'O.G.Chem Results'!BI68/'O.G.Chem Results'!BI$142</f>
        <v>9.4398993077407169</v>
      </c>
      <c r="BJ68" s="68">
        <f>'O.G.Chem Results'!BJ68/'O.G.Chem Results'!BJ$142</f>
        <v>9.5041322314049594</v>
      </c>
      <c r="BK68" s="68">
        <f>'O.G.Chem Results'!BK68/'O.G.Chem Results'!BK$142</f>
        <v>11.076923076923077</v>
      </c>
      <c r="BL68" s="68">
        <f>'O.G.Chem Results'!BL68/'O.G.Chem Results'!BL$142</f>
        <v>11.522633744855968</v>
      </c>
      <c r="BM68" s="75">
        <v>5.4</v>
      </c>
      <c r="BN68" s="75">
        <v>0.6</v>
      </c>
      <c r="BO68" s="75">
        <v>0</v>
      </c>
      <c r="BP68" s="75">
        <v>0.1</v>
      </c>
      <c r="BQ68" s="75">
        <v>75</v>
      </c>
      <c r="BR68" s="75">
        <v>8.3000000000000007</v>
      </c>
      <c r="BS68" s="75">
        <v>2</v>
      </c>
      <c r="BT68" s="76">
        <f t="shared" si="24"/>
        <v>0.66672308748764519</v>
      </c>
      <c r="BU68" s="281">
        <f t="shared" si="25"/>
        <v>352.27899075335432</v>
      </c>
      <c r="BV68" s="77">
        <f t="shared" si="26"/>
        <v>58</v>
      </c>
      <c r="BW68" s="78">
        <f t="shared" ref="BW68:BW99" si="30">100*P68/(P68+T68+U68+V68)</f>
        <v>95.769798327594685</v>
      </c>
      <c r="BX68" s="69">
        <f t="shared" si="11"/>
        <v>2.6621112654514825</v>
      </c>
      <c r="BY68" s="76">
        <v>11.35</v>
      </c>
      <c r="BZ68" s="76">
        <v>1.84</v>
      </c>
      <c r="CA68" s="76">
        <v>37.92</v>
      </c>
      <c r="CB68" s="76">
        <v>1.6008</v>
      </c>
      <c r="CC68" s="76">
        <v>0.13919999999999999</v>
      </c>
      <c r="CD68" s="76">
        <v>0</v>
      </c>
      <c r="CE68" s="76">
        <v>0</v>
      </c>
      <c r="CF68" s="76">
        <v>0</v>
      </c>
      <c r="CG68" s="76">
        <v>0</v>
      </c>
      <c r="CH68" s="76">
        <v>3.52</v>
      </c>
      <c r="CI68" s="76">
        <v>1.82</v>
      </c>
      <c r="CJ68" s="76">
        <v>0</v>
      </c>
      <c r="CK68" s="76">
        <v>16.07</v>
      </c>
      <c r="CL68" s="76">
        <v>16.23</v>
      </c>
      <c r="CM68" s="76">
        <v>3.72</v>
      </c>
      <c r="CN68" s="76">
        <v>0</v>
      </c>
      <c r="CO68" s="76">
        <v>0.92</v>
      </c>
      <c r="CP68" s="76">
        <v>4.83</v>
      </c>
      <c r="CQ68" s="76">
        <v>0</v>
      </c>
      <c r="CR68" s="76">
        <v>0</v>
      </c>
      <c r="CS68" s="76">
        <v>0</v>
      </c>
      <c r="CT68" s="76">
        <v>0</v>
      </c>
      <c r="CU68" s="76">
        <v>0</v>
      </c>
      <c r="CV68" s="76">
        <v>0</v>
      </c>
      <c r="CW68" s="76">
        <v>0</v>
      </c>
      <c r="CX68" s="76">
        <v>0</v>
      </c>
      <c r="CY68" s="281">
        <v>99.960000000000008</v>
      </c>
      <c r="CZ68" s="285">
        <v>0.43701740232799352</v>
      </c>
      <c r="DA68" s="285">
        <v>1.844877261726403E-2</v>
      </c>
      <c r="DB68" s="285">
        <v>1.6042410971533938E-3</v>
      </c>
      <c r="DC68" s="285">
        <v>0</v>
      </c>
      <c r="DD68" s="285">
        <v>0</v>
      </c>
      <c r="DE68" s="285">
        <v>0</v>
      </c>
      <c r="DF68" s="285">
        <v>0</v>
      </c>
      <c r="DG68" s="285">
        <v>4.0567016249855939E-2</v>
      </c>
      <c r="DH68" s="285">
        <v>2.0974991356459603E-2</v>
      </c>
      <c r="DI68" s="285">
        <v>0</v>
      </c>
      <c r="DJ68" s="285">
        <v>0.18520225884522298</v>
      </c>
      <c r="DK68" s="285">
        <v>0.18704621412930736</v>
      </c>
      <c r="DL68" s="285">
        <v>4.2871960354961387E-2</v>
      </c>
      <c r="DM68" s="285">
        <v>0</v>
      </c>
      <c r="DN68" s="285">
        <v>1.0602742883485075E-2</v>
      </c>
      <c r="DO68" s="285">
        <v>5.5664400138296641E-2</v>
      </c>
      <c r="DP68" s="285">
        <v>0</v>
      </c>
      <c r="DQ68" s="285">
        <v>0</v>
      </c>
      <c r="DR68" s="285">
        <v>0</v>
      </c>
      <c r="DS68" s="285">
        <v>0</v>
      </c>
      <c r="DT68" s="285">
        <v>0</v>
      </c>
      <c r="DU68" s="285">
        <v>0</v>
      </c>
      <c r="DV68" s="285">
        <v>0</v>
      </c>
      <c r="DW68" s="285">
        <v>0</v>
      </c>
      <c r="DX68" s="76">
        <v>1</v>
      </c>
      <c r="DY68" s="78">
        <v>67.307105643356252</v>
      </c>
      <c r="DZ68" s="78">
        <v>19.819678565535593</v>
      </c>
      <c r="EA68" s="78">
        <v>3.8439374291382244</v>
      </c>
      <c r="EB68" s="78">
        <v>0.41480731980950347</v>
      </c>
      <c r="EC68" s="78">
        <v>0</v>
      </c>
      <c r="ED68" s="78">
        <v>0.26761428229979334</v>
      </c>
      <c r="EE68" s="78">
        <v>4.0718926452060183E-2</v>
      </c>
      <c r="EF68" s="78">
        <v>1.8965944989426494E-2</v>
      </c>
      <c r="EG68" s="78">
        <v>1.1852340680571651</v>
      </c>
      <c r="EH68" s="78">
        <v>2.2894180753090146E-2</v>
      </c>
      <c r="EI68" s="78">
        <v>0</v>
      </c>
      <c r="EJ68" s="78">
        <v>7.0790436396088934</v>
      </c>
      <c r="EK68" s="78">
        <v>0</v>
      </c>
      <c r="EL68" s="78">
        <v>99.999999999999972</v>
      </c>
      <c r="EM68" s="76">
        <v>94.089994175292802</v>
      </c>
      <c r="EN68" s="76" t="s">
        <v>153</v>
      </c>
      <c r="EO68" s="289">
        <v>4.2960774077305829E-2</v>
      </c>
      <c r="EP68" s="257">
        <f t="shared" si="12"/>
        <v>4.296077407730583</v>
      </c>
      <c r="EQ68" s="257">
        <f t="shared" si="13"/>
        <v>83.403500997119451</v>
      </c>
      <c r="ER68" s="324">
        <f t="shared" si="14"/>
        <v>0.80514684422471183</v>
      </c>
      <c r="ES68" s="257">
        <f t="shared" si="15"/>
        <v>2.3324586929279238</v>
      </c>
      <c r="ET68">
        <f t="shared" si="8"/>
        <v>58</v>
      </c>
      <c r="EU68" s="324">
        <f t="shared" si="16"/>
        <v>0.34519232716357989</v>
      </c>
      <c r="EV68" s="39">
        <f t="shared" si="17"/>
        <v>160.41999999999999</v>
      </c>
      <c r="EW68"/>
      <c r="EX68">
        <f t="shared" si="18"/>
        <v>0.71282051282051284</v>
      </c>
      <c r="EY68"/>
      <c r="EZ68"/>
      <c r="FA68"/>
      <c r="FB68"/>
      <c r="FC68"/>
      <c r="FD68"/>
    </row>
    <row r="69" spans="1:160" s="77" customFormat="1" ht="13" customHeight="1" x14ac:dyDescent="0.2">
      <c r="A69" s="72" t="s">
        <v>154</v>
      </c>
      <c r="B69" s="73" t="s">
        <v>461</v>
      </c>
      <c r="C69" s="276">
        <f t="shared" si="29"/>
        <v>159.97499999999999</v>
      </c>
      <c r="D69" s="74">
        <v>85</v>
      </c>
      <c r="E69" s="74">
        <v>120</v>
      </c>
      <c r="F69" s="75">
        <f t="shared" si="23"/>
        <v>102.5</v>
      </c>
      <c r="G69" s="73" t="s">
        <v>507</v>
      </c>
      <c r="H69" s="84">
        <v>2.5</v>
      </c>
      <c r="I69" s="85">
        <v>4</v>
      </c>
      <c r="J69" s="85">
        <v>6</v>
      </c>
      <c r="K69" s="89">
        <f t="shared" si="20"/>
        <v>1.6666666666666667</v>
      </c>
      <c r="L69" s="75">
        <v>140</v>
      </c>
      <c r="M69" s="75">
        <v>81</v>
      </c>
      <c r="N69" s="75">
        <v>54</v>
      </c>
      <c r="O69" s="75">
        <v>52.2</v>
      </c>
      <c r="P69" s="75">
        <v>24.79</v>
      </c>
      <c r="Q69" s="75">
        <v>9.57</v>
      </c>
      <c r="R69" s="75">
        <v>5.0999999999999997E-2</v>
      </c>
      <c r="S69" s="75">
        <v>0.28999999999999998</v>
      </c>
      <c r="T69" s="75">
        <v>0.02</v>
      </c>
      <c r="U69" s="75">
        <v>0.06</v>
      </c>
      <c r="V69" s="75">
        <v>0.64</v>
      </c>
      <c r="W69" s="75">
        <v>0.91100000000000003</v>
      </c>
      <c r="X69" s="75">
        <v>7.0000000000000007E-2</v>
      </c>
      <c r="Y69" s="75">
        <v>11.76</v>
      </c>
      <c r="Z69" s="75">
        <v>100.4</v>
      </c>
      <c r="AA69" s="75">
        <v>26</v>
      </c>
      <c r="AB69" s="75">
        <v>2</v>
      </c>
      <c r="AC69" s="75">
        <v>160</v>
      </c>
      <c r="AD69" s="75">
        <v>40</v>
      </c>
      <c r="AE69" s="75">
        <v>10</v>
      </c>
      <c r="AF69" s="75">
        <v>0</v>
      </c>
      <c r="AG69" s="75">
        <v>60</v>
      </c>
      <c r="AH69" s="75">
        <v>210</v>
      </c>
      <c r="AI69" s="75">
        <v>25</v>
      </c>
      <c r="AJ69" s="75">
        <v>1</v>
      </c>
      <c r="AK69" s="75">
        <v>0</v>
      </c>
      <c r="AL69" s="75">
        <v>54</v>
      </c>
      <c r="AM69" s="75">
        <v>20</v>
      </c>
      <c r="AN69" s="68">
        <f>'O.G.Chem Results'!AN69/'O.G.Chem Results'!$AN$142</f>
        <v>2.5641025641025639</v>
      </c>
      <c r="AO69" s="75">
        <v>189</v>
      </c>
      <c r="AP69" s="75">
        <v>8</v>
      </c>
      <c r="AQ69" s="75" t="s">
        <v>72</v>
      </c>
      <c r="AR69" s="75" t="s">
        <v>74</v>
      </c>
      <c r="AS69" s="75" t="s">
        <v>73</v>
      </c>
      <c r="AT69" s="75">
        <v>1</v>
      </c>
      <c r="AU69" s="75" t="s">
        <v>74</v>
      </c>
      <c r="AV69" s="75">
        <v>3.3</v>
      </c>
      <c r="AW69" s="75">
        <v>175</v>
      </c>
      <c r="AX69" s="75" t="s">
        <v>75</v>
      </c>
      <c r="AY69" s="68">
        <f>'O.G.Chem Results'!AY69/'O.G.Chem Results'!AY$142</f>
        <v>35.744680851063833</v>
      </c>
      <c r="AZ69" s="68">
        <f>'O.G.Chem Results'!AZ69/'O.G.Chem Results'!AZ$142</f>
        <v>48.740053050397869</v>
      </c>
      <c r="BA69" s="68">
        <f>'O.G.Chem Results'!BA69/'O.G.Chem Results'!BA$142</f>
        <v>21.212121212121211</v>
      </c>
      <c r="BB69" s="68">
        <f>'O.G.Chem Results'!BB69/'O.G.Chem Results'!BB$142</f>
        <v>14.367816091954024</v>
      </c>
      <c r="BC69" s="68">
        <f>'O.G.Chem Results'!BC69/'O.G.Chem Results'!BC$142</f>
        <v>8.8375254928619995</v>
      </c>
      <c r="BD69" s="68">
        <f>'O.G.Chem Results'!BD69/'O.G.Chem Results'!BD$142</f>
        <v>5.7142857142857144</v>
      </c>
      <c r="BE69" s="68">
        <f>'O.G.Chem Results'!BE69/'O.G.Chem Results'!BE$142</f>
        <v>6.2500000000000009</v>
      </c>
      <c r="BF69" s="68">
        <f>'O.G.Chem Results'!BF69/'O.G.Chem Results'!BF$142</f>
        <v>5.5096418732782375</v>
      </c>
      <c r="BG69" s="68">
        <f>'O.G.Chem Results'!BG69/'O.G.Chem Results'!BG$142</f>
        <v>4.9443757725587139</v>
      </c>
      <c r="BH69" s="68">
        <f>'O.G.Chem Results'!BH69/'O.G.Chem Results'!BH$142</f>
        <v>5.3956834532374094</v>
      </c>
      <c r="BI69" s="68">
        <f>'O.G.Chem Results'!BI69/'O.G.Chem Results'!BI$142</f>
        <v>4.4052863436123344</v>
      </c>
      <c r="BJ69" s="68">
        <f>'O.G.Chem Results'!BJ69/'O.G.Chem Results'!BJ$142</f>
        <v>5.3719008264462813</v>
      </c>
      <c r="BK69" s="68">
        <f>'O.G.Chem Results'!BK69/'O.G.Chem Results'!BK$142</f>
        <v>5.5384615384615383</v>
      </c>
      <c r="BL69" s="68">
        <f>'O.G.Chem Results'!BL69/'O.G.Chem Results'!BL$142</f>
        <v>6.5843621399176948</v>
      </c>
      <c r="BM69" s="75">
        <v>4.7</v>
      </c>
      <c r="BN69" s="75">
        <v>0.5</v>
      </c>
      <c r="BO69" s="75">
        <v>0</v>
      </c>
      <c r="BP69" s="75">
        <v>0.2</v>
      </c>
      <c r="BQ69" s="75">
        <v>22</v>
      </c>
      <c r="BR69" s="75">
        <v>11.6</v>
      </c>
      <c r="BS69" s="75">
        <v>2.1</v>
      </c>
      <c r="BT69" s="76">
        <f t="shared" si="24"/>
        <v>0.57690958827242744</v>
      </c>
      <c r="BU69" s="281">
        <f t="shared" si="25"/>
        <v>178.61619436019689</v>
      </c>
      <c r="BV69" s="77">
        <f t="shared" si="26"/>
        <v>102.5</v>
      </c>
      <c r="BW69" s="78">
        <f t="shared" si="30"/>
        <v>97.177577420619372</v>
      </c>
      <c r="BX69" s="69">
        <f t="shared" si="11"/>
        <v>2.2977453580901854</v>
      </c>
      <c r="BY69" s="76">
        <v>9.67</v>
      </c>
      <c r="BZ69" s="76">
        <v>1.18</v>
      </c>
      <c r="CA69" s="76">
        <v>27.09</v>
      </c>
      <c r="CB69" s="76">
        <v>1.84E-2</v>
      </c>
      <c r="CC69" s="76">
        <v>1.6000000000000001E-3</v>
      </c>
      <c r="CD69" s="76">
        <v>0</v>
      </c>
      <c r="CE69" s="76">
        <v>0</v>
      </c>
      <c r="CF69" s="76">
        <v>0</v>
      </c>
      <c r="CG69" s="76">
        <v>0</v>
      </c>
      <c r="CH69" s="76">
        <v>5.98</v>
      </c>
      <c r="CI69" s="76">
        <v>2.58</v>
      </c>
      <c r="CJ69" s="76">
        <v>0</v>
      </c>
      <c r="CK69" s="76">
        <v>16.91</v>
      </c>
      <c r="CL69" s="76">
        <v>17.09</v>
      </c>
      <c r="CM69" s="76">
        <v>7.88</v>
      </c>
      <c r="CN69" s="76">
        <v>0</v>
      </c>
      <c r="CO69" s="76">
        <v>1.68</v>
      </c>
      <c r="CP69" s="76">
        <v>9.9</v>
      </c>
      <c r="CQ69" s="76">
        <v>0</v>
      </c>
      <c r="CR69" s="76">
        <v>0</v>
      </c>
      <c r="CS69" s="76">
        <v>0</v>
      </c>
      <c r="CT69" s="76">
        <v>0</v>
      </c>
      <c r="CU69" s="76">
        <v>0</v>
      </c>
      <c r="CV69" s="76">
        <v>0</v>
      </c>
      <c r="CW69" s="76">
        <v>0</v>
      </c>
      <c r="CX69" s="76">
        <v>0</v>
      </c>
      <c r="CY69" s="281">
        <v>99.98</v>
      </c>
      <c r="CZ69" s="285">
        <v>0.30393806799057554</v>
      </c>
      <c r="DA69" s="285">
        <v>2.0644003141478737E-4</v>
      </c>
      <c r="DB69" s="285">
        <v>1.7951307079546729E-5</v>
      </c>
      <c r="DC69" s="285">
        <v>0</v>
      </c>
      <c r="DD69" s="285">
        <v>0</v>
      </c>
      <c r="DE69" s="285">
        <v>0</v>
      </c>
      <c r="DF69" s="285">
        <v>0</v>
      </c>
      <c r="DG69" s="285">
        <v>6.7093010209805903E-2</v>
      </c>
      <c r="DH69" s="285">
        <v>2.8946482665769099E-2</v>
      </c>
      <c r="DI69" s="285">
        <v>0</v>
      </c>
      <c r="DJ69" s="285">
        <v>0.18972287669695947</v>
      </c>
      <c r="DK69" s="285">
        <v>0.19174239874340848</v>
      </c>
      <c r="DL69" s="285">
        <v>8.8410187366767631E-2</v>
      </c>
      <c r="DM69" s="285">
        <v>0</v>
      </c>
      <c r="DN69" s="285">
        <v>1.8848872433524063E-2</v>
      </c>
      <c r="DO69" s="285">
        <v>0.11107371255469538</v>
      </c>
      <c r="DP69" s="285">
        <v>0</v>
      </c>
      <c r="DQ69" s="285">
        <v>0</v>
      </c>
      <c r="DR69" s="285">
        <v>0</v>
      </c>
      <c r="DS69" s="285">
        <v>0</v>
      </c>
      <c r="DT69" s="285">
        <v>0</v>
      </c>
      <c r="DU69" s="285">
        <v>0</v>
      </c>
      <c r="DV69" s="285">
        <v>0</v>
      </c>
      <c r="DW69" s="285">
        <v>0</v>
      </c>
      <c r="DX69" s="76">
        <v>0.99999999999999989</v>
      </c>
      <c r="DY69" s="78">
        <v>58.157606137927822</v>
      </c>
      <c r="DZ69" s="78">
        <v>23.881726181204328</v>
      </c>
      <c r="EA69" s="78">
        <v>6.2465462860431309</v>
      </c>
      <c r="EB69" s="78">
        <v>0.79180017229230848</v>
      </c>
      <c r="EC69" s="78">
        <v>0</v>
      </c>
      <c r="ED69" s="78">
        <v>0.52591506911713548</v>
      </c>
      <c r="EE69" s="78">
        <v>8.3554698296525412E-2</v>
      </c>
      <c r="EF69" s="78">
        <v>2.1222714164542521E-4</v>
      </c>
      <c r="EG69" s="78">
        <v>1.7442080275149641</v>
      </c>
      <c r="EH69" s="78">
        <v>4.0699797894485606E-2</v>
      </c>
      <c r="EI69" s="78">
        <v>0</v>
      </c>
      <c r="EJ69" s="78">
        <v>8.5277314025676567</v>
      </c>
      <c r="EK69" s="78">
        <v>0</v>
      </c>
      <c r="EL69" s="78">
        <v>100</v>
      </c>
      <c r="EM69" s="76">
        <v>92.889940869345537</v>
      </c>
      <c r="EN69" s="76" t="s">
        <v>154</v>
      </c>
      <c r="EO69" s="289">
        <v>7.109608473841747E-2</v>
      </c>
      <c r="EP69" s="257">
        <f t="shared" si="12"/>
        <v>7.1096084738417469</v>
      </c>
      <c r="EQ69" s="257">
        <f t="shared" si="13"/>
        <v>78.581979320531758</v>
      </c>
      <c r="ER69" s="324">
        <f t="shared" si="14"/>
        <v>0.75748481313110994</v>
      </c>
      <c r="ES69" s="257">
        <f t="shared" si="15"/>
        <v>1.7030627247250707</v>
      </c>
      <c r="ET69">
        <f t="shared" si="8"/>
        <v>102.5</v>
      </c>
      <c r="EU69" s="324">
        <f t="shared" si="16"/>
        <v>0.44477798858136153</v>
      </c>
      <c r="EV69" s="39">
        <f t="shared" si="17"/>
        <v>159.97499999999999</v>
      </c>
      <c r="EW69"/>
      <c r="EX69">
        <f t="shared" si="18"/>
        <v>0.47521367521367525</v>
      </c>
      <c r="EY69"/>
      <c r="EZ69"/>
      <c r="FA69"/>
      <c r="FB69"/>
      <c r="FC69"/>
      <c r="FD69"/>
    </row>
    <row r="70" spans="1:160" s="77" customFormat="1" ht="13" customHeight="1" x14ac:dyDescent="0.2">
      <c r="A70" s="72" t="s">
        <v>155</v>
      </c>
      <c r="B70" s="73" t="s">
        <v>461</v>
      </c>
      <c r="C70" s="276">
        <f t="shared" si="29"/>
        <v>159.685</v>
      </c>
      <c r="D70" s="74">
        <v>120</v>
      </c>
      <c r="E70" s="74">
        <v>143</v>
      </c>
      <c r="F70" s="75">
        <f t="shared" si="23"/>
        <v>131.5</v>
      </c>
      <c r="G70" s="73" t="s">
        <v>507</v>
      </c>
      <c r="H70" s="84">
        <v>2.5</v>
      </c>
      <c r="I70" s="85">
        <v>4</v>
      </c>
      <c r="J70" s="85">
        <v>6</v>
      </c>
      <c r="K70" s="89">
        <f t="shared" si="20"/>
        <v>1.6666666666666667</v>
      </c>
      <c r="L70" s="75">
        <v>140</v>
      </c>
      <c r="M70" s="75">
        <v>81</v>
      </c>
      <c r="N70" s="75">
        <v>54</v>
      </c>
      <c r="O70" s="75">
        <v>58.92</v>
      </c>
      <c r="P70" s="75">
        <v>21.14</v>
      </c>
      <c r="Q70" s="75">
        <v>8.51</v>
      </c>
      <c r="R70" s="75">
        <v>4.5999999999999999E-2</v>
      </c>
      <c r="S70" s="75">
        <v>0.28000000000000003</v>
      </c>
      <c r="T70" s="75">
        <v>0.01</v>
      </c>
      <c r="U70" s="75">
        <v>0.08</v>
      </c>
      <c r="V70" s="75">
        <v>0.56000000000000005</v>
      </c>
      <c r="W70" s="75">
        <v>0.76200000000000001</v>
      </c>
      <c r="X70" s="75">
        <v>0.04</v>
      </c>
      <c r="Y70" s="75">
        <v>9.9</v>
      </c>
      <c r="Z70" s="75">
        <v>100.3</v>
      </c>
      <c r="AA70" s="75">
        <v>23</v>
      </c>
      <c r="AB70" s="75">
        <v>1</v>
      </c>
      <c r="AC70" s="75">
        <v>140</v>
      </c>
      <c r="AD70" s="75">
        <v>30</v>
      </c>
      <c r="AE70" s="75">
        <v>9</v>
      </c>
      <c r="AF70" s="75">
        <v>0</v>
      </c>
      <c r="AG70" s="75">
        <v>50</v>
      </c>
      <c r="AH70" s="75">
        <v>70</v>
      </c>
      <c r="AI70" s="75">
        <v>21</v>
      </c>
      <c r="AJ70" s="75">
        <v>1</v>
      </c>
      <c r="AK70" s="75">
        <v>0</v>
      </c>
      <c r="AL70" s="75">
        <v>42</v>
      </c>
      <c r="AM70" s="75">
        <v>20</v>
      </c>
      <c r="AN70" s="68">
        <f>'O.G.Chem Results'!AN70/'O.G.Chem Results'!$AN$142</f>
        <v>1.9230769230769229</v>
      </c>
      <c r="AO70" s="75">
        <v>188</v>
      </c>
      <c r="AP70" s="75">
        <v>6</v>
      </c>
      <c r="AQ70" s="75" t="s">
        <v>72</v>
      </c>
      <c r="AR70" s="75" t="s">
        <v>74</v>
      </c>
      <c r="AS70" s="75" t="s">
        <v>73</v>
      </c>
      <c r="AT70" s="75">
        <v>1</v>
      </c>
      <c r="AU70" s="75" t="s">
        <v>74</v>
      </c>
      <c r="AV70" s="75">
        <v>2.5</v>
      </c>
      <c r="AW70" s="75">
        <v>174</v>
      </c>
      <c r="AX70" s="75" t="s">
        <v>75</v>
      </c>
      <c r="AY70" s="68">
        <f>'O.G.Chem Results'!AY70/'O.G.Chem Results'!AY$142</f>
        <v>31.063829787234045</v>
      </c>
      <c r="AZ70" s="68">
        <f>'O.G.Chem Results'!AZ70/'O.G.Chem Results'!AZ$142</f>
        <v>39.95358090185676</v>
      </c>
      <c r="BA70" s="68">
        <f>'O.G.Chem Results'!BA70/'O.G.Chem Results'!BA$142</f>
        <v>18.069584736251404</v>
      </c>
      <c r="BB70" s="68">
        <f>'O.G.Chem Results'!BB70/'O.G.Chem Results'!BB$142</f>
        <v>12.15738284703802</v>
      </c>
      <c r="BC70" s="68">
        <f>'O.G.Chem Results'!BC70/'O.G.Chem Results'!BC$142</f>
        <v>7.4779061862678464</v>
      </c>
      <c r="BD70" s="68">
        <f>'O.G.Chem Results'!BD70/'O.G.Chem Results'!BD$142</f>
        <v>5</v>
      </c>
      <c r="BE70" s="68">
        <f>'O.G.Chem Results'!BE70/'O.G.Chem Results'!BE$142</f>
        <v>4.5454545454545459</v>
      </c>
      <c r="BF70" s="68">
        <f>'O.G.Chem Results'!BF70/'O.G.Chem Results'!BF$142</f>
        <v>2.7548209366391188</v>
      </c>
      <c r="BG70" s="68">
        <f>'O.G.Chem Results'!BG70/'O.G.Chem Results'!BG$142</f>
        <v>3.7082818294190361</v>
      </c>
      <c r="BH70" s="68">
        <f>'O.G.Chem Results'!BH70/'O.G.Chem Results'!BH$142</f>
        <v>3.5971223021582732</v>
      </c>
      <c r="BI70" s="68">
        <f>'O.G.Chem Results'!BI70/'O.G.Chem Results'!BI$142</f>
        <v>3.7759597230962867</v>
      </c>
      <c r="BJ70" s="68">
        <f>'O.G.Chem Results'!BJ70/'O.G.Chem Results'!BJ$142</f>
        <v>4.1322314049586781</v>
      </c>
      <c r="BK70" s="68">
        <f>'O.G.Chem Results'!BK70/'O.G.Chem Results'!BK$142</f>
        <v>4.3076923076923075</v>
      </c>
      <c r="BL70" s="68">
        <f>'O.G.Chem Results'!BL70/'O.G.Chem Results'!BL$142</f>
        <v>5.3497942386831276</v>
      </c>
      <c r="BM70" s="75">
        <v>4.5999999999999996</v>
      </c>
      <c r="BN70" s="75">
        <v>0.4</v>
      </c>
      <c r="BO70" s="75">
        <v>0</v>
      </c>
      <c r="BP70" s="75">
        <v>0</v>
      </c>
      <c r="BQ70" s="75">
        <v>63</v>
      </c>
      <c r="BR70" s="75">
        <v>9.4</v>
      </c>
      <c r="BS70" s="75">
        <v>1.6</v>
      </c>
      <c r="BT70" s="76">
        <f t="shared" si="24"/>
        <v>0.5625885330679079</v>
      </c>
      <c r="BU70" s="281">
        <f t="shared" si="25"/>
        <v>145.89364174674947</v>
      </c>
      <c r="BV70" s="77">
        <f t="shared" si="26"/>
        <v>131.5</v>
      </c>
      <c r="BW70" s="78">
        <f t="shared" si="30"/>
        <v>97.016980266177143</v>
      </c>
      <c r="BX70" s="69">
        <f t="shared" si="11"/>
        <v>2.2110956884195261</v>
      </c>
      <c r="BY70" s="76">
        <v>9.5500000000000007</v>
      </c>
      <c r="BZ70" s="76">
        <v>1</v>
      </c>
      <c r="CA70" s="76">
        <v>34.5</v>
      </c>
      <c r="CB70" s="76">
        <v>0.1472</v>
      </c>
      <c r="CC70" s="76">
        <v>1.2800000000000001E-2</v>
      </c>
      <c r="CD70" s="76">
        <v>0</v>
      </c>
      <c r="CE70" s="76">
        <v>0</v>
      </c>
      <c r="CF70" s="76">
        <v>0</v>
      </c>
      <c r="CG70" s="76">
        <v>0</v>
      </c>
      <c r="CH70" s="76">
        <v>5.64</v>
      </c>
      <c r="CI70" s="76">
        <v>1.41</v>
      </c>
      <c r="CJ70" s="76">
        <v>0</v>
      </c>
      <c r="CK70" s="76">
        <v>16.37</v>
      </c>
      <c r="CL70" s="76">
        <v>16.54</v>
      </c>
      <c r="CM70" s="76">
        <v>7.8</v>
      </c>
      <c r="CN70" s="76">
        <v>0</v>
      </c>
      <c r="CO70" s="76">
        <v>4.17</v>
      </c>
      <c r="CP70" s="76">
        <v>2.86</v>
      </c>
      <c r="CQ70" s="76">
        <v>0</v>
      </c>
      <c r="CR70" s="76">
        <v>0</v>
      </c>
      <c r="CS70" s="76">
        <v>0</v>
      </c>
      <c r="CT70" s="76">
        <v>0</v>
      </c>
      <c r="CU70" s="76">
        <v>0</v>
      </c>
      <c r="CV70" s="76">
        <v>0</v>
      </c>
      <c r="CW70" s="76">
        <v>0</v>
      </c>
      <c r="CX70" s="76">
        <v>0</v>
      </c>
      <c r="CY70" s="281">
        <v>99.999999999999986</v>
      </c>
      <c r="CZ70" s="285">
        <v>0.38569032979318052</v>
      </c>
      <c r="DA70" s="285">
        <v>1.6456120737842368E-3</v>
      </c>
      <c r="DB70" s="285">
        <v>1.4309670206819451E-4</v>
      </c>
      <c r="DC70" s="285">
        <v>0</v>
      </c>
      <c r="DD70" s="285">
        <v>0</v>
      </c>
      <c r="DE70" s="285">
        <v>0</v>
      </c>
      <c r="DF70" s="285">
        <v>0</v>
      </c>
      <c r="DG70" s="285">
        <v>6.3051984348798204E-2</v>
      </c>
      <c r="DH70" s="285">
        <v>1.5762996087199551E-2</v>
      </c>
      <c r="DI70" s="285">
        <v>0</v>
      </c>
      <c r="DJ70" s="285">
        <v>0.18300726662940189</v>
      </c>
      <c r="DK70" s="285">
        <v>0.18490776970374509</v>
      </c>
      <c r="DL70" s="285">
        <v>8.7199552822806031E-2</v>
      </c>
      <c r="DM70" s="285">
        <v>0</v>
      </c>
      <c r="DN70" s="285">
        <v>4.6618222470653996E-2</v>
      </c>
      <c r="DO70" s="285">
        <v>3.1973169368362211E-2</v>
      </c>
      <c r="DP70" s="285">
        <v>0</v>
      </c>
      <c r="DQ70" s="285">
        <v>0</v>
      </c>
      <c r="DR70" s="285">
        <v>0</v>
      </c>
      <c r="DS70" s="285">
        <v>0</v>
      </c>
      <c r="DT70" s="285">
        <v>0</v>
      </c>
      <c r="DU70" s="285">
        <v>0</v>
      </c>
      <c r="DV70" s="285">
        <v>0</v>
      </c>
      <c r="DW70" s="285">
        <v>0</v>
      </c>
      <c r="DX70" s="76">
        <v>0.99999999999999989</v>
      </c>
      <c r="DY70" s="78">
        <v>62.805147428436157</v>
      </c>
      <c r="DZ70" s="78">
        <v>21.166721823125673</v>
      </c>
      <c r="EA70" s="78">
        <v>5.8936565430509082</v>
      </c>
      <c r="EB70" s="78">
        <v>0.8688913121176709</v>
      </c>
      <c r="EC70" s="78">
        <v>0</v>
      </c>
      <c r="ED70" s="78">
        <v>0.48136738077525332</v>
      </c>
      <c r="EE70" s="78">
        <v>8.6271941143600567E-2</v>
      </c>
      <c r="EF70" s="78">
        <v>1.6917433323516376E-3</v>
      </c>
      <c r="EG70" s="78">
        <v>0.99625353721854304</v>
      </c>
      <c r="EH70" s="78">
        <v>0.10066131220566853</v>
      </c>
      <c r="EI70" s="78">
        <v>0</v>
      </c>
      <c r="EJ70" s="78">
        <v>7.599336978594164</v>
      </c>
      <c r="EK70" s="78">
        <v>0</v>
      </c>
      <c r="EL70" s="78">
        <v>99.999999999999986</v>
      </c>
      <c r="EM70" s="76">
        <v>95.127319258254445</v>
      </c>
      <c r="EN70" s="76" t="s">
        <v>155</v>
      </c>
      <c r="EO70" s="289">
        <v>6.8407480732591702E-2</v>
      </c>
      <c r="EP70" s="257">
        <f t="shared" si="12"/>
        <v>6.8407480732591699</v>
      </c>
      <c r="EQ70" s="257">
        <f t="shared" si="13"/>
        <v>84.750795334040291</v>
      </c>
      <c r="ER70" s="324">
        <f t="shared" si="14"/>
        <v>0.83171421228475961</v>
      </c>
      <c r="ES70" s="257">
        <f t="shared" si="15"/>
        <v>1.6135245912018172</v>
      </c>
      <c r="ET70">
        <f t="shared" si="8"/>
        <v>131.5</v>
      </c>
      <c r="EU70" s="324">
        <f t="shared" si="16"/>
        <v>0.51546423080249792</v>
      </c>
      <c r="EV70" s="39">
        <f t="shared" si="17"/>
        <v>159.685</v>
      </c>
      <c r="EW70"/>
      <c r="EX70">
        <f t="shared" si="18"/>
        <v>0.5346153846153846</v>
      </c>
      <c r="EY70"/>
      <c r="EZ70"/>
      <c r="FA70"/>
      <c r="FB70"/>
      <c r="FC70"/>
      <c r="FD70"/>
    </row>
    <row r="71" spans="1:160" s="77" customFormat="1" ht="13" customHeight="1" x14ac:dyDescent="0.2">
      <c r="A71" s="72" t="s">
        <v>156</v>
      </c>
      <c r="B71" s="73" t="s">
        <v>461</v>
      </c>
      <c r="C71" s="276">
        <f t="shared" si="29"/>
        <v>159.285</v>
      </c>
      <c r="D71" s="74">
        <v>143</v>
      </c>
      <c r="E71" s="74">
        <v>200</v>
      </c>
      <c r="F71" s="75">
        <f t="shared" ref="F71:F102" si="31">AVERAGE(D71:E71)</f>
        <v>171.5</v>
      </c>
      <c r="G71" s="73" t="s">
        <v>507</v>
      </c>
      <c r="H71" s="84">
        <v>2.5</v>
      </c>
      <c r="I71" s="85">
        <v>4</v>
      </c>
      <c r="J71" s="85">
        <v>6</v>
      </c>
      <c r="K71" s="89">
        <f t="shared" si="20"/>
        <v>1.6666666666666667</v>
      </c>
      <c r="L71" s="75">
        <v>140</v>
      </c>
      <c r="M71" s="75">
        <v>81</v>
      </c>
      <c r="N71" s="75">
        <v>54</v>
      </c>
      <c r="O71" s="75">
        <v>69.94</v>
      </c>
      <c r="P71" s="75">
        <v>15.06</v>
      </c>
      <c r="Q71" s="75">
        <v>6.86</v>
      </c>
      <c r="R71" s="75">
        <v>4.5999999999999999E-2</v>
      </c>
      <c r="S71" s="75">
        <v>0.24</v>
      </c>
      <c r="T71" s="75">
        <v>0</v>
      </c>
      <c r="U71" s="75">
        <v>0.05</v>
      </c>
      <c r="V71" s="75">
        <v>0.37</v>
      </c>
      <c r="W71" s="75">
        <v>0.54200000000000004</v>
      </c>
      <c r="X71" s="75">
        <v>0.06</v>
      </c>
      <c r="Y71" s="75">
        <v>7.1</v>
      </c>
      <c r="Z71" s="75">
        <v>100.3</v>
      </c>
      <c r="AA71" s="75">
        <v>20</v>
      </c>
      <c r="AB71" s="75">
        <v>1</v>
      </c>
      <c r="AC71" s="75">
        <v>119</v>
      </c>
      <c r="AD71" s="75">
        <v>30</v>
      </c>
      <c r="AE71" s="75">
        <v>8</v>
      </c>
      <c r="AF71" s="75">
        <v>0</v>
      </c>
      <c r="AG71" s="75">
        <v>40</v>
      </c>
      <c r="AH71" s="75">
        <v>50</v>
      </c>
      <c r="AI71" s="75">
        <v>15</v>
      </c>
      <c r="AJ71" s="75">
        <v>1</v>
      </c>
      <c r="AK71" s="75">
        <v>0</v>
      </c>
      <c r="AL71" s="75">
        <v>28</v>
      </c>
      <c r="AM71" s="75">
        <v>12</v>
      </c>
      <c r="AN71" s="68">
        <f>'O.G.Chem Results'!AN71/'O.G.Chem Results'!$AN$142</f>
        <v>2.5641025641025639</v>
      </c>
      <c r="AO71" s="75">
        <v>219</v>
      </c>
      <c r="AP71" s="75">
        <v>4</v>
      </c>
      <c r="AQ71" s="75" t="s">
        <v>72</v>
      </c>
      <c r="AR71" s="75" t="s">
        <v>74</v>
      </c>
      <c r="AS71" s="75" t="s">
        <v>73</v>
      </c>
      <c r="AT71" s="75">
        <v>0</v>
      </c>
      <c r="AU71" s="75" t="s">
        <v>74</v>
      </c>
      <c r="AV71" s="75">
        <v>1.7</v>
      </c>
      <c r="AW71" s="75">
        <v>115</v>
      </c>
      <c r="AX71" s="75" t="s">
        <v>75</v>
      </c>
      <c r="AY71" s="68">
        <f>'O.G.Chem Results'!AY71/'O.G.Chem Results'!AY$142</f>
        <v>37.872340425531917</v>
      </c>
      <c r="AZ71" s="68">
        <f>'O.G.Chem Results'!AZ71/'O.G.Chem Results'!AZ$142</f>
        <v>59.184350132625994</v>
      </c>
      <c r="BA71" s="68">
        <f>'O.G.Chem Results'!BA71/'O.G.Chem Results'!BA$142</f>
        <v>25.364758698092029</v>
      </c>
      <c r="BB71" s="68">
        <f>'O.G.Chem Results'!BB71/'O.G.Chem Results'!BB$142</f>
        <v>18.788682581786031</v>
      </c>
      <c r="BC71" s="68">
        <f>'O.G.Chem Results'!BC71/'O.G.Chem Results'!BC$142</f>
        <v>10.876954452753232</v>
      </c>
      <c r="BD71" s="68">
        <f>'O.G.Chem Results'!BD71/'O.G.Chem Results'!BD$142</f>
        <v>7.5</v>
      </c>
      <c r="BE71" s="68">
        <f>'O.G.Chem Results'!BE71/'O.G.Chem Results'!BE$142</f>
        <v>6.8181818181818183</v>
      </c>
      <c r="BF71" s="68">
        <f>'O.G.Chem Results'!BF71/'O.G.Chem Results'!BF$142</f>
        <v>5.5096418732782375</v>
      </c>
      <c r="BG71" s="68">
        <f>'O.G.Chem Results'!BG71/'O.G.Chem Results'!BG$142</f>
        <v>5.3564070869386073</v>
      </c>
      <c r="BH71" s="68">
        <f>'O.G.Chem Results'!BH71/'O.G.Chem Results'!BH$142</f>
        <v>5.3956834532374094</v>
      </c>
      <c r="BI71" s="68">
        <f>'O.G.Chem Results'!BI71/'O.G.Chem Results'!BI$142</f>
        <v>5.0346129641283826</v>
      </c>
      <c r="BJ71" s="68">
        <f>'O.G.Chem Results'!BJ71/'O.G.Chem Results'!BJ$142</f>
        <v>5.3719008264462813</v>
      </c>
      <c r="BK71" s="68">
        <f>'O.G.Chem Results'!BK71/'O.G.Chem Results'!BK$142</f>
        <v>6.1538461538461533</v>
      </c>
      <c r="BL71" s="68">
        <f>'O.G.Chem Results'!BL71/'O.G.Chem Results'!BL$142</f>
        <v>6.5843621399176948</v>
      </c>
      <c r="BM71" s="75">
        <v>4.8</v>
      </c>
      <c r="BN71" s="75">
        <v>0.3</v>
      </c>
      <c r="BO71" s="75">
        <v>0</v>
      </c>
      <c r="BP71" s="75">
        <v>0</v>
      </c>
      <c r="BQ71" s="75">
        <v>14</v>
      </c>
      <c r="BR71" s="75">
        <v>5.8</v>
      </c>
      <c r="BS71" s="75">
        <v>1</v>
      </c>
      <c r="BT71" s="76">
        <f t="shared" ref="BT71:BT104" si="32">AZ71/(AY71+AZ71)</f>
        <v>0.60979155370192428</v>
      </c>
      <c r="BU71" s="281">
        <f t="shared" ref="BU71:BU104" si="33">SUM(AY71:BL71)</f>
        <v>205.81172260676379</v>
      </c>
      <c r="BV71" s="77">
        <f t="shared" ref="BV71:BV104" si="34">F71</f>
        <v>171.5</v>
      </c>
      <c r="BW71" s="78">
        <f t="shared" si="30"/>
        <v>97.286821705426348</v>
      </c>
      <c r="BX71" s="69">
        <f t="shared" si="11"/>
        <v>2.3333299100960074</v>
      </c>
      <c r="BY71" s="76">
        <v>9.9700000000000006</v>
      </c>
      <c r="BZ71" s="76">
        <v>0.96</v>
      </c>
      <c r="CA71" s="76">
        <v>39.590000000000003</v>
      </c>
      <c r="CB71" s="76">
        <v>1.84E-2</v>
      </c>
      <c r="CC71" s="76">
        <v>1.6000000000000001E-3</v>
      </c>
      <c r="CD71" s="76">
        <v>0</v>
      </c>
      <c r="CE71" s="76">
        <v>0</v>
      </c>
      <c r="CF71" s="76">
        <v>0</v>
      </c>
      <c r="CG71" s="76">
        <v>0</v>
      </c>
      <c r="CH71" s="76">
        <v>4.88</v>
      </c>
      <c r="CI71" s="76">
        <v>1.21</v>
      </c>
      <c r="CJ71" s="76">
        <v>0</v>
      </c>
      <c r="CK71" s="76">
        <v>16.32</v>
      </c>
      <c r="CL71" s="76">
        <v>16.489999999999998</v>
      </c>
      <c r="CM71" s="76">
        <v>4.88</v>
      </c>
      <c r="CN71" s="76">
        <v>0</v>
      </c>
      <c r="CO71" s="76">
        <v>2.64</v>
      </c>
      <c r="CP71" s="76">
        <v>3.03</v>
      </c>
      <c r="CQ71" s="76">
        <v>0</v>
      </c>
      <c r="CR71" s="76">
        <v>0</v>
      </c>
      <c r="CS71" s="76">
        <v>0</v>
      </c>
      <c r="CT71" s="76">
        <v>0</v>
      </c>
      <c r="CU71" s="76">
        <v>0</v>
      </c>
      <c r="CV71" s="76">
        <v>0</v>
      </c>
      <c r="CW71" s="76">
        <v>0</v>
      </c>
      <c r="CX71" s="76">
        <v>0</v>
      </c>
      <c r="CY71" s="281">
        <v>99.990000000000009</v>
      </c>
      <c r="CZ71" s="285">
        <v>0.44453177633056368</v>
      </c>
      <c r="DA71" s="285">
        <v>2.0660229059061305E-4</v>
      </c>
      <c r="DB71" s="285">
        <v>1.7965416573096789E-5</v>
      </c>
      <c r="DC71" s="285">
        <v>0</v>
      </c>
      <c r="DD71" s="285">
        <v>0</v>
      </c>
      <c r="DE71" s="285">
        <v>0</v>
      </c>
      <c r="DF71" s="285">
        <v>0</v>
      </c>
      <c r="DG71" s="285">
        <v>5.4794520547945202E-2</v>
      </c>
      <c r="DH71" s="285">
        <v>1.3586346283404445E-2</v>
      </c>
      <c r="DI71" s="285">
        <v>0</v>
      </c>
      <c r="DJ71" s="285">
        <v>0.18324724904558723</v>
      </c>
      <c r="DK71" s="285">
        <v>0.18515607455647876</v>
      </c>
      <c r="DL71" s="285">
        <v>5.4794520547945202E-2</v>
      </c>
      <c r="DM71" s="285">
        <v>0</v>
      </c>
      <c r="DN71" s="285">
        <v>2.9642937345609702E-2</v>
      </c>
      <c r="DO71" s="285">
        <v>3.402200763530204E-2</v>
      </c>
      <c r="DP71" s="285">
        <v>0</v>
      </c>
      <c r="DQ71" s="285">
        <v>0</v>
      </c>
      <c r="DR71" s="285">
        <v>0</v>
      </c>
      <c r="DS71" s="285">
        <v>0</v>
      </c>
      <c r="DT71" s="285">
        <v>0</v>
      </c>
      <c r="DU71" s="285">
        <v>0</v>
      </c>
      <c r="DV71" s="285">
        <v>0</v>
      </c>
      <c r="DW71" s="285">
        <v>0</v>
      </c>
      <c r="DX71" s="76">
        <v>1</v>
      </c>
      <c r="DY71" s="78">
        <v>66.728245978625196</v>
      </c>
      <c r="DZ71" s="78">
        <v>19.313981228793249</v>
      </c>
      <c r="EA71" s="78">
        <v>5.0769621927824744</v>
      </c>
      <c r="EB71" s="78">
        <v>0.61394605363954347</v>
      </c>
      <c r="EC71" s="78">
        <v>0</v>
      </c>
      <c r="ED71" s="78">
        <v>0.33902699319650598</v>
      </c>
      <c r="EE71" s="78">
        <v>5.4259701776313243E-2</v>
      </c>
      <c r="EF71" s="78">
        <v>2.1239394941451547E-4</v>
      </c>
      <c r="EG71" s="78">
        <v>0.77568571638523653</v>
      </c>
      <c r="EH71" s="78">
        <v>6.4007094494386643E-2</v>
      </c>
      <c r="EI71" s="78">
        <v>0</v>
      </c>
      <c r="EJ71" s="78">
        <v>7.0336726463576875</v>
      </c>
      <c r="EK71" s="78">
        <v>0</v>
      </c>
      <c r="EL71" s="78">
        <v>100.00000000000003</v>
      </c>
      <c r="EM71" s="76">
        <v>95.878911427163686</v>
      </c>
      <c r="EN71" s="76" t="s">
        <v>156</v>
      </c>
      <c r="EO71" s="289">
        <v>5.7461633912495765E-2</v>
      </c>
      <c r="EP71" s="257">
        <f t="shared" si="12"/>
        <v>5.7461633912495769</v>
      </c>
      <c r="EQ71" s="257">
        <f t="shared" si="13"/>
        <v>87.239291320923954</v>
      </c>
      <c r="ER71" s="324">
        <f t="shared" si="14"/>
        <v>0.84769056142495391</v>
      </c>
      <c r="ES71" s="257">
        <f t="shared" si="15"/>
        <v>1.878205153718028</v>
      </c>
      <c r="ET71">
        <f t="shared" ref="ET71:ET123" si="35">BV71</f>
        <v>171.5</v>
      </c>
      <c r="EU71" s="324">
        <f t="shared" si="16"/>
        <v>0.45133012213649604</v>
      </c>
      <c r="EV71" s="39">
        <f t="shared" si="17"/>
        <v>159.285</v>
      </c>
      <c r="EW71"/>
      <c r="EX71">
        <f t="shared" si="18"/>
        <v>0.47521367521367525</v>
      </c>
      <c r="EY71"/>
      <c r="EZ71"/>
      <c r="FA71"/>
      <c r="FB71"/>
      <c r="FC71"/>
      <c r="FD71"/>
    </row>
    <row r="72" spans="1:160" s="77" customFormat="1" ht="13" customHeight="1" x14ac:dyDescent="0.2">
      <c r="A72" s="72" t="s">
        <v>157</v>
      </c>
      <c r="B72" s="73" t="s">
        <v>461</v>
      </c>
      <c r="C72" s="276">
        <f t="shared" si="29"/>
        <v>158.5</v>
      </c>
      <c r="D72" s="74">
        <v>200</v>
      </c>
      <c r="E72" s="74">
        <v>300</v>
      </c>
      <c r="F72" s="75">
        <f t="shared" si="31"/>
        <v>250</v>
      </c>
      <c r="G72" s="73" t="s">
        <v>507</v>
      </c>
      <c r="H72" s="84">
        <v>2.5</v>
      </c>
      <c r="I72" s="85">
        <v>4</v>
      </c>
      <c r="J72" s="85">
        <v>6</v>
      </c>
      <c r="K72" s="89">
        <f t="shared" si="20"/>
        <v>1.6666666666666667</v>
      </c>
      <c r="L72" s="75">
        <v>140</v>
      </c>
      <c r="M72" s="75">
        <v>81</v>
      </c>
      <c r="N72" s="75">
        <v>54</v>
      </c>
      <c r="O72" s="75">
        <v>60.5</v>
      </c>
      <c r="P72" s="75">
        <v>19.55</v>
      </c>
      <c r="Q72" s="75">
        <v>8.32</v>
      </c>
      <c r="R72" s="75">
        <v>4.2000000000000003E-2</v>
      </c>
      <c r="S72" s="75">
        <v>0.28000000000000003</v>
      </c>
      <c r="T72" s="75">
        <v>0.01</v>
      </c>
      <c r="U72" s="75">
        <v>0.08</v>
      </c>
      <c r="V72" s="75">
        <v>0.46</v>
      </c>
      <c r="W72" s="75">
        <v>0.70199999999999996</v>
      </c>
      <c r="X72" s="75">
        <v>0.05</v>
      </c>
      <c r="Y72" s="75">
        <v>9.42</v>
      </c>
      <c r="Z72" s="75">
        <v>99.41</v>
      </c>
      <c r="AA72" s="75">
        <v>23</v>
      </c>
      <c r="AB72" s="75">
        <v>1</v>
      </c>
      <c r="AC72" s="75">
        <v>135</v>
      </c>
      <c r="AD72" s="75">
        <v>30</v>
      </c>
      <c r="AE72" s="75">
        <v>7</v>
      </c>
      <c r="AF72" s="75">
        <v>0</v>
      </c>
      <c r="AG72" s="75">
        <v>50</v>
      </c>
      <c r="AH72" s="75">
        <v>70</v>
      </c>
      <c r="AI72" s="75">
        <v>21</v>
      </c>
      <c r="AJ72" s="75">
        <v>1</v>
      </c>
      <c r="AK72" s="75">
        <v>0</v>
      </c>
      <c r="AL72" s="75">
        <v>36</v>
      </c>
      <c r="AM72" s="75">
        <v>14</v>
      </c>
      <c r="AN72" s="68">
        <f>'O.G.Chem Results'!AN72/'O.G.Chem Results'!$AN$142</f>
        <v>1.2820512820512819</v>
      </c>
      <c r="AO72" s="75">
        <v>183</v>
      </c>
      <c r="AP72" s="75">
        <v>6</v>
      </c>
      <c r="AQ72" s="75" t="s">
        <v>72</v>
      </c>
      <c r="AR72" s="75" t="s">
        <v>74</v>
      </c>
      <c r="AS72" s="75" t="s">
        <v>73</v>
      </c>
      <c r="AT72" s="75">
        <v>1</v>
      </c>
      <c r="AU72" s="75" t="s">
        <v>74</v>
      </c>
      <c r="AV72" s="75">
        <v>2.2000000000000002</v>
      </c>
      <c r="AW72" s="75">
        <v>129</v>
      </c>
      <c r="AX72" s="75" t="s">
        <v>75</v>
      </c>
      <c r="AY72" s="68">
        <f>'O.G.Chem Results'!AY72/'O.G.Chem Results'!AY$142</f>
        <v>27.234042553191493</v>
      </c>
      <c r="AZ72" s="68">
        <f>'O.G.Chem Results'!AZ72/'O.G.Chem Results'!AZ$142</f>
        <v>49.734748010610076</v>
      </c>
      <c r="BA72" s="68">
        <f>'O.G.Chem Results'!BA72/'O.G.Chem Results'!BA$142</f>
        <v>16.049382716049383</v>
      </c>
      <c r="BB72" s="68">
        <f>'O.G.Chem Results'!BB72/'O.G.Chem Results'!BB$142</f>
        <v>11.273209549071618</v>
      </c>
      <c r="BC72" s="68">
        <f>'O.G.Chem Results'!BC72/'O.G.Chem Results'!BC$142</f>
        <v>6.798096532970769</v>
      </c>
      <c r="BD72" s="68">
        <f>'O.G.Chem Results'!BD72/'O.G.Chem Results'!BD$142</f>
        <v>4.8214285714285721</v>
      </c>
      <c r="BE72" s="68">
        <f>'O.G.Chem Results'!BE72/'O.G.Chem Results'!BE$142</f>
        <v>3.9772727272727271</v>
      </c>
      <c r="BF72" s="68">
        <f>'O.G.Chem Results'!BF72/'O.G.Chem Results'!BF$142</f>
        <v>2.7548209366391188</v>
      </c>
      <c r="BG72" s="68">
        <f>'O.G.Chem Results'!BG72/'O.G.Chem Results'!BG$142</f>
        <v>3.7082818294190361</v>
      </c>
      <c r="BH72" s="68">
        <f>'O.G.Chem Results'!BH72/'O.G.Chem Results'!BH$142</f>
        <v>3.5971223021582732</v>
      </c>
      <c r="BI72" s="68">
        <f>'O.G.Chem Results'!BI72/'O.G.Chem Results'!BI$142</f>
        <v>3.7759597230962867</v>
      </c>
      <c r="BJ72" s="68">
        <f>'O.G.Chem Results'!BJ72/'O.G.Chem Results'!BJ$142</f>
        <v>3.71900826446281</v>
      </c>
      <c r="BK72" s="68">
        <f>'O.G.Chem Results'!BK72/'O.G.Chem Results'!BK$142</f>
        <v>4.3076923076923075</v>
      </c>
      <c r="BL72" s="68">
        <f>'O.G.Chem Results'!BL72/'O.G.Chem Results'!BL$142</f>
        <v>5.3497942386831276</v>
      </c>
      <c r="BM72" s="75">
        <v>4.3</v>
      </c>
      <c r="BN72" s="75">
        <v>0.4</v>
      </c>
      <c r="BO72" s="75">
        <v>0</v>
      </c>
      <c r="BP72" s="75">
        <v>0</v>
      </c>
      <c r="BQ72" s="75">
        <v>59</v>
      </c>
      <c r="BR72" s="75">
        <v>8</v>
      </c>
      <c r="BS72" s="75">
        <v>1.3</v>
      </c>
      <c r="BT72" s="76">
        <f t="shared" si="32"/>
        <v>0.6461677213101531</v>
      </c>
      <c r="BU72" s="281">
        <f t="shared" si="33"/>
        <v>147.10086026274564</v>
      </c>
      <c r="BV72" s="77">
        <f t="shared" si="34"/>
        <v>250</v>
      </c>
      <c r="BW72" s="78">
        <f t="shared" si="30"/>
        <v>97.263681592039788</v>
      </c>
      <c r="BX72" s="69">
        <f t="shared" ref="BX72:BX135" si="36">AZ72/BA72</f>
        <v>3.0988573760457045</v>
      </c>
      <c r="BY72" s="76">
        <v>7.09</v>
      </c>
      <c r="BZ72" s="76">
        <v>1.77</v>
      </c>
      <c r="CA72" s="76">
        <v>47.61</v>
      </c>
      <c r="CB72" s="76">
        <v>9.1999999999999998E-3</v>
      </c>
      <c r="CC72" s="76">
        <v>8.0000000000000004E-4</v>
      </c>
      <c r="CD72" s="76">
        <v>0</v>
      </c>
      <c r="CE72" s="76">
        <v>0</v>
      </c>
      <c r="CF72" s="76">
        <v>0</v>
      </c>
      <c r="CG72" s="76">
        <v>0</v>
      </c>
      <c r="CH72" s="76">
        <v>3.68</v>
      </c>
      <c r="CI72" s="76">
        <v>0.94</v>
      </c>
      <c r="CJ72" s="76">
        <v>0</v>
      </c>
      <c r="CK72" s="76">
        <v>15.59</v>
      </c>
      <c r="CL72" s="76">
        <v>15.75</v>
      </c>
      <c r="CM72" s="76">
        <v>3.86</v>
      </c>
      <c r="CN72" s="76">
        <v>0</v>
      </c>
      <c r="CO72" s="76">
        <v>1.23</v>
      </c>
      <c r="CP72" s="76">
        <v>2.44</v>
      </c>
      <c r="CQ72" s="76">
        <v>0</v>
      </c>
      <c r="CR72" s="76">
        <v>0</v>
      </c>
      <c r="CS72" s="76">
        <v>0</v>
      </c>
      <c r="CT72" s="76">
        <v>0</v>
      </c>
      <c r="CU72" s="76">
        <v>0</v>
      </c>
      <c r="CV72" s="76">
        <v>0</v>
      </c>
      <c r="CW72" s="76">
        <v>0</v>
      </c>
      <c r="CX72" s="76">
        <v>0</v>
      </c>
      <c r="CY72" s="281">
        <v>99.97</v>
      </c>
      <c r="CZ72" s="285">
        <v>0.52255515311162326</v>
      </c>
      <c r="DA72" s="285">
        <v>1.0097684118099001E-4</v>
      </c>
      <c r="DB72" s="285">
        <v>8.7805948853034803E-6</v>
      </c>
      <c r="DC72" s="285">
        <v>0</v>
      </c>
      <c r="DD72" s="285">
        <v>0</v>
      </c>
      <c r="DE72" s="285">
        <v>0</v>
      </c>
      <c r="DF72" s="285">
        <v>0</v>
      </c>
      <c r="DG72" s="285">
        <v>4.0390736472396008E-2</v>
      </c>
      <c r="DH72" s="285">
        <v>1.0317198990231587E-2</v>
      </c>
      <c r="DI72" s="285">
        <v>0</v>
      </c>
      <c r="DJ72" s="285">
        <v>0.17111184282735156</v>
      </c>
      <c r="DK72" s="285">
        <v>0.17286796180441225</v>
      </c>
      <c r="DL72" s="285">
        <v>4.2366370321589283E-2</v>
      </c>
      <c r="DM72" s="285">
        <v>0</v>
      </c>
      <c r="DN72" s="285">
        <v>1.35001646361541E-2</v>
      </c>
      <c r="DO72" s="285">
        <v>2.6780814400175611E-2</v>
      </c>
      <c r="DP72" s="285">
        <v>0</v>
      </c>
      <c r="DQ72" s="285">
        <v>0</v>
      </c>
      <c r="DR72" s="285">
        <v>0</v>
      </c>
      <c r="DS72" s="285">
        <v>0</v>
      </c>
      <c r="DT72" s="285">
        <v>0</v>
      </c>
      <c r="DU72" s="285">
        <v>0</v>
      </c>
      <c r="DV72" s="285">
        <v>0</v>
      </c>
      <c r="DW72" s="285">
        <v>0</v>
      </c>
      <c r="DX72" s="76">
        <v>1</v>
      </c>
      <c r="DY72" s="78">
        <v>71.853990056146174</v>
      </c>
      <c r="DZ72" s="78">
        <v>16.981922478377147</v>
      </c>
      <c r="EA72" s="78">
        <v>3.8055472131297745</v>
      </c>
      <c r="EB72" s="78">
        <v>0.33026067794710573</v>
      </c>
      <c r="EC72" s="78">
        <v>0</v>
      </c>
      <c r="ED72" s="78">
        <v>0.21108694800773936</v>
      </c>
      <c r="EE72" s="78">
        <v>4.0655136586307344E-2</v>
      </c>
      <c r="EF72" s="78">
        <v>1.0380751363657532E-4</v>
      </c>
      <c r="EG72" s="78">
        <v>0.55305909636833639</v>
      </c>
      <c r="EH72" s="78">
        <v>2.9150495562615751E-2</v>
      </c>
      <c r="EI72" s="78">
        <v>0</v>
      </c>
      <c r="EJ72" s="78">
        <v>6.1942240903611587</v>
      </c>
      <c r="EK72" s="78">
        <v>0</v>
      </c>
      <c r="EL72" s="78">
        <v>100</v>
      </c>
      <c r="EM72" s="76">
        <v>96.621376835692573</v>
      </c>
      <c r="EN72" s="76" t="s">
        <v>157</v>
      </c>
      <c r="EO72" s="289">
        <v>4.1655313520921194E-2</v>
      </c>
      <c r="EP72" s="257">
        <f t="shared" ref="EP72:EP123" si="37">EO72*100</f>
        <v>4.1655313520921196</v>
      </c>
      <c r="EQ72" s="257">
        <f t="shared" ref="EQ72:EQ123" si="38">100*(DJ72+DH72+DG72+DF72+DK72+DP72)/(DJ72+DH72+DG72+DF72+DO72+DN72+DM72+DE72+DC72+DR72+DB72+DA72+DK72+DP72)</f>
        <v>90.716448032290614</v>
      </c>
      <c r="ER72" s="324">
        <f t="shared" ref="ER72:ER123" si="39">BD72*2/(BC72+BE72)</f>
        <v>0.8948980689167807</v>
      </c>
      <c r="ES72" s="257">
        <f t="shared" ref="ES72:ES128" si="40">3*AZ72/(2*AY72+BB72)</f>
        <v>2.269566561075484</v>
      </c>
      <c r="ET72">
        <f t="shared" si="35"/>
        <v>250</v>
      </c>
      <c r="EU72" s="324">
        <f t="shared" ref="EU72:EU128" si="41">ER72/ES72</f>
        <v>0.39430351339540071</v>
      </c>
      <c r="EV72" s="39">
        <f t="shared" ref="EV72:EV123" si="42">C72</f>
        <v>158.5</v>
      </c>
      <c r="EW72"/>
      <c r="EX72">
        <f t="shared" ref="EX72:EX128" si="43">AN72/BH72</f>
        <v>0.35641025641025642</v>
      </c>
      <c r="EY72"/>
      <c r="EZ72" s="324">
        <f>AVERAGE(EZ66,EZ78,EZ85)</f>
        <v>0.81500649547127868</v>
      </c>
      <c r="FA72" s="260" t="s">
        <v>670</v>
      </c>
      <c r="FB72"/>
      <c r="FC72"/>
      <c r="FD72"/>
    </row>
    <row r="73" spans="1:160" s="77" customFormat="1" ht="13" customHeight="1" x14ac:dyDescent="0.2">
      <c r="A73" s="72" t="s">
        <v>158</v>
      </c>
      <c r="B73" s="73" t="s">
        <v>461</v>
      </c>
      <c r="C73" s="276">
        <f t="shared" si="29"/>
        <v>157.5</v>
      </c>
      <c r="D73" s="74">
        <v>300</v>
      </c>
      <c r="E73" s="74">
        <v>400</v>
      </c>
      <c r="F73" s="75">
        <f t="shared" si="31"/>
        <v>350</v>
      </c>
      <c r="G73" s="73" t="s">
        <v>507</v>
      </c>
      <c r="H73" s="84">
        <v>2.5</v>
      </c>
      <c r="I73" s="85">
        <v>4</v>
      </c>
      <c r="J73" s="85">
        <v>6</v>
      </c>
      <c r="K73" s="89">
        <f t="shared" si="20"/>
        <v>1.6666666666666667</v>
      </c>
      <c r="L73" s="75">
        <v>140</v>
      </c>
      <c r="M73" s="75">
        <v>81</v>
      </c>
      <c r="N73" s="75">
        <v>54</v>
      </c>
      <c r="O73" s="75">
        <v>65.63</v>
      </c>
      <c r="P73" s="75">
        <v>17.079999999999998</v>
      </c>
      <c r="Q73" s="75">
        <v>7.5</v>
      </c>
      <c r="R73" s="75">
        <v>7.2999999999999995E-2</v>
      </c>
      <c r="S73" s="75">
        <v>0.2</v>
      </c>
      <c r="T73" s="75">
        <v>0.01</v>
      </c>
      <c r="U73" s="75">
        <v>7.0000000000000007E-2</v>
      </c>
      <c r="V73" s="75">
        <v>0.53</v>
      </c>
      <c r="W73" s="75">
        <v>0.64100000000000001</v>
      </c>
      <c r="X73" s="75">
        <v>0.05</v>
      </c>
      <c r="Y73" s="75">
        <v>8.0399999999999991</v>
      </c>
      <c r="Z73" s="75">
        <v>99.84</v>
      </c>
      <c r="AA73" s="75">
        <v>21</v>
      </c>
      <c r="AB73" s="75">
        <v>1</v>
      </c>
      <c r="AC73" s="75">
        <v>122</v>
      </c>
      <c r="AD73" s="75">
        <v>30</v>
      </c>
      <c r="AE73" s="75">
        <v>13</v>
      </c>
      <c r="AF73" s="75">
        <v>0</v>
      </c>
      <c r="AG73" s="75">
        <v>40</v>
      </c>
      <c r="AH73" s="75">
        <v>60</v>
      </c>
      <c r="AI73" s="75">
        <v>18</v>
      </c>
      <c r="AJ73" s="75">
        <v>1</v>
      </c>
      <c r="AK73" s="75">
        <v>0</v>
      </c>
      <c r="AL73" s="75">
        <v>35</v>
      </c>
      <c r="AM73" s="75">
        <v>23</v>
      </c>
      <c r="AN73" s="68">
        <f>'O.G.Chem Results'!AN73/'O.G.Chem Results'!$AN$142</f>
        <v>7.0512820512820511</v>
      </c>
      <c r="AO73" s="75">
        <v>297</v>
      </c>
      <c r="AP73" s="75">
        <v>5</v>
      </c>
      <c r="AQ73" s="75" t="s">
        <v>72</v>
      </c>
      <c r="AR73" s="75" t="s">
        <v>74</v>
      </c>
      <c r="AS73" s="75" t="s">
        <v>73</v>
      </c>
      <c r="AT73" s="75">
        <v>1</v>
      </c>
      <c r="AU73" s="75" t="s">
        <v>74</v>
      </c>
      <c r="AV73" s="75">
        <v>2</v>
      </c>
      <c r="AW73" s="75">
        <v>189</v>
      </c>
      <c r="AX73" s="75" t="s">
        <v>75</v>
      </c>
      <c r="AY73" s="68">
        <f>'O.G.Chem Results'!AY73/'O.G.Chem Results'!AY$142</f>
        <v>65.106382978723417</v>
      </c>
      <c r="AZ73" s="68">
        <f>'O.G.Chem Results'!AZ73/'O.G.Chem Results'!AZ$142</f>
        <v>78.083554376657816</v>
      </c>
      <c r="BA73" s="68">
        <f>'O.G.Chem Results'!BA73/'O.G.Chem Results'!BA$142</f>
        <v>51.290684624017963</v>
      </c>
      <c r="BB73" s="68">
        <f>'O.G.Chem Results'!BB73/'O.G.Chem Results'!BB$142</f>
        <v>39.124668435013263</v>
      </c>
      <c r="BC73" s="68">
        <f>'O.G.Chem Results'!BC73/'O.G.Chem Results'!BC$142</f>
        <v>25.152957171991847</v>
      </c>
      <c r="BD73" s="68">
        <f>'O.G.Chem Results'!BD73/'O.G.Chem Results'!BD$142</f>
        <v>16.785714285714285</v>
      </c>
      <c r="BE73" s="68">
        <f>'O.G.Chem Results'!BE73/'O.G.Chem Results'!BE$142</f>
        <v>15.340909090909093</v>
      </c>
      <c r="BF73" s="68">
        <f>'O.G.Chem Results'!BF73/'O.G.Chem Results'!BF$142</f>
        <v>11.019283746556475</v>
      </c>
      <c r="BG73" s="68">
        <f>'O.G.Chem Results'!BG73/'O.G.Chem Results'!BG$142</f>
        <v>10.712814173877215</v>
      </c>
      <c r="BH73" s="68">
        <f>'O.G.Chem Results'!BH73/'O.G.Chem Results'!BH$142</f>
        <v>8.9928057553956826</v>
      </c>
      <c r="BI73" s="68">
        <f>'O.G.Chem Results'!BI73/'O.G.Chem Results'!BI$142</f>
        <v>9.4398993077407169</v>
      </c>
      <c r="BJ73" s="68">
        <f>'O.G.Chem Results'!BJ73/'O.G.Chem Results'!BJ$142</f>
        <v>9.9173553719008272</v>
      </c>
      <c r="BK73" s="68">
        <f>'O.G.Chem Results'!BK73/'O.G.Chem Results'!BK$142</f>
        <v>11.076923076923077</v>
      </c>
      <c r="BL73" s="68">
        <f>'O.G.Chem Results'!BL73/'O.G.Chem Results'!BL$142</f>
        <v>11.934156378600822</v>
      </c>
      <c r="BM73" s="75">
        <v>6.8</v>
      </c>
      <c r="BN73" s="75">
        <v>0.4</v>
      </c>
      <c r="BO73" s="75">
        <v>0</v>
      </c>
      <c r="BP73" s="75">
        <v>0</v>
      </c>
      <c r="BQ73" s="75">
        <v>23</v>
      </c>
      <c r="BR73" s="75">
        <v>7.9</v>
      </c>
      <c r="BS73" s="75">
        <v>1.5</v>
      </c>
      <c r="BT73" s="76">
        <f t="shared" si="32"/>
        <v>0.54531453689279341</v>
      </c>
      <c r="BU73" s="281">
        <f t="shared" si="33"/>
        <v>363.97810877402253</v>
      </c>
      <c r="BV73" s="77">
        <f t="shared" si="34"/>
        <v>350</v>
      </c>
      <c r="BW73" s="78">
        <f t="shared" si="30"/>
        <v>96.551724137931018</v>
      </c>
      <c r="BX73" s="69">
        <f t="shared" si="36"/>
        <v>1.5223730185908557</v>
      </c>
      <c r="BY73" s="76">
        <v>10.130000000000001</v>
      </c>
      <c r="BZ73" s="76">
        <v>1.62</v>
      </c>
      <c r="CA73" s="76">
        <v>43.29</v>
      </c>
      <c r="CB73" s="76">
        <v>9.1999999999999998E-3</v>
      </c>
      <c r="CC73" s="76">
        <v>8.0000000000000004E-4</v>
      </c>
      <c r="CD73" s="76">
        <v>0</v>
      </c>
      <c r="CE73" s="76">
        <v>0</v>
      </c>
      <c r="CF73" s="76">
        <v>0</v>
      </c>
      <c r="CG73" s="76">
        <v>0</v>
      </c>
      <c r="CH73" s="76">
        <v>3.58</v>
      </c>
      <c r="CI73" s="76">
        <v>0.99</v>
      </c>
      <c r="CJ73" s="76">
        <v>0</v>
      </c>
      <c r="CK73" s="76">
        <v>15.86</v>
      </c>
      <c r="CL73" s="76">
        <v>16.03</v>
      </c>
      <c r="CM73" s="76">
        <v>3.83</v>
      </c>
      <c r="CN73" s="76">
        <v>0</v>
      </c>
      <c r="CO73" s="76">
        <v>1.24</v>
      </c>
      <c r="CP73" s="76">
        <v>3.41</v>
      </c>
      <c r="CQ73" s="76">
        <v>0</v>
      </c>
      <c r="CR73" s="76">
        <v>0</v>
      </c>
      <c r="CS73" s="76">
        <v>0</v>
      </c>
      <c r="CT73" s="76">
        <v>0</v>
      </c>
      <c r="CU73" s="76">
        <v>0</v>
      </c>
      <c r="CV73" s="76">
        <v>0</v>
      </c>
      <c r="CW73" s="76">
        <v>0</v>
      </c>
      <c r="CX73" s="76">
        <v>0</v>
      </c>
      <c r="CY73" s="281">
        <v>99.989999999999981</v>
      </c>
      <c r="CZ73" s="285">
        <v>0.49059383499546699</v>
      </c>
      <c r="DA73" s="285">
        <v>1.0426110607434272E-4</v>
      </c>
      <c r="DB73" s="285">
        <v>9.0661831368993672E-6</v>
      </c>
      <c r="DC73" s="285">
        <v>0</v>
      </c>
      <c r="DD73" s="285">
        <v>0</v>
      </c>
      <c r="DE73" s="285">
        <v>0</v>
      </c>
      <c r="DF73" s="285">
        <v>0</v>
      </c>
      <c r="DG73" s="285">
        <v>4.0571169537624671E-2</v>
      </c>
      <c r="DH73" s="285">
        <v>1.1219401631912967E-2</v>
      </c>
      <c r="DI73" s="285">
        <v>0</v>
      </c>
      <c r="DJ73" s="285">
        <v>0.17973708068902994</v>
      </c>
      <c r="DK73" s="285">
        <v>0.18166364460562109</v>
      </c>
      <c r="DL73" s="285">
        <v>4.3404351767905719E-2</v>
      </c>
      <c r="DM73" s="285">
        <v>0</v>
      </c>
      <c r="DN73" s="285">
        <v>1.405258386219402E-2</v>
      </c>
      <c r="DO73" s="285">
        <v>3.8644605621033556E-2</v>
      </c>
      <c r="DP73" s="285">
        <v>0</v>
      </c>
      <c r="DQ73" s="285">
        <v>0</v>
      </c>
      <c r="DR73" s="285">
        <v>0</v>
      </c>
      <c r="DS73" s="285">
        <v>0</v>
      </c>
      <c r="DT73" s="285">
        <v>0</v>
      </c>
      <c r="DU73" s="285">
        <v>0</v>
      </c>
      <c r="DV73" s="285">
        <v>0</v>
      </c>
      <c r="DW73" s="285">
        <v>0</v>
      </c>
      <c r="DX73" s="76">
        <v>1</v>
      </c>
      <c r="DY73" s="78">
        <v>70.145481778376805</v>
      </c>
      <c r="DZ73" s="78">
        <v>18.073188065835947</v>
      </c>
      <c r="EA73" s="78">
        <v>3.8379597746744349</v>
      </c>
      <c r="EB73" s="78">
        <v>0.39210195106421086</v>
      </c>
      <c r="EC73" s="78">
        <v>0</v>
      </c>
      <c r="ED73" s="78">
        <v>0.24533263968332139</v>
      </c>
      <c r="EE73" s="78">
        <v>4.1681731537370578E-2</v>
      </c>
      <c r="EF73" s="78">
        <v>1.0718384595907046E-4</v>
      </c>
      <c r="EG73" s="78">
        <v>0.6979742449677544</v>
      </c>
      <c r="EH73" s="78">
        <v>3.0343317623041214E-2</v>
      </c>
      <c r="EI73" s="78">
        <v>0</v>
      </c>
      <c r="EJ73" s="78">
        <v>6.5358293123911722</v>
      </c>
      <c r="EK73" s="78">
        <v>0</v>
      </c>
      <c r="EL73" s="78">
        <v>100</v>
      </c>
      <c r="EM73" s="76">
        <v>96.067798446628828</v>
      </c>
      <c r="EN73" s="76" t="s">
        <v>158</v>
      </c>
      <c r="EO73" s="289">
        <v>4.2653509013344248E-2</v>
      </c>
      <c r="EP73" s="257">
        <f t="shared" si="37"/>
        <v>4.2653509013344246</v>
      </c>
      <c r="EQ73" s="257">
        <f t="shared" si="38"/>
        <v>88.667315175097258</v>
      </c>
      <c r="ER73" s="324">
        <f t="shared" si="39"/>
        <v>0.82904972208557759</v>
      </c>
      <c r="ES73" s="257">
        <f t="shared" si="40"/>
        <v>1.3833365550293448</v>
      </c>
      <c r="ET73">
        <f t="shared" si="35"/>
        <v>350</v>
      </c>
      <c r="EU73" s="324">
        <f t="shared" si="41"/>
        <v>0.59931165635103956</v>
      </c>
      <c r="EV73" s="39">
        <f t="shared" si="42"/>
        <v>157.5</v>
      </c>
      <c r="EW73"/>
      <c r="EX73">
        <f t="shared" si="43"/>
        <v>0.78410256410256418</v>
      </c>
      <c r="EY73"/>
      <c r="EZ73"/>
      <c r="FA73"/>
      <c r="FB73"/>
      <c r="FC73"/>
      <c r="FD73"/>
    </row>
    <row r="74" spans="1:160" s="77" customFormat="1" ht="13" customHeight="1" x14ac:dyDescent="0.2">
      <c r="A74" s="72" t="s">
        <v>159</v>
      </c>
      <c r="B74" s="73" t="s">
        <v>461</v>
      </c>
      <c r="C74" s="276">
        <f t="shared" si="29"/>
        <v>156.5</v>
      </c>
      <c r="D74" s="74">
        <v>400</v>
      </c>
      <c r="E74" s="74">
        <v>500</v>
      </c>
      <c r="F74" s="75">
        <f t="shared" si="31"/>
        <v>450</v>
      </c>
      <c r="G74" s="73" t="s">
        <v>518</v>
      </c>
      <c r="H74" s="84">
        <v>2.5</v>
      </c>
      <c r="I74" s="85">
        <v>4</v>
      </c>
      <c r="J74" s="85">
        <v>8</v>
      </c>
      <c r="K74" s="89">
        <f t="shared" si="20"/>
        <v>1.25</v>
      </c>
      <c r="L74" s="75">
        <v>150</v>
      </c>
      <c r="M74" s="75">
        <v>75</v>
      </c>
      <c r="N74" s="75">
        <v>38</v>
      </c>
      <c r="O74" s="75">
        <v>56.04</v>
      </c>
      <c r="P74" s="75">
        <v>21.58</v>
      </c>
      <c r="Q74" s="75">
        <v>10.11</v>
      </c>
      <c r="R74" s="75">
        <v>6.6000000000000003E-2</v>
      </c>
      <c r="S74" s="75">
        <v>0.37</v>
      </c>
      <c r="T74" s="75">
        <v>0.01</v>
      </c>
      <c r="U74" s="75">
        <v>0.1</v>
      </c>
      <c r="V74" s="75">
        <v>0.91</v>
      </c>
      <c r="W74" s="75">
        <v>0.71799999999999997</v>
      </c>
      <c r="X74" s="75">
        <v>0.05</v>
      </c>
      <c r="Y74" s="75">
        <v>9.77</v>
      </c>
      <c r="Z74" s="75">
        <v>99.74</v>
      </c>
      <c r="AA74" s="75">
        <v>33</v>
      </c>
      <c r="AB74" s="75">
        <v>2</v>
      </c>
      <c r="AC74" s="75">
        <v>163</v>
      </c>
      <c r="AD74" s="75">
        <v>40</v>
      </c>
      <c r="AE74" s="75">
        <v>11</v>
      </c>
      <c r="AF74" s="75">
        <v>0</v>
      </c>
      <c r="AG74" s="75">
        <v>60</v>
      </c>
      <c r="AH74" s="75">
        <v>70</v>
      </c>
      <c r="AI74" s="75">
        <v>22</v>
      </c>
      <c r="AJ74" s="75">
        <v>1</v>
      </c>
      <c r="AK74" s="75">
        <v>0</v>
      </c>
      <c r="AL74" s="75">
        <v>41</v>
      </c>
      <c r="AM74" s="75">
        <v>26</v>
      </c>
      <c r="AN74" s="68">
        <f>'O.G.Chem Results'!AN74/'O.G.Chem Results'!$AN$142</f>
        <v>7.6923076923076916</v>
      </c>
      <c r="AO74" s="75">
        <v>271</v>
      </c>
      <c r="AP74" s="75">
        <v>5</v>
      </c>
      <c r="AQ74" s="75" t="s">
        <v>72</v>
      </c>
      <c r="AR74" s="75" t="s">
        <v>74</v>
      </c>
      <c r="AS74" s="75" t="s">
        <v>73</v>
      </c>
      <c r="AT74" s="75">
        <v>1</v>
      </c>
      <c r="AU74" s="75" t="s">
        <v>74</v>
      </c>
      <c r="AV74" s="75">
        <v>1.8</v>
      </c>
      <c r="AW74" s="75">
        <v>271</v>
      </c>
      <c r="AX74" s="75" t="s">
        <v>75</v>
      </c>
      <c r="AY74" s="68">
        <f>'O.G.Chem Results'!AY74/'O.G.Chem Results'!AY$142</f>
        <v>73.191489361702125</v>
      </c>
      <c r="AZ74" s="68">
        <f>'O.G.Chem Results'!AZ74/'O.G.Chem Results'!AZ$142</f>
        <v>59.847480106100789</v>
      </c>
      <c r="BA74" s="68">
        <f>'O.G.Chem Results'!BA74/'O.G.Chem Results'!BA$142</f>
        <v>59.483726150392819</v>
      </c>
      <c r="BB74" s="68">
        <f>'O.G.Chem Results'!BB74/'O.G.Chem Results'!BB$142</f>
        <v>46.64014146772768</v>
      </c>
      <c r="BC74" s="68">
        <f>'O.G.Chem Results'!BC74/'O.G.Chem Results'!BC$142</f>
        <v>30.59143439836846</v>
      </c>
      <c r="BD74" s="68">
        <f>'O.G.Chem Results'!BD74/'O.G.Chem Results'!BD$142</f>
        <v>21.785714285714285</v>
      </c>
      <c r="BE74" s="68">
        <f>'O.G.Chem Results'!BE74/'O.G.Chem Results'!BE$142</f>
        <v>19.886363636363637</v>
      </c>
      <c r="BF74" s="68">
        <f>'O.G.Chem Results'!BF74/'O.G.Chem Results'!BF$142</f>
        <v>13.774104683195592</v>
      </c>
      <c r="BG74" s="68">
        <f>'O.G.Chem Results'!BG74/'O.G.Chem Results'!BG$142</f>
        <v>13.185002060156572</v>
      </c>
      <c r="BH74" s="68">
        <f>'O.G.Chem Results'!BH74/'O.G.Chem Results'!BH$142</f>
        <v>10.791366906474819</v>
      </c>
      <c r="BI74" s="68">
        <f>'O.G.Chem Results'!BI74/'O.G.Chem Results'!BI$142</f>
        <v>11.32787916928886</v>
      </c>
      <c r="BJ74" s="68">
        <f>'O.G.Chem Results'!BJ74/'O.G.Chem Results'!BJ$142</f>
        <v>11.5702479338843</v>
      </c>
      <c r="BK74" s="68">
        <f>'O.G.Chem Results'!BK74/'O.G.Chem Results'!BK$142</f>
        <v>12.923076923076923</v>
      </c>
      <c r="BL74" s="68">
        <f>'O.G.Chem Results'!BL74/'O.G.Chem Results'!BL$142</f>
        <v>13.991769547325102</v>
      </c>
      <c r="BM74" s="75">
        <v>6.4</v>
      </c>
      <c r="BN74" s="75">
        <v>0.3</v>
      </c>
      <c r="BO74" s="75">
        <v>0</v>
      </c>
      <c r="BP74" s="75">
        <v>0</v>
      </c>
      <c r="BQ74" s="75">
        <v>101</v>
      </c>
      <c r="BR74" s="75">
        <v>11</v>
      </c>
      <c r="BS74" s="75">
        <v>1.8</v>
      </c>
      <c r="BT74" s="76">
        <f t="shared" si="32"/>
        <v>0.44984924601798437</v>
      </c>
      <c r="BU74" s="281">
        <f t="shared" si="33"/>
        <v>398.98979662977194</v>
      </c>
      <c r="BV74" s="77">
        <f t="shared" si="34"/>
        <v>450</v>
      </c>
      <c r="BW74" s="78">
        <f t="shared" si="30"/>
        <v>95.486725663716811</v>
      </c>
      <c r="BX74" s="69">
        <f t="shared" si="36"/>
        <v>1.0061151844252039</v>
      </c>
      <c r="BY74" s="76">
        <v>10.28</v>
      </c>
      <c r="BZ74" s="76">
        <v>1.02</v>
      </c>
      <c r="CA74" s="76">
        <v>28.8</v>
      </c>
      <c r="CB74" s="76">
        <v>1.748</v>
      </c>
      <c r="CC74" s="76">
        <v>0.152</v>
      </c>
      <c r="CD74" s="76">
        <v>0</v>
      </c>
      <c r="CE74" s="76">
        <v>0</v>
      </c>
      <c r="CF74" s="76">
        <v>0</v>
      </c>
      <c r="CG74" s="76">
        <v>0</v>
      </c>
      <c r="CH74" s="76">
        <v>4.47</v>
      </c>
      <c r="CI74" s="76">
        <v>0</v>
      </c>
      <c r="CJ74" s="76">
        <v>0</v>
      </c>
      <c r="CK74" s="76">
        <v>34.96</v>
      </c>
      <c r="CL74" s="76">
        <v>15.71</v>
      </c>
      <c r="CM74" s="76">
        <v>0</v>
      </c>
      <c r="CN74" s="76">
        <v>0</v>
      </c>
      <c r="CO74" s="76">
        <v>0.12</v>
      </c>
      <c r="CP74" s="76">
        <v>2.76</v>
      </c>
      <c r="CQ74" s="76">
        <v>0</v>
      </c>
      <c r="CR74" s="76">
        <v>0</v>
      </c>
      <c r="CS74" s="76">
        <v>0</v>
      </c>
      <c r="CT74" s="76">
        <v>0</v>
      </c>
      <c r="CU74" s="76">
        <v>0</v>
      </c>
      <c r="CV74" s="76">
        <v>0</v>
      </c>
      <c r="CW74" s="76">
        <v>0</v>
      </c>
      <c r="CX74" s="76">
        <v>0</v>
      </c>
      <c r="CY74" s="281">
        <v>100.02000000000002</v>
      </c>
      <c r="CZ74" s="285">
        <v>0.32461677186654642</v>
      </c>
      <c r="DA74" s="285">
        <v>1.9702434625788995E-2</v>
      </c>
      <c r="DB74" s="285">
        <v>1.7132551848512169E-3</v>
      </c>
      <c r="DC74" s="285">
        <v>0</v>
      </c>
      <c r="DD74" s="285">
        <v>0</v>
      </c>
      <c r="DE74" s="285">
        <v>0</v>
      </c>
      <c r="DF74" s="285">
        <v>0</v>
      </c>
      <c r="DG74" s="285">
        <v>5.0383228133453549E-2</v>
      </c>
      <c r="DH74" s="285">
        <v>0</v>
      </c>
      <c r="DI74" s="285">
        <v>0</v>
      </c>
      <c r="DJ74" s="285">
        <v>0.39404869251577995</v>
      </c>
      <c r="DK74" s="285">
        <v>0.17707394048692515</v>
      </c>
      <c r="DL74" s="285">
        <v>0</v>
      </c>
      <c r="DM74" s="285">
        <v>0</v>
      </c>
      <c r="DN74" s="285">
        <v>1.3525698827772765E-3</v>
      </c>
      <c r="DO74" s="285">
        <v>3.1109107303877361E-2</v>
      </c>
      <c r="DP74" s="285">
        <v>0</v>
      </c>
      <c r="DQ74" s="285">
        <v>0</v>
      </c>
      <c r="DR74" s="285">
        <v>0</v>
      </c>
      <c r="DS74" s="285">
        <v>0</v>
      </c>
      <c r="DT74" s="285">
        <v>0</v>
      </c>
      <c r="DU74" s="285">
        <v>0</v>
      </c>
      <c r="DV74" s="285">
        <v>0</v>
      </c>
      <c r="DW74" s="285">
        <v>0</v>
      </c>
      <c r="DX74" s="76">
        <v>1</v>
      </c>
      <c r="DY74" s="78">
        <v>61.999127142216693</v>
      </c>
      <c r="DZ74" s="78">
        <v>23.604159775524518</v>
      </c>
      <c r="EA74" s="78">
        <v>4.8181407393597455</v>
      </c>
      <c r="EB74" s="78">
        <v>0.1606660835347351</v>
      </c>
      <c r="EC74" s="78">
        <v>0</v>
      </c>
      <c r="ED74" s="78">
        <v>8.4788760221402359E-2</v>
      </c>
      <c r="EE74" s="78">
        <v>1.8634581433205733E-4</v>
      </c>
      <c r="EF74" s="78">
        <v>2.0254750764330375E-2</v>
      </c>
      <c r="EG74" s="78">
        <v>0.70206194804466449</v>
      </c>
      <c r="EH74" s="78">
        <v>2.9205630767225148E-3</v>
      </c>
      <c r="EI74" s="78">
        <v>0</v>
      </c>
      <c r="EJ74" s="78">
        <v>8.6076938914428585</v>
      </c>
      <c r="EK74" s="78">
        <v>0</v>
      </c>
      <c r="EL74" s="78">
        <v>100</v>
      </c>
      <c r="EM74" s="76">
        <v>97.029995236235465</v>
      </c>
      <c r="EN74" s="76" t="s">
        <v>159</v>
      </c>
      <c r="EO74" s="289">
        <v>4.993266770412607E-2</v>
      </c>
      <c r="EP74" s="257">
        <f t="shared" si="37"/>
        <v>4.9932667704126068</v>
      </c>
      <c r="EQ74" s="257">
        <f t="shared" si="38"/>
        <v>92.02269692923899</v>
      </c>
      <c r="ER74" s="324">
        <f t="shared" si="39"/>
        <v>0.86318005673402232</v>
      </c>
      <c r="ES74" s="257">
        <f t="shared" si="40"/>
        <v>0.93016028411787677</v>
      </c>
      <c r="ET74">
        <f t="shared" si="35"/>
        <v>450</v>
      </c>
      <c r="EU74" s="324">
        <f t="shared" si="41"/>
        <v>0.92799066082747705</v>
      </c>
      <c r="EV74" s="39">
        <f t="shared" si="42"/>
        <v>156.5</v>
      </c>
      <c r="EW74"/>
      <c r="EX74">
        <f t="shared" si="43"/>
        <v>0.71282051282051284</v>
      </c>
      <c r="EY74"/>
      <c r="EZ74"/>
      <c r="FA74"/>
      <c r="FB74"/>
      <c r="FC74"/>
      <c r="FD74"/>
    </row>
    <row r="75" spans="1:160" s="77" customFormat="1" ht="13" customHeight="1" x14ac:dyDescent="0.2">
      <c r="A75" s="72" t="s">
        <v>160</v>
      </c>
      <c r="B75" s="73" t="s">
        <v>461</v>
      </c>
      <c r="C75" s="276">
        <f t="shared" si="29"/>
        <v>155.5</v>
      </c>
      <c r="D75" s="74">
        <v>500</v>
      </c>
      <c r="E75" s="74">
        <v>600</v>
      </c>
      <c r="F75" s="75">
        <f t="shared" si="31"/>
        <v>550</v>
      </c>
      <c r="G75" s="73" t="s">
        <v>506</v>
      </c>
      <c r="H75" s="84">
        <v>5</v>
      </c>
      <c r="I75" s="85">
        <v>4</v>
      </c>
      <c r="J75" s="85">
        <v>6</v>
      </c>
      <c r="K75" s="89">
        <f t="shared" si="20"/>
        <v>3.3333333333333335</v>
      </c>
      <c r="L75" s="75">
        <v>136</v>
      </c>
      <c r="M75" s="75">
        <v>83</v>
      </c>
      <c r="N75" s="75">
        <v>47</v>
      </c>
      <c r="O75" s="75">
        <v>60.15</v>
      </c>
      <c r="P75" s="75">
        <v>20.05</v>
      </c>
      <c r="Q75" s="75">
        <v>8.1</v>
      </c>
      <c r="R75" s="75">
        <v>0.14799999999999999</v>
      </c>
      <c r="S75" s="75">
        <v>0.96</v>
      </c>
      <c r="T75" s="75">
        <v>0.02</v>
      </c>
      <c r="U75" s="75">
        <v>0.12</v>
      </c>
      <c r="V75" s="75">
        <v>2.2599999999999998</v>
      </c>
      <c r="W75" s="75">
        <v>0.60399999999999998</v>
      </c>
      <c r="X75" s="75">
        <v>0.03</v>
      </c>
      <c r="Y75" s="75">
        <v>8.01</v>
      </c>
      <c r="Z75" s="75">
        <v>100.4</v>
      </c>
      <c r="AA75" s="75">
        <v>26</v>
      </c>
      <c r="AB75" s="75">
        <v>1</v>
      </c>
      <c r="AC75" s="75">
        <v>117</v>
      </c>
      <c r="AD75" s="75">
        <v>30</v>
      </c>
      <c r="AE75" s="75">
        <v>32</v>
      </c>
      <c r="AF75" s="75">
        <v>0</v>
      </c>
      <c r="AG75" s="75">
        <v>40</v>
      </c>
      <c r="AH75" s="75">
        <v>90</v>
      </c>
      <c r="AI75" s="75">
        <v>19</v>
      </c>
      <c r="AJ75" s="75">
        <v>2</v>
      </c>
      <c r="AK75" s="75">
        <v>0</v>
      </c>
      <c r="AL75" s="75">
        <v>89</v>
      </c>
      <c r="AM75" s="75">
        <v>95</v>
      </c>
      <c r="AN75" s="68">
        <f>'O.G.Chem Results'!AN75/'O.G.Chem Results'!$AN$142</f>
        <v>7.0512820512820511</v>
      </c>
      <c r="AO75" s="75">
        <v>206</v>
      </c>
      <c r="AP75" s="75">
        <v>3</v>
      </c>
      <c r="AQ75" s="75" t="s">
        <v>72</v>
      </c>
      <c r="AR75" s="75" t="s">
        <v>74</v>
      </c>
      <c r="AS75" s="75" t="s">
        <v>73</v>
      </c>
      <c r="AT75" s="75">
        <v>0</v>
      </c>
      <c r="AU75" s="75" t="s">
        <v>74</v>
      </c>
      <c r="AV75" s="75">
        <v>1.8</v>
      </c>
      <c r="AW75" s="75">
        <v>1169</v>
      </c>
      <c r="AX75" s="75" t="s">
        <v>75</v>
      </c>
      <c r="AY75" s="68">
        <f>'O.G.Chem Results'!AY75/'O.G.Chem Results'!AY$142</f>
        <v>86.382978723404264</v>
      </c>
      <c r="AZ75" s="68">
        <f>'O.G.Chem Results'!AZ75/'O.G.Chem Results'!AZ$142</f>
        <v>135.61007957559679</v>
      </c>
      <c r="BA75" s="68">
        <f>'O.G.Chem Results'!BA75/'O.G.Chem Results'!BA$142</f>
        <v>60.830527497194161</v>
      </c>
      <c r="BB75" s="68">
        <f>'O.G.Chem Results'!BB75/'O.G.Chem Results'!BB$142</f>
        <v>45.755968169761275</v>
      </c>
      <c r="BC75" s="68">
        <f>'O.G.Chem Results'!BC75/'O.G.Chem Results'!BC$142</f>
        <v>29.231815091774305</v>
      </c>
      <c r="BD75" s="68">
        <f>'O.G.Chem Results'!BD75/'O.G.Chem Results'!BD$142</f>
        <v>20.892857142857142</v>
      </c>
      <c r="BE75" s="68">
        <f>'O.G.Chem Results'!BE75/'O.G.Chem Results'!BE$142</f>
        <v>18.75</v>
      </c>
      <c r="BF75" s="68">
        <f>'O.G.Chem Results'!BF75/'O.G.Chem Results'!BF$142</f>
        <v>13.774104683195592</v>
      </c>
      <c r="BG75" s="68">
        <f>'O.G.Chem Results'!BG75/'O.G.Chem Results'!BG$142</f>
        <v>11.124845488257108</v>
      </c>
      <c r="BH75" s="68">
        <f>'O.G.Chem Results'!BH75/'O.G.Chem Results'!BH$142</f>
        <v>8.9928057553956826</v>
      </c>
      <c r="BI75" s="68">
        <f>'O.G.Chem Results'!BI75/'O.G.Chem Results'!BI$142</f>
        <v>10.698552548772811</v>
      </c>
      <c r="BJ75" s="68">
        <f>'O.G.Chem Results'!BJ75/'O.G.Chem Results'!BJ$142</f>
        <v>10.743801652892563</v>
      </c>
      <c r="BK75" s="68">
        <f>'O.G.Chem Results'!BK75/'O.G.Chem Results'!BK$142</f>
        <v>11.076923076923077</v>
      </c>
      <c r="BL75" s="68">
        <f>'O.G.Chem Results'!BL75/'O.G.Chem Results'!BL$142</f>
        <v>12.345679012345677</v>
      </c>
      <c r="BM75" s="75">
        <v>4.8</v>
      </c>
      <c r="BN75" s="75">
        <v>0.1</v>
      </c>
      <c r="BO75" s="75">
        <v>0</v>
      </c>
      <c r="BP75" s="75">
        <v>0</v>
      </c>
      <c r="BQ75" s="75">
        <v>16</v>
      </c>
      <c r="BR75" s="75">
        <v>14.8</v>
      </c>
      <c r="BS75" s="75">
        <v>0.9</v>
      </c>
      <c r="BT75" s="76">
        <f t="shared" si="32"/>
        <v>0.6108753157179555</v>
      </c>
      <c r="BU75" s="281">
        <f t="shared" si="33"/>
        <v>476.21093841837052</v>
      </c>
      <c r="BV75" s="77">
        <f t="shared" si="34"/>
        <v>550</v>
      </c>
      <c r="BW75" s="78">
        <f t="shared" si="30"/>
        <v>89.309576837416472</v>
      </c>
      <c r="BX75" s="69">
        <f t="shared" si="36"/>
        <v>2.2293096107353643</v>
      </c>
      <c r="BY75" s="76">
        <v>11.06</v>
      </c>
      <c r="BZ75" s="76">
        <v>0.39</v>
      </c>
      <c r="CA75" s="76">
        <v>37.159999999999997</v>
      </c>
      <c r="CB75" s="76">
        <v>2.76E-2</v>
      </c>
      <c r="CC75" s="76">
        <v>2.3999999999999998E-3</v>
      </c>
      <c r="CD75" s="76">
        <v>0</v>
      </c>
      <c r="CE75" s="76">
        <v>0</v>
      </c>
      <c r="CF75" s="76">
        <v>0</v>
      </c>
      <c r="CG75" s="76">
        <v>0</v>
      </c>
      <c r="CH75" s="76">
        <v>4.63</v>
      </c>
      <c r="CI75" s="76">
        <v>0</v>
      </c>
      <c r="CJ75" s="76">
        <v>0</v>
      </c>
      <c r="CK75" s="76">
        <v>18.63</v>
      </c>
      <c r="CL75" s="76">
        <v>18.82</v>
      </c>
      <c r="CM75" s="76">
        <v>0</v>
      </c>
      <c r="CN75" s="76">
        <v>0</v>
      </c>
      <c r="CO75" s="76">
        <v>0.69</v>
      </c>
      <c r="CP75" s="76">
        <v>8.59</v>
      </c>
      <c r="CQ75" s="76">
        <v>0</v>
      </c>
      <c r="CR75" s="76">
        <v>0</v>
      </c>
      <c r="CS75" s="76">
        <v>0</v>
      </c>
      <c r="CT75" s="76">
        <v>0</v>
      </c>
      <c r="CU75" s="76">
        <v>0</v>
      </c>
      <c r="CV75" s="76">
        <v>0</v>
      </c>
      <c r="CW75" s="76">
        <v>0</v>
      </c>
      <c r="CX75" s="76">
        <v>0</v>
      </c>
      <c r="CY75" s="281">
        <v>100</v>
      </c>
      <c r="CZ75" s="285">
        <v>0.41964991530208912</v>
      </c>
      <c r="DA75" s="285">
        <v>3.1168831168831162E-4</v>
      </c>
      <c r="DB75" s="285">
        <v>2.7103331451157534E-5</v>
      </c>
      <c r="DC75" s="285">
        <v>0</v>
      </c>
      <c r="DD75" s="285">
        <v>0</v>
      </c>
      <c r="DE75" s="285">
        <v>0</v>
      </c>
      <c r="DF75" s="285">
        <v>0</v>
      </c>
      <c r="DG75" s="285">
        <v>5.2286843591191408E-2</v>
      </c>
      <c r="DH75" s="285">
        <v>0</v>
      </c>
      <c r="DI75" s="285">
        <v>0</v>
      </c>
      <c r="DJ75" s="285">
        <v>0.21038961038961035</v>
      </c>
      <c r="DK75" s="285">
        <v>0.21253529079616035</v>
      </c>
      <c r="DL75" s="285">
        <v>0</v>
      </c>
      <c r="DM75" s="285">
        <v>0</v>
      </c>
      <c r="DN75" s="285">
        <v>7.7922077922077905E-3</v>
      </c>
      <c r="DO75" s="285">
        <v>9.7007340485601334E-2</v>
      </c>
      <c r="DP75" s="285">
        <v>0</v>
      </c>
      <c r="DQ75" s="285">
        <v>0</v>
      </c>
      <c r="DR75" s="285">
        <v>0</v>
      </c>
      <c r="DS75" s="285">
        <v>0</v>
      </c>
      <c r="DT75" s="285">
        <v>0</v>
      </c>
      <c r="DU75" s="285">
        <v>0</v>
      </c>
      <c r="DV75" s="285">
        <v>0</v>
      </c>
      <c r="DW75" s="285">
        <v>0</v>
      </c>
      <c r="DX75" s="76">
        <v>0.99999999999999989</v>
      </c>
      <c r="DY75" s="78">
        <v>66.96344867991229</v>
      </c>
      <c r="DZ75" s="78">
        <v>19.413008431985212</v>
      </c>
      <c r="EA75" s="78">
        <v>4.6947494587312146</v>
      </c>
      <c r="EB75" s="78">
        <v>0.55662433412917123</v>
      </c>
      <c r="EC75" s="78">
        <v>0</v>
      </c>
      <c r="ED75" s="78">
        <v>0.2842149900617017</v>
      </c>
      <c r="EE75" s="78">
        <v>1.0735454965935145E-3</v>
      </c>
      <c r="EF75" s="78">
        <v>3.2042583514720632E-4</v>
      </c>
      <c r="EG75" s="78">
        <v>1.1741184691997042</v>
      </c>
      <c r="EH75" s="78">
        <v>1.682547767317023E-2</v>
      </c>
      <c r="EI75" s="78">
        <v>0</v>
      </c>
      <c r="EJ75" s="78">
        <v>6.8956161869757917</v>
      </c>
      <c r="EK75" s="78">
        <v>0</v>
      </c>
      <c r="EL75" s="78">
        <v>99.999999999999986</v>
      </c>
      <c r="EM75" s="76">
        <v>94.290447342914163</v>
      </c>
      <c r="EN75" s="76" t="s">
        <v>160</v>
      </c>
      <c r="EO75" s="289">
        <v>5.3014699829320118E-2</v>
      </c>
      <c r="EP75" s="257">
        <f t="shared" si="37"/>
        <v>5.3014699829320122</v>
      </c>
      <c r="EQ75" s="257">
        <f t="shared" si="38"/>
        <v>81.883634948433539</v>
      </c>
      <c r="ER75" s="324">
        <f t="shared" si="39"/>
        <v>0.87086564369837183</v>
      </c>
      <c r="ES75" s="257">
        <f t="shared" si="40"/>
        <v>1.8617364714268367</v>
      </c>
      <c r="ET75">
        <f t="shared" si="35"/>
        <v>550</v>
      </c>
      <c r="EU75" s="324">
        <f t="shared" si="41"/>
        <v>0.46777063084064713</v>
      </c>
      <c r="EV75" s="39">
        <f t="shared" si="42"/>
        <v>155.5</v>
      </c>
      <c r="EW75"/>
      <c r="EX75">
        <f t="shared" si="43"/>
        <v>0.78410256410256418</v>
      </c>
      <c r="EY75"/>
      <c r="EZ75"/>
      <c r="FA75"/>
      <c r="FB75"/>
      <c r="FC75"/>
      <c r="FD75"/>
    </row>
    <row r="76" spans="1:160" s="77" customFormat="1" ht="13" customHeight="1" x14ac:dyDescent="0.2">
      <c r="A76" s="72" t="s">
        <v>161</v>
      </c>
      <c r="B76" s="73" t="s">
        <v>461</v>
      </c>
      <c r="C76" s="276">
        <f t="shared" si="29"/>
        <v>154.5</v>
      </c>
      <c r="D76" s="74">
        <v>600</v>
      </c>
      <c r="E76" s="74">
        <v>700</v>
      </c>
      <c r="F76" s="75">
        <f t="shared" si="31"/>
        <v>650</v>
      </c>
      <c r="G76" s="73" t="s">
        <v>508</v>
      </c>
      <c r="H76" s="84">
        <v>7.5</v>
      </c>
      <c r="I76" s="85">
        <v>5</v>
      </c>
      <c r="J76" s="85">
        <v>6</v>
      </c>
      <c r="K76" s="89">
        <f t="shared" si="20"/>
        <v>6.25</v>
      </c>
      <c r="L76" s="75">
        <v>161</v>
      </c>
      <c r="M76" s="75">
        <v>111</v>
      </c>
      <c r="N76" s="75">
        <v>63</v>
      </c>
      <c r="O76" s="75">
        <v>55.89</v>
      </c>
      <c r="P76" s="75">
        <v>20.94</v>
      </c>
      <c r="Q76" s="75">
        <v>9.8000000000000007</v>
      </c>
      <c r="R76" s="75">
        <v>0.159</v>
      </c>
      <c r="S76" s="75">
        <v>1.27</v>
      </c>
      <c r="T76" s="75">
        <v>0.08</v>
      </c>
      <c r="U76" s="75">
        <v>0.09</v>
      </c>
      <c r="V76" s="75">
        <v>0.96</v>
      </c>
      <c r="W76" s="75">
        <v>0.71</v>
      </c>
      <c r="X76" s="75">
        <v>0.03</v>
      </c>
      <c r="Y76" s="75">
        <v>9.4</v>
      </c>
      <c r="Z76" s="75">
        <v>99.33</v>
      </c>
      <c r="AA76" s="75">
        <v>30</v>
      </c>
      <c r="AB76" s="75">
        <v>1</v>
      </c>
      <c r="AC76" s="75">
        <v>151</v>
      </c>
      <c r="AD76" s="75">
        <v>20</v>
      </c>
      <c r="AE76" s="75">
        <v>27</v>
      </c>
      <c r="AF76" s="75">
        <v>0</v>
      </c>
      <c r="AG76" s="75">
        <v>60</v>
      </c>
      <c r="AH76" s="75">
        <v>140</v>
      </c>
      <c r="AI76" s="75">
        <v>19</v>
      </c>
      <c r="AJ76" s="75">
        <v>2</v>
      </c>
      <c r="AK76" s="75">
        <v>0</v>
      </c>
      <c r="AL76" s="75">
        <v>52</v>
      </c>
      <c r="AM76" s="75">
        <v>4</v>
      </c>
      <c r="AN76" s="68">
        <f>'O.G.Chem Results'!AN76/'O.G.Chem Results'!$AN$142</f>
        <v>12.179487179487179</v>
      </c>
      <c r="AO76" s="75">
        <v>160</v>
      </c>
      <c r="AP76" s="75">
        <v>3</v>
      </c>
      <c r="AQ76" s="75" t="s">
        <v>72</v>
      </c>
      <c r="AR76" s="75" t="s">
        <v>74</v>
      </c>
      <c r="AS76" s="75" t="s">
        <v>73</v>
      </c>
      <c r="AT76" s="75">
        <v>0</v>
      </c>
      <c r="AU76" s="75" t="s">
        <v>74</v>
      </c>
      <c r="AV76" s="75">
        <v>2.2999999999999998</v>
      </c>
      <c r="AW76" s="75">
        <v>262</v>
      </c>
      <c r="AX76" s="75" t="s">
        <v>75</v>
      </c>
      <c r="AY76" s="68">
        <f>'O.G.Chem Results'!AY76/'O.G.Chem Results'!AY$142</f>
        <v>93.61702127659575</v>
      </c>
      <c r="AZ76" s="68">
        <f>'O.G.Chem Results'!AZ76/'O.G.Chem Results'!AZ$142</f>
        <v>44.263925729442967</v>
      </c>
      <c r="BA76" s="68">
        <f>'O.G.Chem Results'!BA76/'O.G.Chem Results'!BA$142</f>
        <v>62.177328843995511</v>
      </c>
      <c r="BB76" s="68">
        <f>'O.G.Chem Results'!BB76/'O.G.Chem Results'!BB$142</f>
        <v>47.966401414677279</v>
      </c>
      <c r="BC76" s="68">
        <f>'O.G.Chem Results'!BC76/'O.G.Chem Results'!BC$142</f>
        <v>32.630863358259688</v>
      </c>
      <c r="BD76" s="68">
        <f>'O.G.Chem Results'!BD76/'O.G.Chem Results'!BD$142</f>
        <v>24.285714285714288</v>
      </c>
      <c r="BE76" s="68">
        <f>'O.G.Chem Results'!BE76/'O.G.Chem Results'!BE$142</f>
        <v>25.000000000000004</v>
      </c>
      <c r="BF76" s="68">
        <f>'O.G.Chem Results'!BF76/'O.G.Chem Results'!BF$142</f>
        <v>19.28374655647383</v>
      </c>
      <c r="BG76" s="68">
        <f>'O.G.Chem Results'!BG76/'O.G.Chem Results'!BG$142</f>
        <v>15.657189946435928</v>
      </c>
      <c r="BH76" s="68">
        <f>'O.G.Chem Results'!BH76/'O.G.Chem Results'!BH$142</f>
        <v>14.388489208633093</v>
      </c>
      <c r="BI76" s="68">
        <f>'O.G.Chem Results'!BI76/'O.G.Chem Results'!BI$142</f>
        <v>14.474512271869097</v>
      </c>
      <c r="BJ76" s="68">
        <f>'O.G.Chem Results'!BJ76/'O.G.Chem Results'!BJ$142</f>
        <v>14.049586776859506</v>
      </c>
      <c r="BK76" s="68">
        <f>'O.G.Chem Results'!BK76/'O.G.Chem Results'!BK$142</f>
        <v>14.769230769230768</v>
      </c>
      <c r="BL76" s="68">
        <f>'O.G.Chem Results'!BL76/'O.G.Chem Results'!BL$142</f>
        <v>15.637860082304526</v>
      </c>
      <c r="BM76" s="75">
        <v>3.7</v>
      </c>
      <c r="BN76" s="75">
        <v>0.2</v>
      </c>
      <c r="BO76" s="75">
        <v>0</v>
      </c>
      <c r="BP76" s="75">
        <v>0</v>
      </c>
      <c r="BQ76" s="75">
        <v>42</v>
      </c>
      <c r="BR76" s="75">
        <v>2.5</v>
      </c>
      <c r="BS76" s="75">
        <v>0.6</v>
      </c>
      <c r="BT76" s="76">
        <f t="shared" si="32"/>
        <v>0.32103003852667444</v>
      </c>
      <c r="BU76" s="281">
        <f t="shared" si="33"/>
        <v>438.20187052049226</v>
      </c>
      <c r="BV76" s="77">
        <f t="shared" si="34"/>
        <v>650</v>
      </c>
      <c r="BW76" s="78">
        <f t="shared" si="30"/>
        <v>94.879927503398278</v>
      </c>
      <c r="BX76" s="69">
        <f t="shared" si="36"/>
        <v>0.71189815568472348</v>
      </c>
      <c r="BY76" s="76">
        <v>12.97</v>
      </c>
      <c r="BZ76" s="76">
        <v>0</v>
      </c>
      <c r="CA76" s="76">
        <v>39.340000000000003</v>
      </c>
      <c r="CB76" s="76">
        <v>0</v>
      </c>
      <c r="CC76" s="76">
        <v>0</v>
      </c>
      <c r="CD76" s="76">
        <v>0</v>
      </c>
      <c r="CE76" s="76">
        <v>0</v>
      </c>
      <c r="CF76" s="76">
        <v>0</v>
      </c>
      <c r="CG76" s="76">
        <v>0</v>
      </c>
      <c r="CH76" s="76">
        <v>5.01</v>
      </c>
      <c r="CI76" s="76">
        <v>0</v>
      </c>
      <c r="CJ76" s="76">
        <v>0</v>
      </c>
      <c r="CK76" s="76">
        <v>19.05</v>
      </c>
      <c r="CL76" s="76">
        <v>19.25</v>
      </c>
      <c r="CM76" s="76">
        <v>0</v>
      </c>
      <c r="CN76" s="76">
        <v>0</v>
      </c>
      <c r="CO76" s="76">
        <v>0.73</v>
      </c>
      <c r="CP76" s="76">
        <v>3.65</v>
      </c>
      <c r="CQ76" s="76">
        <v>0</v>
      </c>
      <c r="CR76" s="76">
        <v>0</v>
      </c>
      <c r="CS76" s="76">
        <v>0</v>
      </c>
      <c r="CT76" s="76">
        <v>0</v>
      </c>
      <c r="CU76" s="76">
        <v>0</v>
      </c>
      <c r="CV76" s="76">
        <v>0</v>
      </c>
      <c r="CW76" s="76">
        <v>0</v>
      </c>
      <c r="CX76" s="76">
        <v>0</v>
      </c>
      <c r="CY76" s="281">
        <v>100.00000000000001</v>
      </c>
      <c r="CZ76" s="285">
        <v>0.45202803630931859</v>
      </c>
      <c r="DA76" s="285">
        <v>0</v>
      </c>
      <c r="DB76" s="285">
        <v>0</v>
      </c>
      <c r="DC76" s="285">
        <v>0</v>
      </c>
      <c r="DD76" s="285">
        <v>0</v>
      </c>
      <c r="DE76" s="285">
        <v>0</v>
      </c>
      <c r="DF76" s="285">
        <v>0</v>
      </c>
      <c r="DG76" s="285">
        <v>5.7566356428817633E-2</v>
      </c>
      <c r="DH76" s="285">
        <v>0</v>
      </c>
      <c r="DI76" s="285">
        <v>0</v>
      </c>
      <c r="DJ76" s="285">
        <v>0.2188900379179593</v>
      </c>
      <c r="DK76" s="285">
        <v>0.22118809605883025</v>
      </c>
      <c r="DL76" s="285">
        <v>0</v>
      </c>
      <c r="DM76" s="285">
        <v>0</v>
      </c>
      <c r="DN76" s="285">
        <v>8.3879122141790174E-3</v>
      </c>
      <c r="DO76" s="285">
        <v>4.1939561070895089E-2</v>
      </c>
      <c r="DP76" s="285">
        <v>0</v>
      </c>
      <c r="DQ76" s="285">
        <v>0</v>
      </c>
      <c r="DR76" s="285">
        <v>0</v>
      </c>
      <c r="DS76" s="285">
        <v>0</v>
      </c>
      <c r="DT76" s="285">
        <v>0</v>
      </c>
      <c r="DU76" s="285">
        <v>0</v>
      </c>
      <c r="DV76" s="285">
        <v>0</v>
      </c>
      <c r="DW76" s="285">
        <v>0</v>
      </c>
      <c r="DX76" s="76">
        <v>1</v>
      </c>
      <c r="DY76" s="78">
        <v>68.145785868389922</v>
      </c>
      <c r="DZ76" s="78">
        <v>18.735982183231759</v>
      </c>
      <c r="EA76" s="78">
        <v>5.1491850282283123</v>
      </c>
      <c r="EB76" s="78">
        <v>0.31874591804666386</v>
      </c>
      <c r="EC76" s="78">
        <v>0</v>
      </c>
      <c r="ED76" s="78">
        <v>0.15070392169728744</v>
      </c>
      <c r="EE76" s="78">
        <v>1.1556166908637149E-3</v>
      </c>
      <c r="EF76" s="78">
        <v>0</v>
      </c>
      <c r="EG76" s="78">
        <v>0.53262142250534583</v>
      </c>
      <c r="EH76" s="78">
        <v>1.8111764142803216E-2</v>
      </c>
      <c r="EI76" s="78">
        <v>0</v>
      </c>
      <c r="EJ76" s="78">
        <v>6.9477082770670471</v>
      </c>
      <c r="EK76" s="78">
        <v>0</v>
      </c>
      <c r="EL76" s="78">
        <v>99.999999999999986</v>
      </c>
      <c r="EM76" s="76">
        <v>97.229975564121474</v>
      </c>
      <c r="EN76" s="76" t="s">
        <v>161</v>
      </c>
      <c r="EO76" s="289">
        <v>5.4966180788991757E-2</v>
      </c>
      <c r="EP76" s="257">
        <f t="shared" si="37"/>
        <v>5.4966180788991759</v>
      </c>
      <c r="EQ76" s="257">
        <f t="shared" si="38"/>
        <v>90.815684629901455</v>
      </c>
      <c r="ER76" s="324">
        <f t="shared" si="39"/>
        <v>0.84280237603741004</v>
      </c>
      <c r="ES76" s="257">
        <f t="shared" si="40"/>
        <v>0.56458982367596999</v>
      </c>
      <c r="ET76">
        <f t="shared" si="35"/>
        <v>650</v>
      </c>
      <c r="EU76" s="324">
        <f t="shared" si="41"/>
        <v>1.4927693357100111</v>
      </c>
      <c r="EV76" s="39">
        <f t="shared" si="42"/>
        <v>154.5</v>
      </c>
      <c r="EW76"/>
      <c r="EX76">
        <f t="shared" si="43"/>
        <v>0.84647435897435896</v>
      </c>
      <c r="EY76"/>
      <c r="EZ76"/>
      <c r="FA76"/>
      <c r="FB76"/>
      <c r="FC76"/>
      <c r="FD76"/>
    </row>
    <row r="77" spans="1:160" s="77" customFormat="1" ht="13" customHeight="1" x14ac:dyDescent="0.2">
      <c r="A77" s="72" t="s">
        <v>162</v>
      </c>
      <c r="B77" s="73" t="s">
        <v>461</v>
      </c>
      <c r="C77" s="276">
        <f t="shared" si="29"/>
        <v>153.5</v>
      </c>
      <c r="D77" s="74">
        <v>700</v>
      </c>
      <c r="E77" s="74">
        <v>800</v>
      </c>
      <c r="F77" s="75">
        <f t="shared" si="31"/>
        <v>750</v>
      </c>
      <c r="G77" s="73" t="s">
        <v>513</v>
      </c>
      <c r="H77" s="84">
        <v>7.5</v>
      </c>
      <c r="I77" s="85">
        <v>4</v>
      </c>
      <c r="J77" s="85">
        <v>6</v>
      </c>
      <c r="K77" s="89">
        <f t="shared" si="20"/>
        <v>5</v>
      </c>
      <c r="L77" s="75">
        <v>132</v>
      </c>
      <c r="M77" s="75">
        <v>86</v>
      </c>
      <c r="N77" s="75">
        <v>40</v>
      </c>
      <c r="O77" s="75">
        <v>51.7</v>
      </c>
      <c r="P77" s="75">
        <v>18.829999999999998</v>
      </c>
      <c r="Q77" s="75">
        <v>14.8</v>
      </c>
      <c r="R77" s="75">
        <v>0.27500000000000002</v>
      </c>
      <c r="S77" s="75">
        <v>2.42</v>
      </c>
      <c r="T77" s="75">
        <v>0.63</v>
      </c>
      <c r="U77" s="75">
        <v>0.12</v>
      </c>
      <c r="V77" s="75">
        <v>1.42</v>
      </c>
      <c r="W77" s="75">
        <v>1.0640000000000001</v>
      </c>
      <c r="X77" s="75">
        <v>0.06</v>
      </c>
      <c r="Y77" s="75">
        <v>9.19</v>
      </c>
      <c r="Z77" s="75">
        <v>100.5</v>
      </c>
      <c r="AA77" s="75">
        <v>47</v>
      </c>
      <c r="AB77" s="75">
        <v>2</v>
      </c>
      <c r="AC77" s="75">
        <v>258</v>
      </c>
      <c r="AD77" s="75">
        <v>40</v>
      </c>
      <c r="AE77" s="75">
        <v>40</v>
      </c>
      <c r="AF77" s="75">
        <v>20</v>
      </c>
      <c r="AG77" s="75">
        <v>80</v>
      </c>
      <c r="AH77" s="75">
        <v>210</v>
      </c>
      <c r="AI77" s="75">
        <v>20</v>
      </c>
      <c r="AJ77" s="75">
        <v>2</v>
      </c>
      <c r="AK77" s="75">
        <v>0</v>
      </c>
      <c r="AL77" s="75">
        <v>75</v>
      </c>
      <c r="AM77" s="75">
        <v>9</v>
      </c>
      <c r="AN77" s="68">
        <f>'O.G.Chem Results'!AN77/'O.G.Chem Results'!$AN$142</f>
        <v>23.076923076923077</v>
      </c>
      <c r="AO77" s="75">
        <v>155</v>
      </c>
      <c r="AP77" s="75">
        <v>4</v>
      </c>
      <c r="AQ77" s="75" t="s">
        <v>72</v>
      </c>
      <c r="AR77" s="75" t="s">
        <v>74</v>
      </c>
      <c r="AS77" s="75" t="s">
        <v>73</v>
      </c>
      <c r="AT77" s="75">
        <v>1</v>
      </c>
      <c r="AU77" s="75" t="s">
        <v>74</v>
      </c>
      <c r="AV77" s="75">
        <v>3.3</v>
      </c>
      <c r="AW77" s="75">
        <v>400</v>
      </c>
      <c r="AX77" s="75" t="s">
        <v>75</v>
      </c>
      <c r="AY77" s="68">
        <f>'O.G.Chem Results'!AY77/'O.G.Chem Results'!AY$142</f>
        <v>125.1063829787234</v>
      </c>
      <c r="AZ77" s="68">
        <f>'O.G.Chem Results'!AZ77/'O.G.Chem Results'!AZ$142</f>
        <v>57.360742705570289</v>
      </c>
      <c r="BA77" s="68">
        <f>'O.G.Chem Results'!BA77/'O.G.Chem Results'!BA$142</f>
        <v>82.154882154882159</v>
      </c>
      <c r="BB77" s="68">
        <f>'O.G.Chem Results'!BB77/'O.G.Chem Results'!BB$142</f>
        <v>63.881520778072506</v>
      </c>
      <c r="BC77" s="68">
        <f>'O.G.Chem Results'!BC77/'O.G.Chem Results'!BC$142</f>
        <v>46.906866077498307</v>
      </c>
      <c r="BD77" s="68">
        <f>'O.G.Chem Results'!BD77/'O.G.Chem Results'!BD$142</f>
        <v>38.214285714285715</v>
      </c>
      <c r="BE77" s="68">
        <f>'O.G.Chem Results'!BE77/'O.G.Chem Results'!BE$142</f>
        <v>43.75</v>
      </c>
      <c r="BF77" s="68">
        <f>'O.G.Chem Results'!BF77/'O.G.Chem Results'!BF$142</f>
        <v>33.057851239669418</v>
      </c>
      <c r="BG77" s="68">
        <f>'O.G.Chem Results'!BG77/'O.G.Chem Results'!BG$142</f>
        <v>29.666254635352288</v>
      </c>
      <c r="BH77" s="68">
        <f>'O.G.Chem Results'!BH77/'O.G.Chem Results'!BH$142</f>
        <v>26.978417266187048</v>
      </c>
      <c r="BI77" s="68">
        <f>'O.G.Chem Results'!BI77/'O.G.Chem Results'!BI$142</f>
        <v>27.061044682190055</v>
      </c>
      <c r="BJ77" s="68">
        <f>'O.G.Chem Results'!BJ77/'O.G.Chem Results'!BJ$142</f>
        <v>25.619834710743802</v>
      </c>
      <c r="BK77" s="68">
        <f>'O.G.Chem Results'!BK77/'O.G.Chem Results'!BK$142</f>
        <v>25.846153846153847</v>
      </c>
      <c r="BL77" s="68">
        <f>'O.G.Chem Results'!BL77/'O.G.Chem Results'!BL$142</f>
        <v>26.337448559670779</v>
      </c>
      <c r="BM77" s="75">
        <v>3.9</v>
      </c>
      <c r="BN77" s="75">
        <v>0.2</v>
      </c>
      <c r="BO77" s="75">
        <v>0</v>
      </c>
      <c r="BP77" s="75">
        <v>0</v>
      </c>
      <c r="BQ77" s="75">
        <v>10</v>
      </c>
      <c r="BR77" s="75">
        <v>2.4</v>
      </c>
      <c r="BS77" s="75">
        <v>0.7</v>
      </c>
      <c r="BT77" s="76">
        <f t="shared" si="32"/>
        <v>0.31436206653913301</v>
      </c>
      <c r="BU77" s="281">
        <f t="shared" si="33"/>
        <v>651.94168534899961</v>
      </c>
      <c r="BV77" s="77">
        <f t="shared" si="34"/>
        <v>750</v>
      </c>
      <c r="BW77" s="78">
        <f t="shared" si="30"/>
        <v>89.666666666666657</v>
      </c>
      <c r="BX77" s="69">
        <f t="shared" si="36"/>
        <v>0.69820248293255638</v>
      </c>
      <c r="BY77" s="76">
        <v>10.5</v>
      </c>
      <c r="BZ77" s="76">
        <v>0</v>
      </c>
      <c r="CA77" s="76">
        <v>28.96</v>
      </c>
      <c r="CB77" s="76">
        <v>0</v>
      </c>
      <c r="CC77" s="76">
        <v>0</v>
      </c>
      <c r="CD77" s="76">
        <v>0</v>
      </c>
      <c r="CE77" s="76">
        <v>0</v>
      </c>
      <c r="CF77" s="76">
        <v>7.54</v>
      </c>
      <c r="CG77" s="76">
        <v>0</v>
      </c>
      <c r="CH77" s="76">
        <v>7.9</v>
      </c>
      <c r="CI77" s="76">
        <v>0</v>
      </c>
      <c r="CJ77" s="76">
        <v>0</v>
      </c>
      <c r="CK77" s="76">
        <v>20.010000000000002</v>
      </c>
      <c r="CL77" s="76">
        <v>20.23</v>
      </c>
      <c r="CM77" s="76">
        <v>0</v>
      </c>
      <c r="CN77" s="76">
        <v>0</v>
      </c>
      <c r="CO77" s="76">
        <v>0.45</v>
      </c>
      <c r="CP77" s="76">
        <v>3.78</v>
      </c>
      <c r="CQ77" s="76">
        <v>0.02</v>
      </c>
      <c r="CR77" s="76">
        <v>0.6</v>
      </c>
      <c r="CS77" s="76">
        <v>0</v>
      </c>
      <c r="CT77" s="76">
        <v>0</v>
      </c>
      <c r="CU77" s="76">
        <v>0</v>
      </c>
      <c r="CV77" s="76">
        <v>0</v>
      </c>
      <c r="CW77" s="76">
        <v>0</v>
      </c>
      <c r="CX77" s="76">
        <v>0</v>
      </c>
      <c r="CY77" s="281">
        <v>99.99</v>
      </c>
      <c r="CZ77" s="285">
        <v>0.32361157671248186</v>
      </c>
      <c r="DA77" s="285">
        <v>0</v>
      </c>
      <c r="DB77" s="285">
        <v>0</v>
      </c>
      <c r="DC77" s="285">
        <v>0</v>
      </c>
      <c r="DD77" s="285">
        <v>0</v>
      </c>
      <c r="DE77" s="285">
        <v>8.4255224047379604E-2</v>
      </c>
      <c r="DF77" s="285">
        <v>0</v>
      </c>
      <c r="DG77" s="285">
        <v>8.8278019890490569E-2</v>
      </c>
      <c r="DH77" s="285">
        <v>0</v>
      </c>
      <c r="DI77" s="285">
        <v>0</v>
      </c>
      <c r="DJ77" s="285">
        <v>0.22360040227958433</v>
      </c>
      <c r="DK77" s="285">
        <v>0.22605877751704104</v>
      </c>
      <c r="DL77" s="285">
        <v>0</v>
      </c>
      <c r="DM77" s="285">
        <v>0</v>
      </c>
      <c r="DN77" s="285">
        <v>5.0284948038887027E-3</v>
      </c>
      <c r="DO77" s="285">
        <v>4.2239356352665104E-2</v>
      </c>
      <c r="DP77" s="285">
        <v>2.2348865795060902E-4</v>
      </c>
      <c r="DQ77" s="285">
        <v>6.7046597385182699E-3</v>
      </c>
      <c r="DR77" s="285">
        <v>0</v>
      </c>
      <c r="DS77" s="285">
        <v>0</v>
      </c>
      <c r="DT77" s="285">
        <v>0</v>
      </c>
      <c r="DU77" s="285">
        <v>0</v>
      </c>
      <c r="DV77" s="285">
        <v>0</v>
      </c>
      <c r="DW77" s="285">
        <v>0</v>
      </c>
      <c r="DX77" s="76">
        <v>1</v>
      </c>
      <c r="DY77" s="78">
        <v>60.162757223618911</v>
      </c>
      <c r="DZ77" s="78">
        <v>20.158107059911163</v>
      </c>
      <c r="EA77" s="78">
        <v>7.7251781789726106</v>
      </c>
      <c r="EB77" s="78">
        <v>1.7524406340238976</v>
      </c>
      <c r="EC77" s="78">
        <v>0</v>
      </c>
      <c r="ED77" s="78">
        <v>0.95593585672795001</v>
      </c>
      <c r="EE77" s="78">
        <v>1.1423835629082713</v>
      </c>
      <c r="EF77" s="78">
        <v>0</v>
      </c>
      <c r="EG77" s="78">
        <v>0.51873060446146468</v>
      </c>
      <c r="EH77" s="78">
        <v>1.1248149943112507E-2</v>
      </c>
      <c r="EI77" s="78">
        <v>0</v>
      </c>
      <c r="EJ77" s="78">
        <v>7.5732187294326261</v>
      </c>
      <c r="EK77" s="78">
        <v>0</v>
      </c>
      <c r="EL77" s="78">
        <v>100</v>
      </c>
      <c r="EM77" s="76">
        <v>92.38692275005296</v>
      </c>
      <c r="EN77" s="76" t="s">
        <v>162</v>
      </c>
      <c r="EO77" s="289">
        <v>9.6353384700586589E-2</v>
      </c>
      <c r="EP77" s="257">
        <f t="shared" si="37"/>
        <v>9.6353384700586595</v>
      </c>
      <c r="EQ77" s="257">
        <f t="shared" si="38"/>
        <v>80.360420490572324</v>
      </c>
      <c r="ER77" s="324">
        <f t="shared" si="39"/>
        <v>0.84305331449728504</v>
      </c>
      <c r="ES77" s="257">
        <f t="shared" si="40"/>
        <v>0.54786806186516657</v>
      </c>
      <c r="ET77">
        <f t="shared" si="35"/>
        <v>750</v>
      </c>
      <c r="EU77" s="324">
        <f t="shared" si="41"/>
        <v>1.5387889405839563</v>
      </c>
      <c r="EV77" s="39">
        <f t="shared" si="42"/>
        <v>153.5</v>
      </c>
      <c r="EW77"/>
      <c r="EX77">
        <f t="shared" si="43"/>
        <v>0.85538461538461541</v>
      </c>
      <c r="EY77"/>
      <c r="EZ77"/>
      <c r="FA77"/>
      <c r="FB77"/>
      <c r="FC77"/>
      <c r="FD77"/>
    </row>
    <row r="78" spans="1:160" s="77" customFormat="1" ht="13" customHeight="1" x14ac:dyDescent="0.2">
      <c r="A78" s="72" t="s">
        <v>163</v>
      </c>
      <c r="B78" s="73" t="s">
        <v>462</v>
      </c>
      <c r="C78" s="276">
        <f>166.6-F78/100</f>
        <v>166.55500000000001</v>
      </c>
      <c r="D78" s="74">
        <v>0</v>
      </c>
      <c r="E78" s="74">
        <v>9</v>
      </c>
      <c r="F78" s="75">
        <f t="shared" si="31"/>
        <v>4.5</v>
      </c>
      <c r="G78" s="73" t="s">
        <v>526</v>
      </c>
      <c r="H78" s="84">
        <v>7.5</v>
      </c>
      <c r="I78" s="85">
        <v>3</v>
      </c>
      <c r="J78" s="85">
        <v>4</v>
      </c>
      <c r="K78" s="89">
        <f t="shared" si="20"/>
        <v>5.625</v>
      </c>
      <c r="L78" s="75">
        <v>96</v>
      </c>
      <c r="M78" s="75">
        <v>65</v>
      </c>
      <c r="N78" s="75">
        <v>38</v>
      </c>
      <c r="O78" s="75">
        <v>75.78</v>
      </c>
      <c r="P78" s="75">
        <v>9.41</v>
      </c>
      <c r="Q78" s="75">
        <v>3.2</v>
      </c>
      <c r="R78" s="75">
        <v>0.26900000000000002</v>
      </c>
      <c r="S78" s="75">
        <v>0.18</v>
      </c>
      <c r="T78" s="75">
        <v>0.17</v>
      </c>
      <c r="U78" s="75">
        <v>0.19</v>
      </c>
      <c r="V78" s="75">
        <v>1.31</v>
      </c>
      <c r="W78" s="75">
        <v>0.69099999999999995</v>
      </c>
      <c r="X78" s="75">
        <v>0.06</v>
      </c>
      <c r="Y78" s="75">
        <v>7.7</v>
      </c>
      <c r="Z78" s="75">
        <v>98.97</v>
      </c>
      <c r="AA78" s="75">
        <v>8</v>
      </c>
      <c r="AB78" s="75">
        <v>1</v>
      </c>
      <c r="AC78" s="75">
        <v>58</v>
      </c>
      <c r="AD78" s="75">
        <v>30</v>
      </c>
      <c r="AE78" s="75">
        <v>27</v>
      </c>
      <c r="AF78" s="75">
        <v>0</v>
      </c>
      <c r="AG78" s="75">
        <v>20</v>
      </c>
      <c r="AH78" s="75">
        <v>40</v>
      </c>
      <c r="AI78" s="75">
        <v>10</v>
      </c>
      <c r="AJ78" s="75">
        <v>0</v>
      </c>
      <c r="AK78" s="75">
        <v>0</v>
      </c>
      <c r="AL78" s="75">
        <v>57</v>
      </c>
      <c r="AM78" s="75">
        <v>60</v>
      </c>
      <c r="AN78" s="68">
        <f>'O.G.Chem Results'!AN78/'O.G.Chem Results'!$AN$142</f>
        <v>26.923076923076923</v>
      </c>
      <c r="AO78" s="75">
        <v>343</v>
      </c>
      <c r="AP78" s="75">
        <v>5</v>
      </c>
      <c r="AQ78" s="75" t="s">
        <v>72</v>
      </c>
      <c r="AR78" s="75" t="s">
        <v>74</v>
      </c>
      <c r="AS78" s="75" t="s">
        <v>73</v>
      </c>
      <c r="AT78" s="75">
        <v>0</v>
      </c>
      <c r="AU78" s="75" t="s">
        <v>74</v>
      </c>
      <c r="AV78" s="75">
        <v>2.4</v>
      </c>
      <c r="AW78" s="75">
        <v>595</v>
      </c>
      <c r="AX78" s="75" t="s">
        <v>75</v>
      </c>
      <c r="AY78" s="68">
        <f>'O.G.Chem Results'!AY78/'O.G.Chem Results'!AY$142</f>
        <v>233.61702127659575</v>
      </c>
      <c r="AZ78" s="68">
        <f>'O.G.Chem Results'!AZ78/'O.G.Chem Results'!AZ$142</f>
        <v>285.14588859416443</v>
      </c>
      <c r="BA78" s="68">
        <f>'O.G.Chem Results'!BA78/'O.G.Chem Results'!BA$142</f>
        <v>167.22783389450058</v>
      </c>
      <c r="BB78" s="68">
        <f>'O.G.Chem Results'!BB78/'O.G.Chem Results'!BB$142</f>
        <v>125.33156498673742</v>
      </c>
      <c r="BC78" s="68">
        <f>'O.G.Chem Results'!BC78/'O.G.Chem Results'!BC$142</f>
        <v>78.178110129163841</v>
      </c>
      <c r="BD78" s="68">
        <f>'O.G.Chem Results'!BD78/'O.G.Chem Results'!BD$142</f>
        <v>54.285714285714285</v>
      </c>
      <c r="BE78" s="68">
        <f>'O.G.Chem Results'!BE78/'O.G.Chem Results'!BE$142</f>
        <v>56.250000000000007</v>
      </c>
      <c r="BF78" s="68">
        <f>'O.G.Chem Results'!BF78/'O.G.Chem Results'!BF$142</f>
        <v>44.0771349862259</v>
      </c>
      <c r="BG78" s="68">
        <f>'O.G.Chem Results'!BG78/'O.G.Chem Results'!BG$142</f>
        <v>39.142974866089823</v>
      </c>
      <c r="BH78" s="68">
        <f>'O.G.Chem Results'!BH78/'O.G.Chem Results'!BH$142</f>
        <v>34.172661870503596</v>
      </c>
      <c r="BI78" s="68">
        <f>'O.G.Chem Results'!BI78/'O.G.Chem Results'!BI$142</f>
        <v>33.354310887350529</v>
      </c>
      <c r="BJ78" s="68">
        <f>'O.G.Chem Results'!BJ78/'O.G.Chem Results'!BJ$142</f>
        <v>33.057851239669425</v>
      </c>
      <c r="BK78" s="68">
        <f>'O.G.Chem Results'!BK78/'O.G.Chem Results'!BK$142</f>
        <v>33.846153846153847</v>
      </c>
      <c r="BL78" s="68">
        <f>'O.G.Chem Results'!BL78/'O.G.Chem Results'!BL$142</f>
        <v>34.567901234567898</v>
      </c>
      <c r="BM78" s="75">
        <v>6.9</v>
      </c>
      <c r="BN78" s="75">
        <v>0.5</v>
      </c>
      <c r="BO78" s="75">
        <v>0</v>
      </c>
      <c r="BP78" s="75">
        <v>0.2</v>
      </c>
      <c r="BQ78" s="75">
        <v>65</v>
      </c>
      <c r="BR78" s="75">
        <v>5.7</v>
      </c>
      <c r="BS78" s="75">
        <v>2.4</v>
      </c>
      <c r="BT78" s="76">
        <f t="shared" si="32"/>
        <v>0.54966514214596229</v>
      </c>
      <c r="BU78" s="281">
        <f t="shared" si="33"/>
        <v>1252.2551220974374</v>
      </c>
      <c r="BV78" s="77">
        <f t="shared" si="34"/>
        <v>4.5</v>
      </c>
      <c r="BW78" s="78">
        <f t="shared" si="30"/>
        <v>84.927797833935017</v>
      </c>
      <c r="BX78" s="69">
        <f t="shared" si="36"/>
        <v>1.7051341391771844</v>
      </c>
      <c r="BY78" s="76">
        <v>8.82</v>
      </c>
      <c r="BZ78" s="76">
        <v>1.27</v>
      </c>
      <c r="CA78" s="76">
        <v>52.92</v>
      </c>
      <c r="CB78" s="76">
        <v>3.91</v>
      </c>
      <c r="CC78" s="76">
        <v>0.34</v>
      </c>
      <c r="CD78" s="76">
        <v>0</v>
      </c>
      <c r="CE78" s="76">
        <v>0</v>
      </c>
      <c r="CF78" s="76">
        <v>0</v>
      </c>
      <c r="CG78" s="76">
        <v>0</v>
      </c>
      <c r="CH78" s="76">
        <v>0</v>
      </c>
      <c r="CI78" s="76">
        <v>0</v>
      </c>
      <c r="CJ78" s="76">
        <v>0</v>
      </c>
      <c r="CK78" s="76">
        <v>14.09</v>
      </c>
      <c r="CL78" s="76">
        <v>14.2</v>
      </c>
      <c r="CM78" s="76">
        <v>1.39</v>
      </c>
      <c r="CN78" s="76">
        <v>0</v>
      </c>
      <c r="CO78" s="76">
        <v>0.3</v>
      </c>
      <c r="CP78" s="76">
        <v>2.75</v>
      </c>
      <c r="CQ78" s="76">
        <v>0</v>
      </c>
      <c r="CR78" s="76">
        <v>0</v>
      </c>
      <c r="CS78" s="76">
        <v>0</v>
      </c>
      <c r="CT78" s="76">
        <v>0</v>
      </c>
      <c r="CU78" s="76">
        <v>0</v>
      </c>
      <c r="CV78" s="76">
        <v>0</v>
      </c>
      <c r="CW78" s="76">
        <v>0</v>
      </c>
      <c r="CX78" s="76">
        <v>0</v>
      </c>
      <c r="CY78" s="281">
        <v>99.990000000000009</v>
      </c>
      <c r="CZ78" s="285">
        <v>0.58865406006674081</v>
      </c>
      <c r="DA78" s="285">
        <v>4.3492769744160178E-2</v>
      </c>
      <c r="DB78" s="285">
        <v>3.7819799777530591E-3</v>
      </c>
      <c r="DC78" s="285">
        <v>0</v>
      </c>
      <c r="DD78" s="285">
        <v>0</v>
      </c>
      <c r="DE78" s="285">
        <v>0</v>
      </c>
      <c r="DF78" s="285">
        <v>0</v>
      </c>
      <c r="DG78" s="285">
        <v>0</v>
      </c>
      <c r="DH78" s="285">
        <v>0</v>
      </c>
      <c r="DI78" s="285">
        <v>0</v>
      </c>
      <c r="DJ78" s="285">
        <v>0.15672969966629588</v>
      </c>
      <c r="DK78" s="285">
        <v>0.15795328142380421</v>
      </c>
      <c r="DL78" s="285">
        <v>1.5461624026696328E-2</v>
      </c>
      <c r="DM78" s="285">
        <v>0</v>
      </c>
      <c r="DN78" s="285">
        <v>3.3370411568409341E-3</v>
      </c>
      <c r="DO78" s="285">
        <v>3.0589543937708564E-2</v>
      </c>
      <c r="DP78" s="285">
        <v>0</v>
      </c>
      <c r="DQ78" s="285">
        <v>0</v>
      </c>
      <c r="DR78" s="285">
        <v>0</v>
      </c>
      <c r="DS78" s="285">
        <v>0</v>
      </c>
      <c r="DT78" s="285">
        <v>0</v>
      </c>
      <c r="DU78" s="285">
        <v>0</v>
      </c>
      <c r="DV78" s="285">
        <v>0</v>
      </c>
      <c r="DW78" s="285">
        <v>0</v>
      </c>
      <c r="DX78" s="76">
        <v>1</v>
      </c>
      <c r="DY78" s="78">
        <v>78.882229508171491</v>
      </c>
      <c r="DZ78" s="78">
        <v>14.577701371104792</v>
      </c>
      <c r="EA78" s="78">
        <v>0.30158218029835437</v>
      </c>
      <c r="EB78" s="78">
        <v>0.18921322351253159</v>
      </c>
      <c r="EC78" s="78">
        <v>0</v>
      </c>
      <c r="ED78" s="78">
        <v>0.11993768573347484</v>
      </c>
      <c r="EE78" s="78">
        <v>1.461807237088128E-2</v>
      </c>
      <c r="EF78" s="78">
        <v>4.4711997676941707E-2</v>
      </c>
      <c r="EG78" s="78">
        <v>1.1703983420329207</v>
      </c>
      <c r="EH78" s="78">
        <v>7.2055716397892537E-3</v>
      </c>
      <c r="EI78" s="78">
        <v>0</v>
      </c>
      <c r="EJ78" s="78">
        <v>4.6924020474588293</v>
      </c>
      <c r="EK78" s="78">
        <v>0</v>
      </c>
      <c r="EL78" s="78">
        <v>100</v>
      </c>
      <c r="EM78" s="76">
        <v>92.220566980542188</v>
      </c>
      <c r="EN78" s="76" t="s">
        <v>163</v>
      </c>
      <c r="EO78" s="289">
        <v>5.0782459392701386E-3</v>
      </c>
      <c r="EP78" s="257">
        <f t="shared" si="37"/>
        <v>0.50782459392701385</v>
      </c>
      <c r="EQ78" s="257">
        <f t="shared" si="38"/>
        <v>79.488620398988459</v>
      </c>
      <c r="ER78" s="324">
        <f t="shared" si="39"/>
        <v>0.80765420615605499</v>
      </c>
      <c r="ES78" s="257">
        <f t="shared" si="40"/>
        <v>1.4436167993851232</v>
      </c>
      <c r="ET78">
        <f t="shared" si="35"/>
        <v>4.5</v>
      </c>
      <c r="EU78" s="324">
        <f t="shared" si="41"/>
        <v>0.55946578517239309</v>
      </c>
      <c r="EV78" s="39">
        <f t="shared" si="42"/>
        <v>166.55500000000001</v>
      </c>
      <c r="EW78"/>
      <c r="EX78">
        <f t="shared" si="43"/>
        <v>0.78785425101214579</v>
      </c>
      <c r="EY78"/>
      <c r="EZ78" s="324">
        <f>AVERAGE(ER78:ER84)</f>
        <v>0.80349739394574549</v>
      </c>
      <c r="FA78" s="260" t="s">
        <v>667</v>
      </c>
      <c r="FB78"/>
      <c r="FC78"/>
      <c r="FD78"/>
    </row>
    <row r="79" spans="1:160" s="77" customFormat="1" ht="13" customHeight="1" x14ac:dyDescent="0.2">
      <c r="A79" s="72" t="s">
        <v>164</v>
      </c>
      <c r="B79" s="73" t="s">
        <v>462</v>
      </c>
      <c r="C79" s="276">
        <f t="shared" ref="C79:C84" si="44">166.6-F79/100</f>
        <v>166.45</v>
      </c>
      <c r="D79" s="74">
        <v>9</v>
      </c>
      <c r="E79" s="74">
        <v>21</v>
      </c>
      <c r="F79" s="75">
        <f t="shared" si="31"/>
        <v>15</v>
      </c>
      <c r="G79" s="73" t="s">
        <v>514</v>
      </c>
      <c r="H79" s="84">
        <v>7.5</v>
      </c>
      <c r="I79" s="85">
        <v>4</v>
      </c>
      <c r="J79" s="85">
        <v>4</v>
      </c>
      <c r="K79" s="89">
        <f t="shared" si="20"/>
        <v>7.5</v>
      </c>
      <c r="L79" s="75">
        <v>124</v>
      </c>
      <c r="M79" s="75">
        <v>89</v>
      </c>
      <c r="N79" s="75">
        <v>58</v>
      </c>
      <c r="O79" s="75">
        <v>75.47</v>
      </c>
      <c r="P79" s="75">
        <v>10.89</v>
      </c>
      <c r="Q79" s="75">
        <v>3.87</v>
      </c>
      <c r="R79" s="75">
        <v>0.30199999999999999</v>
      </c>
      <c r="S79" s="75">
        <v>0.17</v>
      </c>
      <c r="T79" s="75">
        <v>7.0000000000000007E-2</v>
      </c>
      <c r="U79" s="75">
        <v>0.14000000000000001</v>
      </c>
      <c r="V79" s="75">
        <v>1.38</v>
      </c>
      <c r="W79" s="75">
        <v>0.74299999999999999</v>
      </c>
      <c r="X79" s="75">
        <v>0.05</v>
      </c>
      <c r="Y79" s="75">
        <v>6.09</v>
      </c>
      <c r="Z79" s="75">
        <v>99.18</v>
      </c>
      <c r="AA79" s="75">
        <v>9</v>
      </c>
      <c r="AB79" s="75">
        <v>1</v>
      </c>
      <c r="AC79" s="75">
        <v>69</v>
      </c>
      <c r="AD79" s="75">
        <v>30</v>
      </c>
      <c r="AE79" s="75">
        <v>30</v>
      </c>
      <c r="AF79" s="75">
        <v>0</v>
      </c>
      <c r="AG79" s="75">
        <v>30</v>
      </c>
      <c r="AH79" s="75">
        <v>40</v>
      </c>
      <c r="AI79" s="75">
        <v>11</v>
      </c>
      <c r="AJ79" s="75">
        <v>0</v>
      </c>
      <c r="AK79" s="75">
        <v>0</v>
      </c>
      <c r="AL79" s="75">
        <v>65</v>
      </c>
      <c r="AM79" s="75">
        <v>62</v>
      </c>
      <c r="AN79" s="68">
        <f>'O.G.Chem Results'!AN79/'O.G.Chem Results'!$AN$142</f>
        <v>34.615384615384613</v>
      </c>
      <c r="AO79" s="75">
        <v>396</v>
      </c>
      <c r="AP79" s="75">
        <v>7</v>
      </c>
      <c r="AQ79" s="75" t="s">
        <v>72</v>
      </c>
      <c r="AR79" s="75">
        <v>0.8</v>
      </c>
      <c r="AS79" s="75" t="s">
        <v>73</v>
      </c>
      <c r="AT79" s="75">
        <v>0</v>
      </c>
      <c r="AU79" s="75" t="s">
        <v>74</v>
      </c>
      <c r="AV79" s="75">
        <v>2.8</v>
      </c>
      <c r="AW79" s="75">
        <v>637</v>
      </c>
      <c r="AX79" s="75" t="s">
        <v>75</v>
      </c>
      <c r="AY79" s="68">
        <f>'O.G.Chem Results'!AY79/'O.G.Chem Results'!AY$142</f>
        <v>277.02127659574467</v>
      </c>
      <c r="AZ79" s="68">
        <f>'O.G.Chem Results'!AZ79/'O.G.Chem Results'!AZ$142</f>
        <v>329.90716180371351</v>
      </c>
      <c r="BA79" s="68">
        <f>'O.G.Chem Results'!BA79/'O.G.Chem Results'!BA$142</f>
        <v>200.89786756453421</v>
      </c>
      <c r="BB79" s="68">
        <f>'O.G.Chem Results'!BB79/'O.G.Chem Results'!BB$142</f>
        <v>151.63572060123784</v>
      </c>
      <c r="BC79" s="68">
        <f>'O.G.Chem Results'!BC79/'O.G.Chem Results'!BC$142</f>
        <v>94.493541808293699</v>
      </c>
      <c r="BD79" s="68">
        <f>'O.G.Chem Results'!BD79/'O.G.Chem Results'!BD$142</f>
        <v>68.75</v>
      </c>
      <c r="BE79" s="68">
        <f>'O.G.Chem Results'!BE79/'O.G.Chem Results'!BE$142</f>
        <v>68.75</v>
      </c>
      <c r="BF79" s="68">
        <f>'O.G.Chem Results'!BF79/'O.G.Chem Results'!BF$142</f>
        <v>52.341597796143247</v>
      </c>
      <c r="BG79" s="68">
        <f>'O.G.Chem Results'!BG79/'O.G.Chem Results'!BG$142</f>
        <v>47.383601153687678</v>
      </c>
      <c r="BH79" s="68">
        <f>'O.G.Chem Results'!BH79/'O.G.Chem Results'!BH$142</f>
        <v>41.366906474820141</v>
      </c>
      <c r="BI79" s="68">
        <f>'O.G.Chem Results'!BI79/'O.G.Chem Results'!BI$142</f>
        <v>42.1648835745752</v>
      </c>
      <c r="BJ79" s="68">
        <f>'O.G.Chem Results'!BJ79/'O.G.Chem Results'!BJ$142</f>
        <v>40.082644628099175</v>
      </c>
      <c r="BK79" s="68">
        <f>'O.G.Chem Results'!BK79/'O.G.Chem Results'!BK$142</f>
        <v>40.615384615384613</v>
      </c>
      <c r="BL79" s="68">
        <f>'O.G.Chem Results'!BL79/'O.G.Chem Results'!BL$142</f>
        <v>42.386831275720162</v>
      </c>
      <c r="BM79" s="75">
        <v>9.1</v>
      </c>
      <c r="BN79" s="75">
        <v>0.5</v>
      </c>
      <c r="BO79" s="75">
        <v>0</v>
      </c>
      <c r="BP79" s="75">
        <v>0.2</v>
      </c>
      <c r="BQ79" s="75">
        <v>27</v>
      </c>
      <c r="BR79" s="75">
        <v>6.6</v>
      </c>
      <c r="BS79" s="75">
        <v>2.8</v>
      </c>
      <c r="BT79" s="76">
        <f t="shared" si="32"/>
        <v>0.54356846858868169</v>
      </c>
      <c r="BU79" s="281">
        <f t="shared" si="33"/>
        <v>1497.7974178919542</v>
      </c>
      <c r="BV79" s="77">
        <f t="shared" si="34"/>
        <v>15</v>
      </c>
      <c r="BW79" s="78">
        <f t="shared" si="30"/>
        <v>87.259615384615387</v>
      </c>
      <c r="BX79" s="69">
        <f t="shared" si="36"/>
        <v>1.6421635819391551</v>
      </c>
      <c r="BY79" s="76">
        <v>7.89</v>
      </c>
      <c r="BZ79" s="76">
        <v>0.22</v>
      </c>
      <c r="CA79" s="76">
        <v>48.67</v>
      </c>
      <c r="CB79" s="76">
        <v>6.9368000000000007</v>
      </c>
      <c r="CC79" s="76">
        <v>0.60320000000000007</v>
      </c>
      <c r="CD79" s="76">
        <v>0</v>
      </c>
      <c r="CE79" s="76">
        <v>0</v>
      </c>
      <c r="CF79" s="76">
        <v>0</v>
      </c>
      <c r="CG79" s="76">
        <v>0</v>
      </c>
      <c r="CH79" s="76">
        <v>0</v>
      </c>
      <c r="CI79" s="76">
        <v>4.16</v>
      </c>
      <c r="CJ79" s="76">
        <v>0</v>
      </c>
      <c r="CK79" s="76">
        <v>13.92</v>
      </c>
      <c r="CL79" s="76">
        <v>14.03</v>
      </c>
      <c r="CM79" s="76">
        <v>1.86</v>
      </c>
      <c r="CN79" s="76">
        <v>0</v>
      </c>
      <c r="CO79" s="76">
        <v>0</v>
      </c>
      <c r="CP79" s="76">
        <v>1.71</v>
      </c>
      <c r="CQ79" s="76">
        <v>0</v>
      </c>
      <c r="CR79" s="76">
        <v>0</v>
      </c>
      <c r="CS79" s="76">
        <v>0</v>
      </c>
      <c r="CT79" s="76">
        <v>0</v>
      </c>
      <c r="CU79" s="76">
        <v>0</v>
      </c>
      <c r="CV79" s="76">
        <v>0</v>
      </c>
      <c r="CW79" s="76">
        <v>0</v>
      </c>
      <c r="CX79" s="76">
        <v>0</v>
      </c>
      <c r="CY79" s="281">
        <v>99.999999999999986</v>
      </c>
      <c r="CZ79" s="285">
        <v>0.52965502230928285</v>
      </c>
      <c r="DA79" s="285">
        <v>7.5490260093590167E-2</v>
      </c>
      <c r="DB79" s="285">
        <v>6.5643704429208848E-3</v>
      </c>
      <c r="DC79" s="285">
        <v>0</v>
      </c>
      <c r="DD79" s="285">
        <v>0</v>
      </c>
      <c r="DE79" s="285">
        <v>0</v>
      </c>
      <c r="DF79" s="285">
        <v>0</v>
      </c>
      <c r="DG79" s="285">
        <v>0</v>
      </c>
      <c r="DH79" s="285">
        <v>4.5271520296006097E-2</v>
      </c>
      <c r="DI79" s="285">
        <v>0</v>
      </c>
      <c r="DJ79" s="285">
        <v>0.15148547175971269</v>
      </c>
      <c r="DK79" s="285">
        <v>0.15268255522907823</v>
      </c>
      <c r="DL79" s="285">
        <v>2.0241593209271956E-2</v>
      </c>
      <c r="DM79" s="285">
        <v>0</v>
      </c>
      <c r="DN79" s="285">
        <v>0</v>
      </c>
      <c r="DO79" s="285">
        <v>1.8609206660137118E-2</v>
      </c>
      <c r="DP79" s="285">
        <v>0</v>
      </c>
      <c r="DQ79" s="285">
        <v>0</v>
      </c>
      <c r="DR79" s="285">
        <v>0</v>
      </c>
      <c r="DS79" s="285">
        <v>0</v>
      </c>
      <c r="DT79" s="285">
        <v>0</v>
      </c>
      <c r="DU79" s="285">
        <v>0</v>
      </c>
      <c r="DV79" s="285">
        <v>0</v>
      </c>
      <c r="DW79" s="285">
        <v>0</v>
      </c>
      <c r="DX79" s="76">
        <v>1.0000000000000002</v>
      </c>
      <c r="DY79" s="78">
        <v>74.188428186923332</v>
      </c>
      <c r="DZ79" s="78">
        <v>17.57030710080306</v>
      </c>
      <c r="EA79" s="78">
        <v>0.31221164197313817</v>
      </c>
      <c r="EB79" s="78">
        <v>8.3519323637427395E-2</v>
      </c>
      <c r="EC79" s="78">
        <v>0</v>
      </c>
      <c r="ED79" s="78">
        <v>7.9534654584189804E-2</v>
      </c>
      <c r="EE79" s="78">
        <v>1.8535375503033271E-2</v>
      </c>
      <c r="EF79" s="78">
        <v>7.7606470082065462E-2</v>
      </c>
      <c r="EG79" s="78">
        <v>1.5735243317996532</v>
      </c>
      <c r="EH79" s="78">
        <v>0</v>
      </c>
      <c r="EI79" s="78">
        <v>0</v>
      </c>
      <c r="EJ79" s="78">
        <v>6.0963329146940879</v>
      </c>
      <c r="EK79" s="78">
        <v>0</v>
      </c>
      <c r="EL79" s="78">
        <v>100</v>
      </c>
      <c r="EM79" s="76">
        <v>91.321889312197555</v>
      </c>
      <c r="EN79" s="76" t="s">
        <v>164</v>
      </c>
      <c r="EO79" s="289">
        <v>4.0324770473793405E-3</v>
      </c>
      <c r="EP79" s="257">
        <f t="shared" si="37"/>
        <v>0.40324770473793403</v>
      </c>
      <c r="EQ79" s="257">
        <f t="shared" si="38"/>
        <v>77.635396518375231</v>
      </c>
      <c r="ER79" s="324">
        <f t="shared" si="39"/>
        <v>0.84229978397230676</v>
      </c>
      <c r="ES79" s="257">
        <f t="shared" si="40"/>
        <v>1.4025109205811301</v>
      </c>
      <c r="ET79">
        <f t="shared" si="35"/>
        <v>15</v>
      </c>
      <c r="EU79" s="324">
        <f t="shared" si="41"/>
        <v>0.60056557964147617</v>
      </c>
      <c r="EV79" s="39">
        <f t="shared" si="42"/>
        <v>166.45</v>
      </c>
      <c r="EW79"/>
      <c r="EX79">
        <f t="shared" si="43"/>
        <v>0.8367892976588629</v>
      </c>
      <c r="EY79"/>
      <c r="EZ79"/>
      <c r="FA79"/>
      <c r="FB79"/>
      <c r="FC79"/>
      <c r="FD79"/>
    </row>
    <row r="80" spans="1:160" s="77" customFormat="1" ht="13" customHeight="1" x14ac:dyDescent="0.2">
      <c r="A80" s="72" t="s">
        <v>165</v>
      </c>
      <c r="B80" s="73" t="s">
        <v>462</v>
      </c>
      <c r="C80" s="276">
        <f t="shared" si="44"/>
        <v>166.27500000000001</v>
      </c>
      <c r="D80" s="74">
        <v>21</v>
      </c>
      <c r="E80" s="74">
        <v>44</v>
      </c>
      <c r="F80" s="75">
        <f t="shared" si="31"/>
        <v>32.5</v>
      </c>
      <c r="G80" s="73" t="s">
        <v>525</v>
      </c>
      <c r="H80" s="84">
        <v>2.5</v>
      </c>
      <c r="I80" s="85">
        <v>4</v>
      </c>
      <c r="J80" s="85">
        <v>4</v>
      </c>
      <c r="K80" s="89">
        <f t="shared" si="20"/>
        <v>2.5</v>
      </c>
      <c r="L80" s="75">
        <v>129</v>
      </c>
      <c r="M80" s="75">
        <v>86</v>
      </c>
      <c r="N80" s="75">
        <v>68</v>
      </c>
      <c r="O80" s="75">
        <v>69.19</v>
      </c>
      <c r="P80" s="75">
        <v>15.07</v>
      </c>
      <c r="Q80" s="75">
        <v>4.95</v>
      </c>
      <c r="R80" s="75">
        <v>0.189</v>
      </c>
      <c r="S80" s="75">
        <v>0.22</v>
      </c>
      <c r="T80" s="75">
        <v>7.0000000000000007E-2</v>
      </c>
      <c r="U80" s="75">
        <v>0.13</v>
      </c>
      <c r="V80" s="75">
        <v>1.32</v>
      </c>
      <c r="W80" s="75">
        <v>0.77600000000000002</v>
      </c>
      <c r="X80" s="75">
        <v>0.05</v>
      </c>
      <c r="Y80" s="75">
        <v>7.24</v>
      </c>
      <c r="Z80" s="75">
        <v>99.19</v>
      </c>
      <c r="AA80" s="75">
        <v>12</v>
      </c>
      <c r="AB80" s="75">
        <v>2</v>
      </c>
      <c r="AC80" s="75">
        <v>91</v>
      </c>
      <c r="AD80" s="75">
        <v>30</v>
      </c>
      <c r="AE80" s="75">
        <v>33</v>
      </c>
      <c r="AF80" s="75">
        <v>0</v>
      </c>
      <c r="AG80" s="75">
        <v>30</v>
      </c>
      <c r="AH80" s="75">
        <v>50</v>
      </c>
      <c r="AI80" s="75">
        <v>16</v>
      </c>
      <c r="AJ80" s="75">
        <v>0</v>
      </c>
      <c r="AK80" s="75">
        <v>0</v>
      </c>
      <c r="AL80" s="75">
        <v>73</v>
      </c>
      <c r="AM80" s="75">
        <v>58</v>
      </c>
      <c r="AN80" s="68">
        <f>'O.G.Chem Results'!AN80/'O.G.Chem Results'!$AN$142</f>
        <v>19.23076923076923</v>
      </c>
      <c r="AO80" s="75">
        <v>347</v>
      </c>
      <c r="AP80" s="75">
        <v>8</v>
      </c>
      <c r="AQ80" s="75" t="s">
        <v>72</v>
      </c>
      <c r="AR80" s="75" t="s">
        <v>74</v>
      </c>
      <c r="AS80" s="75" t="s">
        <v>73</v>
      </c>
      <c r="AT80" s="75">
        <v>0</v>
      </c>
      <c r="AU80" s="75" t="s">
        <v>74</v>
      </c>
      <c r="AV80" s="75">
        <v>3.3</v>
      </c>
      <c r="AW80" s="75">
        <v>561</v>
      </c>
      <c r="AX80" s="75" t="s">
        <v>75</v>
      </c>
      <c r="AY80" s="68">
        <f>'O.G.Chem Results'!AY80/'O.G.Chem Results'!AY$142</f>
        <v>171.91489361702128</v>
      </c>
      <c r="AZ80" s="68">
        <f>'O.G.Chem Results'!AZ80/'O.G.Chem Results'!AZ$142</f>
        <v>313.32891246684346</v>
      </c>
      <c r="BA80" s="68">
        <f>'O.G.Chem Results'!BA80/'O.G.Chem Results'!BA$142</f>
        <v>124.57912457912458</v>
      </c>
      <c r="BB80" s="68">
        <f>'O.G.Chem Results'!BB80/'O.G.Chem Results'!BB$142</f>
        <v>92.838196286472154</v>
      </c>
      <c r="BC80" s="68">
        <f>'O.G.Chem Results'!BC80/'O.G.Chem Results'!BC$142</f>
        <v>59.823249490142771</v>
      </c>
      <c r="BD80" s="68">
        <f>'O.G.Chem Results'!BD80/'O.G.Chem Results'!BD$142</f>
        <v>40.714285714285708</v>
      </c>
      <c r="BE80" s="68">
        <f>'O.G.Chem Results'!BE80/'O.G.Chem Results'!BE$142</f>
        <v>40.909090909090914</v>
      </c>
      <c r="BF80" s="68">
        <f>'O.G.Chem Results'!BF80/'O.G.Chem Results'!BF$142</f>
        <v>30.303030303030308</v>
      </c>
      <c r="BG80" s="68">
        <f>'O.G.Chem Results'!BG80/'O.G.Chem Results'!BG$142</f>
        <v>27.606098063452823</v>
      </c>
      <c r="BH80" s="68">
        <f>'O.G.Chem Results'!BH80/'O.G.Chem Results'!BH$142</f>
        <v>25.17985611510791</v>
      </c>
      <c r="BI80" s="68">
        <f>'O.G.Chem Results'!BI80/'O.G.Chem Results'!BI$142</f>
        <v>24.543738200125862</v>
      </c>
      <c r="BJ80" s="68">
        <f>'O.G.Chem Results'!BJ80/'O.G.Chem Results'!BJ$142</f>
        <v>24.793388429752067</v>
      </c>
      <c r="BK80" s="68">
        <f>'O.G.Chem Results'!BK80/'O.G.Chem Results'!BK$142</f>
        <v>25.846153846153847</v>
      </c>
      <c r="BL80" s="68">
        <f>'O.G.Chem Results'!BL80/'O.G.Chem Results'!BL$142</f>
        <v>27.983539094650205</v>
      </c>
      <c r="BM80" s="75">
        <v>8</v>
      </c>
      <c r="BN80" s="75">
        <v>0.6</v>
      </c>
      <c r="BO80" s="75">
        <v>0</v>
      </c>
      <c r="BP80" s="75">
        <v>0.3</v>
      </c>
      <c r="BQ80" s="75">
        <v>36</v>
      </c>
      <c r="BR80" s="75">
        <v>9.1</v>
      </c>
      <c r="BS80" s="75">
        <v>2.8</v>
      </c>
      <c r="BT80" s="76">
        <f t="shared" si="32"/>
        <v>0.6457143986969115</v>
      </c>
      <c r="BU80" s="281">
        <f t="shared" si="33"/>
        <v>1030.3635571152536</v>
      </c>
      <c r="BV80" s="77">
        <f t="shared" si="34"/>
        <v>32.5</v>
      </c>
      <c r="BW80" s="78">
        <f t="shared" si="30"/>
        <v>90.837854128993371</v>
      </c>
      <c r="BX80" s="69">
        <f t="shared" si="36"/>
        <v>2.5150996487203381</v>
      </c>
      <c r="BY80" s="76">
        <v>10.79</v>
      </c>
      <c r="BZ80" s="76">
        <v>1.67</v>
      </c>
      <c r="CA80" s="76">
        <v>57.27</v>
      </c>
      <c r="CB80" s="76">
        <v>4.8023999999999996</v>
      </c>
      <c r="CC80" s="76">
        <v>0.41759999999999997</v>
      </c>
      <c r="CD80" s="76">
        <v>0</v>
      </c>
      <c r="CE80" s="76">
        <v>0</v>
      </c>
      <c r="CF80" s="76">
        <v>0</v>
      </c>
      <c r="CG80" s="76">
        <v>0</v>
      </c>
      <c r="CH80" s="76">
        <v>0</v>
      </c>
      <c r="CI80" s="76">
        <v>6.75</v>
      </c>
      <c r="CJ80" s="76">
        <v>0</v>
      </c>
      <c r="CK80" s="76">
        <v>7.23</v>
      </c>
      <c r="CL80" s="76">
        <v>5.89</v>
      </c>
      <c r="CM80" s="76">
        <v>0.03</v>
      </c>
      <c r="CN80" s="76">
        <v>0</v>
      </c>
      <c r="CO80" s="76">
        <v>0</v>
      </c>
      <c r="CP80" s="76">
        <v>5.16</v>
      </c>
      <c r="CQ80" s="76">
        <v>0</v>
      </c>
      <c r="CR80" s="76">
        <v>0</v>
      </c>
      <c r="CS80" s="76">
        <v>0</v>
      </c>
      <c r="CT80" s="76">
        <v>0</v>
      </c>
      <c r="CU80" s="76">
        <v>0</v>
      </c>
      <c r="CV80" s="76">
        <v>0</v>
      </c>
      <c r="CW80" s="76">
        <v>0</v>
      </c>
      <c r="CX80" s="76">
        <v>0</v>
      </c>
      <c r="CY80" s="281">
        <v>100.01</v>
      </c>
      <c r="CZ80" s="285">
        <v>0.65414049114791539</v>
      </c>
      <c r="DA80" s="285">
        <v>5.4853226727584227E-2</v>
      </c>
      <c r="DB80" s="285">
        <v>4.7698458023986284E-3</v>
      </c>
      <c r="DC80" s="285">
        <v>0</v>
      </c>
      <c r="DD80" s="285">
        <v>0</v>
      </c>
      <c r="DE80" s="285">
        <v>0</v>
      </c>
      <c r="DF80" s="285">
        <v>0</v>
      </c>
      <c r="DG80" s="285">
        <v>0</v>
      </c>
      <c r="DH80" s="285">
        <v>7.7098800685322669E-2</v>
      </c>
      <c r="DI80" s="285">
        <v>0</v>
      </c>
      <c r="DJ80" s="285">
        <v>8.2581382067390061E-2</v>
      </c>
      <c r="DK80" s="285">
        <v>6.7275842375785253E-2</v>
      </c>
      <c r="DL80" s="285">
        <v>3.4266133637921183E-4</v>
      </c>
      <c r="DM80" s="285">
        <v>0</v>
      </c>
      <c r="DN80" s="285">
        <v>0</v>
      </c>
      <c r="DO80" s="285">
        <v>5.8937749857224435E-2</v>
      </c>
      <c r="DP80" s="285">
        <v>0</v>
      </c>
      <c r="DQ80" s="285">
        <v>0</v>
      </c>
      <c r="DR80" s="285">
        <v>0</v>
      </c>
      <c r="DS80" s="285">
        <v>0</v>
      </c>
      <c r="DT80" s="285">
        <v>0</v>
      </c>
      <c r="DU80" s="285">
        <v>0</v>
      </c>
      <c r="DV80" s="285">
        <v>0</v>
      </c>
      <c r="DW80" s="285">
        <v>0</v>
      </c>
      <c r="DX80" s="76">
        <v>0.99999999999999978</v>
      </c>
      <c r="DY80" s="78">
        <v>79.314175972185296</v>
      </c>
      <c r="DZ80" s="78">
        <v>13.456719232258768</v>
      </c>
      <c r="EA80" s="78">
        <v>0.128378762224339</v>
      </c>
      <c r="EB80" s="78">
        <v>0.26451643504672634</v>
      </c>
      <c r="EC80" s="78">
        <v>0</v>
      </c>
      <c r="ED80" s="78">
        <v>0.14699247497222245</v>
      </c>
      <c r="EE80" s="78">
        <v>3.1377750133080218E-4</v>
      </c>
      <c r="EF80" s="78">
        <v>5.6390921075929308E-2</v>
      </c>
      <c r="EG80" s="78">
        <v>1.6141327422691383</v>
      </c>
      <c r="EH80" s="78">
        <v>0</v>
      </c>
      <c r="EI80" s="78">
        <v>0</v>
      </c>
      <c r="EJ80" s="78">
        <v>5.0183796824662306</v>
      </c>
      <c r="EK80" s="78">
        <v>0</v>
      </c>
      <c r="EL80" s="78">
        <v>99.999999999999972</v>
      </c>
      <c r="EM80" s="76">
        <v>88.955007890884772</v>
      </c>
      <c r="EN80" s="76" t="s">
        <v>165</v>
      </c>
      <c r="EO80" s="289">
        <v>4.1670167642527071E-3</v>
      </c>
      <c r="EP80" s="257">
        <f t="shared" si="37"/>
        <v>0.41670167642527073</v>
      </c>
      <c r="EQ80" s="257">
        <f t="shared" si="38"/>
        <v>65.685950413223139</v>
      </c>
      <c r="ER80" s="324">
        <f t="shared" si="39"/>
        <v>0.80836572550428776</v>
      </c>
      <c r="ES80" s="257">
        <f t="shared" si="40"/>
        <v>2.1526348916679154</v>
      </c>
      <c r="ET80">
        <f t="shared" si="35"/>
        <v>32.5</v>
      </c>
      <c r="EU80" s="324">
        <f t="shared" si="41"/>
        <v>0.3755238422610282</v>
      </c>
      <c r="EV80" s="39">
        <f t="shared" si="42"/>
        <v>166.27500000000001</v>
      </c>
      <c r="EW80"/>
      <c r="EX80">
        <f t="shared" si="43"/>
        <v>0.7637362637362638</v>
      </c>
      <c r="EY80"/>
      <c r="EZ80"/>
      <c r="FA80"/>
      <c r="FB80"/>
      <c r="FC80"/>
      <c r="FD80"/>
    </row>
    <row r="81" spans="1:160" s="77" customFormat="1" ht="13" customHeight="1" x14ac:dyDescent="0.2">
      <c r="A81" s="72" t="s">
        <v>166</v>
      </c>
      <c r="B81" s="73" t="s">
        <v>462</v>
      </c>
      <c r="C81" s="276">
        <f t="shared" si="44"/>
        <v>166</v>
      </c>
      <c r="D81" s="74">
        <v>44</v>
      </c>
      <c r="E81" s="74">
        <v>76</v>
      </c>
      <c r="F81" s="75">
        <f t="shared" si="31"/>
        <v>60</v>
      </c>
      <c r="G81" s="73" t="s">
        <v>525</v>
      </c>
      <c r="H81" s="84">
        <v>2.5</v>
      </c>
      <c r="I81" s="85">
        <v>4</v>
      </c>
      <c r="J81" s="85">
        <v>4</v>
      </c>
      <c r="K81" s="89">
        <f t="shared" si="20"/>
        <v>2.5</v>
      </c>
      <c r="L81" s="75">
        <v>129</v>
      </c>
      <c r="M81" s="75">
        <v>86</v>
      </c>
      <c r="N81" s="75">
        <v>68</v>
      </c>
      <c r="O81" s="75">
        <v>63.04</v>
      </c>
      <c r="P81" s="75">
        <v>19.059999999999999</v>
      </c>
      <c r="Q81" s="75">
        <v>6.5</v>
      </c>
      <c r="R81" s="75">
        <v>0.14299999999999999</v>
      </c>
      <c r="S81" s="75">
        <v>0.25</v>
      </c>
      <c r="T81" s="75">
        <v>0.08</v>
      </c>
      <c r="U81" s="75">
        <v>0.09</v>
      </c>
      <c r="V81" s="75">
        <v>1.1499999999999999</v>
      </c>
      <c r="W81" s="75">
        <v>0.78300000000000003</v>
      </c>
      <c r="X81" s="75">
        <v>0.05</v>
      </c>
      <c r="Y81" s="75">
        <v>8.8699999999999992</v>
      </c>
      <c r="Z81" s="75">
        <v>100</v>
      </c>
      <c r="AA81" s="75">
        <v>16</v>
      </c>
      <c r="AB81" s="75">
        <v>2</v>
      </c>
      <c r="AC81" s="75">
        <v>114</v>
      </c>
      <c r="AD81" s="75">
        <v>40</v>
      </c>
      <c r="AE81" s="75">
        <v>31</v>
      </c>
      <c r="AF81" s="75">
        <v>30</v>
      </c>
      <c r="AG81" s="75">
        <v>40</v>
      </c>
      <c r="AH81" s="75">
        <v>60</v>
      </c>
      <c r="AI81" s="75">
        <v>15</v>
      </c>
      <c r="AJ81" s="75">
        <v>1</v>
      </c>
      <c r="AK81" s="75">
        <v>0</v>
      </c>
      <c r="AL81" s="75">
        <v>71</v>
      </c>
      <c r="AM81" s="75">
        <v>57</v>
      </c>
      <c r="AN81" s="68">
        <f>'O.G.Chem Results'!AN81/'O.G.Chem Results'!$AN$142</f>
        <v>8.9743589743589745</v>
      </c>
      <c r="AO81" s="75">
        <v>268</v>
      </c>
      <c r="AP81" s="75">
        <v>8</v>
      </c>
      <c r="AQ81" s="75" t="s">
        <v>72</v>
      </c>
      <c r="AR81" s="75">
        <v>1</v>
      </c>
      <c r="AS81" s="75" t="s">
        <v>73</v>
      </c>
      <c r="AT81" s="75">
        <v>1</v>
      </c>
      <c r="AU81" s="75" t="s">
        <v>74</v>
      </c>
      <c r="AV81" s="75">
        <v>3.2</v>
      </c>
      <c r="AW81" s="75">
        <v>458</v>
      </c>
      <c r="AX81" s="75" t="s">
        <v>75</v>
      </c>
      <c r="AY81" s="68">
        <f>'O.G.Chem Results'!AY81/'O.G.Chem Results'!AY$142</f>
        <v>77.446808510638306</v>
      </c>
      <c r="AZ81" s="68">
        <f>'O.G.Chem Results'!AZ81/'O.G.Chem Results'!AZ$142</f>
        <v>261.9363395225464</v>
      </c>
      <c r="BA81" s="68">
        <f>'O.G.Chem Results'!BA81/'O.G.Chem Results'!BA$142</f>
        <v>50.505050505050505</v>
      </c>
      <c r="BB81" s="68">
        <f>'O.G.Chem Results'!BB81/'O.G.Chem Results'!BB$142</f>
        <v>37.356321839080458</v>
      </c>
      <c r="BC81" s="68">
        <f>'O.G.Chem Results'!BC81/'O.G.Chem Results'!BC$142</f>
        <v>23.113528212100615</v>
      </c>
      <c r="BD81" s="68">
        <f>'O.G.Chem Results'!BD81/'O.G.Chem Results'!BD$142</f>
        <v>14.464285714285715</v>
      </c>
      <c r="BE81" s="68">
        <f>'O.G.Chem Results'!BE81/'O.G.Chem Results'!BE$142</f>
        <v>14.772727272727273</v>
      </c>
      <c r="BF81" s="68">
        <f>'O.G.Chem Results'!BF81/'O.G.Chem Results'!BF$142</f>
        <v>13.774104683195592</v>
      </c>
      <c r="BG81" s="68">
        <f>'O.G.Chem Results'!BG81/'O.G.Chem Results'!BG$142</f>
        <v>11.948908117016893</v>
      </c>
      <c r="BH81" s="68">
        <f>'O.G.Chem Results'!BH81/'O.G.Chem Results'!BH$142</f>
        <v>10.791366906474819</v>
      </c>
      <c r="BI81" s="68">
        <f>'O.G.Chem Results'!BI81/'O.G.Chem Results'!BI$142</f>
        <v>11.32787916928886</v>
      </c>
      <c r="BJ81" s="68">
        <f>'O.G.Chem Results'!BJ81/'O.G.Chem Results'!BJ$142</f>
        <v>11.5702479338843</v>
      </c>
      <c r="BK81" s="68">
        <f>'O.G.Chem Results'!BK81/'O.G.Chem Results'!BK$142</f>
        <v>12.307692307692307</v>
      </c>
      <c r="BL81" s="68">
        <f>'O.G.Chem Results'!BL81/'O.G.Chem Results'!BL$142</f>
        <v>13.16872427983539</v>
      </c>
      <c r="BM81" s="75">
        <v>6.6</v>
      </c>
      <c r="BN81" s="75">
        <v>0.6</v>
      </c>
      <c r="BO81" s="75">
        <v>1</v>
      </c>
      <c r="BP81" s="75">
        <v>0.4</v>
      </c>
      <c r="BQ81" s="75">
        <v>30</v>
      </c>
      <c r="BR81" s="75">
        <v>11.4</v>
      </c>
      <c r="BS81" s="75">
        <v>2.7</v>
      </c>
      <c r="BT81" s="76">
        <f t="shared" si="32"/>
        <v>0.77180125483700912</v>
      </c>
      <c r="BU81" s="281">
        <f t="shared" si="33"/>
        <v>564.48398497381743</v>
      </c>
      <c r="BV81" s="77">
        <f t="shared" si="34"/>
        <v>60</v>
      </c>
      <c r="BW81" s="78">
        <f t="shared" si="30"/>
        <v>93.523061825318948</v>
      </c>
      <c r="BX81" s="69">
        <f t="shared" si="36"/>
        <v>5.1863395225464188</v>
      </c>
      <c r="BY81" s="76">
        <v>11.42</v>
      </c>
      <c r="BZ81" s="76">
        <v>2.08</v>
      </c>
      <c r="CA81" s="76">
        <v>47.61</v>
      </c>
      <c r="CB81" s="76">
        <v>3.8272000000000004</v>
      </c>
      <c r="CC81" s="76">
        <v>0.33280000000000004</v>
      </c>
      <c r="CD81" s="76">
        <v>0</v>
      </c>
      <c r="CE81" s="76">
        <v>0</v>
      </c>
      <c r="CF81" s="76">
        <v>0</v>
      </c>
      <c r="CG81" s="76">
        <v>0</v>
      </c>
      <c r="CH81" s="76">
        <v>0</v>
      </c>
      <c r="CI81" s="76">
        <v>5.14</v>
      </c>
      <c r="CJ81" s="76">
        <v>0</v>
      </c>
      <c r="CK81" s="76">
        <v>11.71</v>
      </c>
      <c r="CL81" s="76">
        <v>7.84</v>
      </c>
      <c r="CM81" s="76">
        <v>0.03</v>
      </c>
      <c r="CN81" s="76">
        <v>0</v>
      </c>
      <c r="CO81" s="76">
        <v>0</v>
      </c>
      <c r="CP81" s="76">
        <v>6.9</v>
      </c>
      <c r="CQ81" s="76">
        <v>0</v>
      </c>
      <c r="CR81" s="76">
        <v>0</v>
      </c>
      <c r="CS81" s="76">
        <v>0</v>
      </c>
      <c r="CT81" s="76">
        <v>0</v>
      </c>
      <c r="CU81" s="76">
        <v>0</v>
      </c>
      <c r="CV81" s="76">
        <v>0</v>
      </c>
      <c r="CW81" s="76">
        <v>0</v>
      </c>
      <c r="CX81" s="76">
        <v>0</v>
      </c>
      <c r="CY81" s="281">
        <v>96.890000000000015</v>
      </c>
      <c r="CZ81" s="285">
        <v>0.57093176639884868</v>
      </c>
      <c r="DA81" s="285">
        <v>4.5895191269936443E-2</v>
      </c>
      <c r="DB81" s="285">
        <v>3.9908861973857778E-3</v>
      </c>
      <c r="DC81" s="285">
        <v>0</v>
      </c>
      <c r="DD81" s="285">
        <v>0</v>
      </c>
      <c r="DE81" s="285">
        <v>0</v>
      </c>
      <c r="DF81" s="285">
        <v>0</v>
      </c>
      <c r="DG81" s="285">
        <v>0</v>
      </c>
      <c r="DH81" s="285">
        <v>6.1638086101450995E-2</v>
      </c>
      <c r="DI81" s="285">
        <v>0</v>
      </c>
      <c r="DJ81" s="285">
        <v>0.14042451133229403</v>
      </c>
      <c r="DK81" s="285">
        <v>9.4016069073030326E-2</v>
      </c>
      <c r="DL81" s="285">
        <v>3.5975536635088134E-4</v>
      </c>
      <c r="DM81" s="285">
        <v>0</v>
      </c>
      <c r="DN81" s="285">
        <v>0</v>
      </c>
      <c r="DO81" s="285">
        <v>8.2743734260702709E-2</v>
      </c>
      <c r="DP81" s="285">
        <v>0</v>
      </c>
      <c r="DQ81" s="285">
        <v>0</v>
      </c>
      <c r="DR81" s="285">
        <v>0</v>
      </c>
      <c r="DS81" s="285">
        <v>0</v>
      </c>
      <c r="DT81" s="285">
        <v>0</v>
      </c>
      <c r="DU81" s="285">
        <v>0</v>
      </c>
      <c r="DV81" s="285">
        <v>0</v>
      </c>
      <c r="DW81" s="285">
        <v>0</v>
      </c>
      <c r="DX81" s="76">
        <v>0.99999999999999978</v>
      </c>
      <c r="DY81" s="78">
        <v>75.515458871805578</v>
      </c>
      <c r="DZ81" s="78">
        <v>16.13868485330514</v>
      </c>
      <c r="EA81" s="78">
        <v>0.21742816305319337</v>
      </c>
      <c r="EB81" s="78">
        <v>0.37135923346438876</v>
      </c>
      <c r="EC81" s="78">
        <v>0</v>
      </c>
      <c r="ED81" s="78">
        <v>0.20616571800997496</v>
      </c>
      <c r="EE81" s="78">
        <v>3.2943063006969333E-4</v>
      </c>
      <c r="EF81" s="78">
        <v>4.7181766015711765E-2</v>
      </c>
      <c r="EG81" s="78">
        <v>1.7390277977635655</v>
      </c>
      <c r="EH81" s="78">
        <v>0</v>
      </c>
      <c r="EI81" s="78">
        <v>0</v>
      </c>
      <c r="EJ81" s="78">
        <v>5.7643641659523741</v>
      </c>
      <c r="EK81" s="78">
        <v>0</v>
      </c>
      <c r="EL81" s="78">
        <v>100</v>
      </c>
      <c r="EM81" s="76">
        <v>90.033379724643524</v>
      </c>
      <c r="EN81" s="76" t="s">
        <v>166</v>
      </c>
      <c r="EO81" s="289">
        <v>6.2220972752937715E-3</v>
      </c>
      <c r="EP81" s="257">
        <f t="shared" si="37"/>
        <v>0.6222097275293772</v>
      </c>
      <c r="EQ81" s="257">
        <f t="shared" si="38"/>
        <v>69.062937062937038</v>
      </c>
      <c r="ER81" s="324">
        <f t="shared" si="39"/>
        <v>0.76356375309131064</v>
      </c>
      <c r="ES81" s="257">
        <f t="shared" si="40"/>
        <v>4.0874344263819014</v>
      </c>
      <c r="ET81">
        <f t="shared" si="35"/>
        <v>60</v>
      </c>
      <c r="EU81" s="324">
        <f t="shared" si="41"/>
        <v>0.1868075847683259</v>
      </c>
      <c r="EV81" s="39">
        <f t="shared" si="42"/>
        <v>166</v>
      </c>
      <c r="EW81"/>
      <c r="EX81">
        <f t="shared" si="43"/>
        <v>0.83162393162393178</v>
      </c>
      <c r="EY81"/>
      <c r="EZ81"/>
      <c r="FA81"/>
      <c r="FB81"/>
      <c r="FC81"/>
      <c r="FD81"/>
    </row>
    <row r="82" spans="1:160" s="77" customFormat="1" ht="13" customHeight="1" x14ac:dyDescent="0.2">
      <c r="A82" s="72" t="s">
        <v>167</v>
      </c>
      <c r="B82" s="73" t="s">
        <v>462</v>
      </c>
      <c r="C82" s="276">
        <f t="shared" si="44"/>
        <v>165.71</v>
      </c>
      <c r="D82" s="74">
        <v>76</v>
      </c>
      <c r="E82" s="74">
        <v>102</v>
      </c>
      <c r="F82" s="75">
        <f t="shared" si="31"/>
        <v>89</v>
      </c>
      <c r="G82" s="73" t="s">
        <v>507</v>
      </c>
      <c r="H82" s="84">
        <v>2.5</v>
      </c>
      <c r="I82" s="85">
        <v>4</v>
      </c>
      <c r="J82" s="85">
        <v>6</v>
      </c>
      <c r="K82" s="89">
        <f t="shared" si="20"/>
        <v>1.6666666666666667</v>
      </c>
      <c r="L82" s="75">
        <v>140</v>
      </c>
      <c r="M82" s="75">
        <v>81</v>
      </c>
      <c r="N82" s="75">
        <v>54</v>
      </c>
      <c r="O82" s="75">
        <v>62.76</v>
      </c>
      <c r="P82" s="75">
        <v>18.739999999999998</v>
      </c>
      <c r="Q82" s="75">
        <v>7.27</v>
      </c>
      <c r="R82" s="75">
        <v>4.7E-2</v>
      </c>
      <c r="S82" s="75">
        <v>0.25</v>
      </c>
      <c r="T82" s="75">
        <v>0.04</v>
      </c>
      <c r="U82" s="75">
        <v>0.1</v>
      </c>
      <c r="V82" s="75">
        <v>0.87</v>
      </c>
      <c r="W82" s="75">
        <v>0.73699999999999999</v>
      </c>
      <c r="X82" s="75">
        <v>0.03</v>
      </c>
      <c r="Y82" s="75">
        <v>8.67</v>
      </c>
      <c r="Z82" s="75">
        <v>99.5</v>
      </c>
      <c r="AA82" s="75">
        <v>19</v>
      </c>
      <c r="AB82" s="75">
        <v>1</v>
      </c>
      <c r="AC82" s="75">
        <v>133</v>
      </c>
      <c r="AD82" s="75">
        <v>40</v>
      </c>
      <c r="AE82" s="75">
        <v>9</v>
      </c>
      <c r="AF82" s="75">
        <v>0</v>
      </c>
      <c r="AG82" s="75">
        <v>40</v>
      </c>
      <c r="AH82" s="75">
        <v>60</v>
      </c>
      <c r="AI82" s="75">
        <v>16</v>
      </c>
      <c r="AJ82" s="75">
        <v>1</v>
      </c>
      <c r="AK82" s="75">
        <v>0</v>
      </c>
      <c r="AL82" s="75">
        <v>54</v>
      </c>
      <c r="AM82" s="75">
        <v>33</v>
      </c>
      <c r="AN82" s="68">
        <f>'O.G.Chem Results'!AN82/'O.G.Chem Results'!$AN$142</f>
        <v>3.8461538461538458</v>
      </c>
      <c r="AO82" s="75">
        <v>227</v>
      </c>
      <c r="AP82" s="75">
        <v>7</v>
      </c>
      <c r="AQ82" s="75" t="s">
        <v>72</v>
      </c>
      <c r="AR82" s="75">
        <v>0.7</v>
      </c>
      <c r="AS82" s="75" t="s">
        <v>73</v>
      </c>
      <c r="AT82" s="75">
        <v>1</v>
      </c>
      <c r="AU82" s="75">
        <v>0.5</v>
      </c>
      <c r="AV82" s="75">
        <v>2.7</v>
      </c>
      <c r="AW82" s="75">
        <v>305</v>
      </c>
      <c r="AX82" s="75" t="s">
        <v>75</v>
      </c>
      <c r="AY82" s="68">
        <f>'O.G.Chem Results'!AY82/'O.G.Chem Results'!AY$142</f>
        <v>35.319148936170215</v>
      </c>
      <c r="AZ82" s="68">
        <f>'O.G.Chem Results'!AZ82/'O.G.Chem Results'!AZ$142</f>
        <v>62.334217506631298</v>
      </c>
      <c r="BA82" s="68">
        <f>'O.G.Chem Results'!BA82/'O.G.Chem Results'!BA$142</f>
        <v>21.661054994388326</v>
      </c>
      <c r="BB82" s="68">
        <f>'O.G.Chem Results'!BB82/'O.G.Chem Results'!BB$142</f>
        <v>15.915119363395227</v>
      </c>
      <c r="BC82" s="68">
        <f>'O.G.Chem Results'!BC82/'O.G.Chem Results'!BC$142</f>
        <v>9.5173351461590769</v>
      </c>
      <c r="BD82" s="68">
        <f>'O.G.Chem Results'!BD82/'O.G.Chem Results'!BD$142</f>
        <v>6.2499999999999991</v>
      </c>
      <c r="BE82" s="68">
        <f>'O.G.Chem Results'!BE82/'O.G.Chem Results'!BE$142</f>
        <v>5.6818181818181825</v>
      </c>
      <c r="BF82" s="68">
        <f>'O.G.Chem Results'!BF82/'O.G.Chem Results'!BF$142</f>
        <v>5.5096418732782375</v>
      </c>
      <c r="BG82" s="68">
        <f>'O.G.Chem Results'!BG82/'O.G.Chem Results'!BG$142</f>
        <v>5.3564070869386073</v>
      </c>
      <c r="BH82" s="68">
        <f>'O.G.Chem Results'!BH82/'O.G.Chem Results'!BH$142</f>
        <v>5.3956834532374094</v>
      </c>
      <c r="BI82" s="68">
        <f>'O.G.Chem Results'!BI82/'O.G.Chem Results'!BI$142</f>
        <v>5.6639395846444298</v>
      </c>
      <c r="BJ82" s="68">
        <f>'O.G.Chem Results'!BJ82/'O.G.Chem Results'!BJ$142</f>
        <v>5.7851239669421499</v>
      </c>
      <c r="BK82" s="68">
        <f>'O.G.Chem Results'!BK82/'O.G.Chem Results'!BK$142</f>
        <v>6.7692307692307692</v>
      </c>
      <c r="BL82" s="68">
        <f>'O.G.Chem Results'!BL82/'O.G.Chem Results'!BL$142</f>
        <v>8.2304526748971192</v>
      </c>
      <c r="BM82" s="75">
        <v>5.7</v>
      </c>
      <c r="BN82" s="75">
        <v>0.5</v>
      </c>
      <c r="BO82" s="75">
        <v>0</v>
      </c>
      <c r="BP82" s="75">
        <v>0.2</v>
      </c>
      <c r="BQ82" s="75">
        <v>23</v>
      </c>
      <c r="BR82" s="75">
        <v>10.5</v>
      </c>
      <c r="BS82" s="75">
        <v>2.2999999999999998</v>
      </c>
      <c r="BT82" s="76">
        <f t="shared" si="32"/>
        <v>0.63832123537842711</v>
      </c>
      <c r="BU82" s="281">
        <f t="shared" si="33"/>
        <v>199.38917353773104</v>
      </c>
      <c r="BV82" s="77">
        <f t="shared" si="34"/>
        <v>89</v>
      </c>
      <c r="BW82" s="78">
        <f t="shared" si="30"/>
        <v>94.886075949367083</v>
      </c>
      <c r="BX82" s="69">
        <f t="shared" si="36"/>
        <v>2.8777092123527717</v>
      </c>
      <c r="BY82" s="76">
        <v>8.6999999999999993</v>
      </c>
      <c r="BZ82" s="76">
        <v>1.26</v>
      </c>
      <c r="CA82" s="76">
        <v>37.94</v>
      </c>
      <c r="CB82" s="76">
        <v>1.5087999999999999</v>
      </c>
      <c r="CC82" s="76">
        <v>0.13119999999999998</v>
      </c>
      <c r="CD82" s="76">
        <v>0</v>
      </c>
      <c r="CE82" s="76">
        <v>0</v>
      </c>
      <c r="CF82" s="76">
        <v>0</v>
      </c>
      <c r="CG82" s="76">
        <v>0</v>
      </c>
      <c r="CH82" s="76">
        <v>0</v>
      </c>
      <c r="CI82" s="76">
        <v>1.56</v>
      </c>
      <c r="CJ82" s="76">
        <v>0</v>
      </c>
      <c r="CK82" s="76">
        <v>25.36</v>
      </c>
      <c r="CL82" s="76">
        <v>14.25</v>
      </c>
      <c r="CM82" s="76">
        <v>2.73</v>
      </c>
      <c r="CN82" s="76">
        <v>0</v>
      </c>
      <c r="CO82" s="76">
        <v>0</v>
      </c>
      <c r="CP82" s="76">
        <v>5.58</v>
      </c>
      <c r="CQ82" s="76">
        <v>0</v>
      </c>
      <c r="CR82" s="76">
        <v>0</v>
      </c>
      <c r="CS82" s="76">
        <v>0</v>
      </c>
      <c r="CT82" s="76">
        <v>0</v>
      </c>
      <c r="CU82" s="76">
        <v>0</v>
      </c>
      <c r="CV82" s="76">
        <v>0</v>
      </c>
      <c r="CW82" s="76">
        <v>0</v>
      </c>
      <c r="CX82" s="76">
        <v>0</v>
      </c>
      <c r="CY82" s="281">
        <v>99.02000000000001</v>
      </c>
      <c r="CZ82" s="285">
        <v>0.42600494048955756</v>
      </c>
      <c r="DA82" s="285">
        <v>1.6941387828430271E-2</v>
      </c>
      <c r="DB82" s="285">
        <v>1.4731641589939364E-3</v>
      </c>
      <c r="DC82" s="285">
        <v>0</v>
      </c>
      <c r="DD82" s="285">
        <v>0</v>
      </c>
      <c r="DE82" s="285">
        <v>0</v>
      </c>
      <c r="DF82" s="285">
        <v>0</v>
      </c>
      <c r="DG82" s="285">
        <v>0</v>
      </c>
      <c r="DH82" s="285">
        <v>1.7516281158769371E-2</v>
      </c>
      <c r="DI82" s="285">
        <v>0</v>
      </c>
      <c r="DJ82" s="285">
        <v>0.28475185268358411</v>
      </c>
      <c r="DK82" s="285">
        <v>0.16000449135414327</v>
      </c>
      <c r="DL82" s="285">
        <v>3.0653492027846396E-2</v>
      </c>
      <c r="DM82" s="285">
        <v>0</v>
      </c>
      <c r="DN82" s="285">
        <v>0</v>
      </c>
      <c r="DO82" s="285">
        <v>6.2654390298675047E-2</v>
      </c>
      <c r="DP82" s="285">
        <v>0</v>
      </c>
      <c r="DQ82" s="285">
        <v>0</v>
      </c>
      <c r="DR82" s="285">
        <v>0</v>
      </c>
      <c r="DS82" s="285">
        <v>0</v>
      </c>
      <c r="DT82" s="285">
        <v>0</v>
      </c>
      <c r="DU82" s="285">
        <v>0</v>
      </c>
      <c r="DV82" s="285">
        <v>0</v>
      </c>
      <c r="DW82" s="285">
        <v>0</v>
      </c>
      <c r="DX82" s="76">
        <v>1</v>
      </c>
      <c r="DY82" s="78">
        <v>68.88678450725169</v>
      </c>
      <c r="DZ82" s="78">
        <v>21.494947641349903</v>
      </c>
      <c r="EA82" s="78">
        <v>0.55794717241773595</v>
      </c>
      <c r="EB82" s="78">
        <v>0.28119695784076887</v>
      </c>
      <c r="EC82" s="78">
        <v>0</v>
      </c>
      <c r="ED82" s="78">
        <v>0.20609262751265756</v>
      </c>
      <c r="EE82" s="78">
        <v>2.8069627688946414E-2</v>
      </c>
      <c r="EF82" s="78">
        <v>1.7416303851990268E-2</v>
      </c>
      <c r="EG82" s="78">
        <v>1.1350888221707556</v>
      </c>
      <c r="EH82" s="78">
        <v>0</v>
      </c>
      <c r="EI82" s="78">
        <v>0</v>
      </c>
      <c r="EJ82" s="78">
        <v>7.3924563399155403</v>
      </c>
      <c r="EK82" s="78">
        <v>0</v>
      </c>
      <c r="EL82" s="78">
        <v>99.999999999999986</v>
      </c>
      <c r="EM82" s="76">
        <v>94.793616071359821</v>
      </c>
      <c r="EN82" s="76" t="s">
        <v>167</v>
      </c>
      <c r="EO82" s="289">
        <v>8.64451856464174E-3</v>
      </c>
      <c r="EP82" s="257">
        <f t="shared" si="37"/>
        <v>0.864451856464174</v>
      </c>
      <c r="EQ82" s="257">
        <f t="shared" si="38"/>
        <v>85.07956189295308</v>
      </c>
      <c r="ER82" s="324">
        <f t="shared" si="39"/>
        <v>0.82241423125794122</v>
      </c>
      <c r="ES82" s="257">
        <f t="shared" si="40"/>
        <v>2.1605461516392372</v>
      </c>
      <c r="ET82">
        <f t="shared" si="35"/>
        <v>89</v>
      </c>
      <c r="EU82" s="324">
        <f t="shared" si="41"/>
        <v>0.38065108242837759</v>
      </c>
      <c r="EV82" s="39">
        <f t="shared" si="42"/>
        <v>165.71</v>
      </c>
      <c r="EW82"/>
      <c r="EX82">
        <f t="shared" si="43"/>
        <v>0.71282051282051284</v>
      </c>
      <c r="EY82"/>
      <c r="EZ82"/>
      <c r="FA82"/>
      <c r="FB82"/>
      <c r="FC82"/>
      <c r="FD82"/>
    </row>
    <row r="83" spans="1:160" s="77" customFormat="1" ht="13" customHeight="1" x14ac:dyDescent="0.2">
      <c r="A83" s="72" t="s">
        <v>168</v>
      </c>
      <c r="B83" s="73" t="s">
        <v>462</v>
      </c>
      <c r="C83" s="276">
        <f t="shared" si="44"/>
        <v>165.345</v>
      </c>
      <c r="D83" s="74">
        <v>102</v>
      </c>
      <c r="E83" s="74">
        <v>149</v>
      </c>
      <c r="F83" s="75">
        <f t="shared" si="31"/>
        <v>125.5</v>
      </c>
      <c r="G83" s="73" t="s">
        <v>507</v>
      </c>
      <c r="H83" s="84">
        <v>2.5</v>
      </c>
      <c r="I83" s="85">
        <v>4</v>
      </c>
      <c r="J83" s="85">
        <v>6</v>
      </c>
      <c r="K83" s="89">
        <f t="shared" si="20"/>
        <v>1.6666666666666667</v>
      </c>
      <c r="L83" s="75">
        <v>140</v>
      </c>
      <c r="M83" s="75">
        <v>81</v>
      </c>
      <c r="N83" s="75">
        <v>54</v>
      </c>
      <c r="O83" s="75">
        <v>66.180000000000007</v>
      </c>
      <c r="P83" s="75">
        <v>15.82</v>
      </c>
      <c r="Q83" s="75">
        <v>7.59</v>
      </c>
      <c r="R83" s="75">
        <v>3.9E-2</v>
      </c>
      <c r="S83" s="75">
        <v>0.19</v>
      </c>
      <c r="T83" s="75">
        <v>0.03</v>
      </c>
      <c r="U83" s="75">
        <v>0.06</v>
      </c>
      <c r="V83" s="75">
        <v>0.49</v>
      </c>
      <c r="W83" s="75">
        <v>0.68500000000000005</v>
      </c>
      <c r="X83" s="75">
        <v>0.03</v>
      </c>
      <c r="Y83" s="75">
        <v>7.54</v>
      </c>
      <c r="Z83" s="75">
        <v>98.65</v>
      </c>
      <c r="AA83" s="75">
        <v>19</v>
      </c>
      <c r="AB83" s="75">
        <v>1</v>
      </c>
      <c r="AC83" s="75">
        <v>133</v>
      </c>
      <c r="AD83" s="75">
        <v>40</v>
      </c>
      <c r="AE83" s="75">
        <v>7</v>
      </c>
      <c r="AF83" s="75">
        <v>0</v>
      </c>
      <c r="AG83" s="75">
        <v>40</v>
      </c>
      <c r="AH83" s="75">
        <v>50</v>
      </c>
      <c r="AI83" s="75">
        <v>14</v>
      </c>
      <c r="AJ83" s="75">
        <v>1</v>
      </c>
      <c r="AK83" s="75">
        <v>0</v>
      </c>
      <c r="AL83" s="75">
        <v>34</v>
      </c>
      <c r="AM83" s="75">
        <v>17</v>
      </c>
      <c r="AN83" s="68">
        <f>'O.G.Chem Results'!AN83/'O.G.Chem Results'!$AN$142</f>
        <v>1.9230769230769229</v>
      </c>
      <c r="AO83" s="75">
        <v>210</v>
      </c>
      <c r="AP83" s="75">
        <v>5</v>
      </c>
      <c r="AQ83" s="75" t="s">
        <v>72</v>
      </c>
      <c r="AR83" s="75">
        <v>0.7</v>
      </c>
      <c r="AS83" s="75" t="s">
        <v>73</v>
      </c>
      <c r="AT83" s="75">
        <v>1</v>
      </c>
      <c r="AU83" s="75" t="s">
        <v>74</v>
      </c>
      <c r="AV83" s="75">
        <v>2</v>
      </c>
      <c r="AW83" s="75">
        <v>154</v>
      </c>
      <c r="AX83" s="75" t="s">
        <v>75</v>
      </c>
      <c r="AY83" s="68">
        <f>'O.G.Chem Results'!AY83/'O.G.Chem Results'!AY$142</f>
        <v>21.702127659574469</v>
      </c>
      <c r="AZ83" s="68">
        <f>'O.G.Chem Results'!AZ83/'O.G.Chem Results'!AZ$142</f>
        <v>40.119363395225456</v>
      </c>
      <c r="BA83" s="68">
        <f>'O.G.Chem Results'!BA83/'O.G.Chem Results'!BA$142</f>
        <v>13.916947250280584</v>
      </c>
      <c r="BB83" s="68">
        <f>'O.G.Chem Results'!BB83/'O.G.Chem Results'!BB$142</f>
        <v>9.7259062776304166</v>
      </c>
      <c r="BC83" s="68">
        <f>'O.G.Chem Results'!BC83/'O.G.Chem Results'!BC$142</f>
        <v>6.1182868796736924</v>
      </c>
      <c r="BD83" s="68">
        <f>'O.G.Chem Results'!BD83/'O.G.Chem Results'!BD$142</f>
        <v>3.75</v>
      </c>
      <c r="BE83" s="68">
        <f>'O.G.Chem Results'!BE83/'O.G.Chem Results'!BE$142</f>
        <v>3.9772727272727271</v>
      </c>
      <c r="BF83" s="68">
        <f>'O.G.Chem Results'!BF83/'O.G.Chem Results'!BF$142</f>
        <v>2.7548209366391188</v>
      </c>
      <c r="BG83" s="68">
        <f>'O.G.Chem Results'!BG83/'O.G.Chem Results'!BG$142</f>
        <v>3.7082818294190361</v>
      </c>
      <c r="BH83" s="68">
        <f>'O.G.Chem Results'!BH83/'O.G.Chem Results'!BH$142</f>
        <v>3.5971223021582732</v>
      </c>
      <c r="BI83" s="68">
        <f>'O.G.Chem Results'!BI83/'O.G.Chem Results'!BI$142</f>
        <v>3.7759597230962867</v>
      </c>
      <c r="BJ83" s="68">
        <f>'O.G.Chem Results'!BJ83/'O.G.Chem Results'!BJ$142</f>
        <v>4.1322314049586781</v>
      </c>
      <c r="BK83" s="68">
        <f>'O.G.Chem Results'!BK83/'O.G.Chem Results'!BK$142</f>
        <v>4.9230769230769234</v>
      </c>
      <c r="BL83" s="68">
        <f>'O.G.Chem Results'!BL83/'O.G.Chem Results'!BL$142</f>
        <v>5.761316872427984</v>
      </c>
      <c r="BM83" s="75">
        <v>4.9000000000000004</v>
      </c>
      <c r="BN83" s="75">
        <v>0.4</v>
      </c>
      <c r="BO83" s="75">
        <v>0</v>
      </c>
      <c r="BP83" s="75">
        <v>0.1</v>
      </c>
      <c r="BQ83" s="75">
        <v>11</v>
      </c>
      <c r="BR83" s="75">
        <v>8</v>
      </c>
      <c r="BS83" s="75">
        <v>1.7</v>
      </c>
      <c r="BT83" s="76">
        <f t="shared" si="32"/>
        <v>0.64895496227457172</v>
      </c>
      <c r="BU83" s="281">
        <f t="shared" si="33"/>
        <v>127.96271418143364</v>
      </c>
      <c r="BV83" s="77">
        <f t="shared" si="34"/>
        <v>125.5</v>
      </c>
      <c r="BW83" s="78">
        <f t="shared" si="30"/>
        <v>96.463414634146346</v>
      </c>
      <c r="BX83" s="69">
        <f t="shared" si="36"/>
        <v>2.8827703858988611</v>
      </c>
      <c r="BY83" s="76">
        <v>7.75</v>
      </c>
      <c r="BZ83" s="76">
        <v>1.61</v>
      </c>
      <c r="CA83" s="76">
        <v>44.78</v>
      </c>
      <c r="CB83" s="76">
        <v>0.60720000000000007</v>
      </c>
      <c r="CC83" s="76">
        <v>5.2800000000000007E-2</v>
      </c>
      <c r="CD83" s="76">
        <v>0</v>
      </c>
      <c r="CE83" s="76">
        <v>0</v>
      </c>
      <c r="CF83" s="76">
        <v>0</v>
      </c>
      <c r="CG83" s="76">
        <v>0</v>
      </c>
      <c r="CH83" s="76">
        <v>0</v>
      </c>
      <c r="CI83" s="76">
        <v>0.4</v>
      </c>
      <c r="CJ83" s="76">
        <v>0</v>
      </c>
      <c r="CK83" s="76">
        <v>24.37</v>
      </c>
      <c r="CL83" s="76">
        <v>11.67</v>
      </c>
      <c r="CM83" s="76">
        <v>2.9</v>
      </c>
      <c r="CN83" s="76">
        <v>0</v>
      </c>
      <c r="CO83" s="76">
        <v>0</v>
      </c>
      <c r="CP83" s="76">
        <v>5.05</v>
      </c>
      <c r="CQ83" s="76">
        <v>0</v>
      </c>
      <c r="CR83" s="76">
        <v>0</v>
      </c>
      <c r="CS83" s="76">
        <v>0</v>
      </c>
      <c r="CT83" s="76">
        <v>0</v>
      </c>
      <c r="CU83" s="76">
        <v>0</v>
      </c>
      <c r="CV83" s="76">
        <v>0</v>
      </c>
      <c r="CW83" s="76">
        <v>0</v>
      </c>
      <c r="CX83" s="76">
        <v>0</v>
      </c>
      <c r="CY83" s="281">
        <v>99.19</v>
      </c>
      <c r="CZ83" s="285">
        <v>0.49849716130468663</v>
      </c>
      <c r="DA83" s="285">
        <v>6.7594344873650241E-3</v>
      </c>
      <c r="DB83" s="285">
        <v>5.8777691194478469E-4</v>
      </c>
      <c r="DC83" s="285">
        <v>0</v>
      </c>
      <c r="DD83" s="285">
        <v>0</v>
      </c>
      <c r="DE83" s="285">
        <v>0</v>
      </c>
      <c r="DF83" s="285">
        <v>0</v>
      </c>
      <c r="DG83" s="285">
        <v>0</v>
      </c>
      <c r="DH83" s="285">
        <v>4.4528553935210954E-3</v>
      </c>
      <c r="DI83" s="285">
        <v>0</v>
      </c>
      <c r="DJ83" s="285">
        <v>0.27129021485027277</v>
      </c>
      <c r="DK83" s="285">
        <v>0.12991205610597795</v>
      </c>
      <c r="DL83" s="285">
        <v>3.2283201603027945E-2</v>
      </c>
      <c r="DM83" s="285">
        <v>0</v>
      </c>
      <c r="DN83" s="285">
        <v>0</v>
      </c>
      <c r="DO83" s="285">
        <v>5.6217299343203832E-2</v>
      </c>
      <c r="DP83" s="285">
        <v>0</v>
      </c>
      <c r="DQ83" s="285">
        <v>0</v>
      </c>
      <c r="DR83" s="285">
        <v>0</v>
      </c>
      <c r="DS83" s="285">
        <v>0</v>
      </c>
      <c r="DT83" s="285">
        <v>0</v>
      </c>
      <c r="DU83" s="285">
        <v>0</v>
      </c>
      <c r="DV83" s="285">
        <v>0</v>
      </c>
      <c r="DW83" s="285">
        <v>0</v>
      </c>
      <c r="DX83" s="76">
        <v>0.99999999999999989</v>
      </c>
      <c r="DY83" s="78">
        <v>73.12363887429575</v>
      </c>
      <c r="DZ83" s="78">
        <v>18.634249407249786</v>
      </c>
      <c r="EA83" s="78">
        <v>0.5436131836966146</v>
      </c>
      <c r="EB83" s="78">
        <v>0.25230687710749405</v>
      </c>
      <c r="EC83" s="78">
        <v>0</v>
      </c>
      <c r="ED83" s="78">
        <v>0.19278104400134133</v>
      </c>
      <c r="EE83" s="78">
        <v>2.9561964711263506E-2</v>
      </c>
      <c r="EF83" s="78">
        <v>6.9489209556971264E-3</v>
      </c>
      <c r="EG83" s="78">
        <v>0.89443410502703724</v>
      </c>
      <c r="EH83" s="78">
        <v>0</v>
      </c>
      <c r="EI83" s="78">
        <v>0</v>
      </c>
      <c r="EJ83" s="78">
        <v>6.3224656229550424</v>
      </c>
      <c r="EK83" s="78">
        <v>0</v>
      </c>
      <c r="EL83" s="78">
        <v>100.00000000000004</v>
      </c>
      <c r="EM83" s="76">
        <v>95.241831122353503</v>
      </c>
      <c r="EN83" s="76" t="s">
        <v>168</v>
      </c>
      <c r="EO83" s="289">
        <v>8.1862767974378303E-3</v>
      </c>
      <c r="EP83" s="257">
        <f t="shared" si="37"/>
        <v>0.81862767974378303</v>
      </c>
      <c r="EQ83" s="257">
        <f t="shared" si="38"/>
        <v>86.453143534994069</v>
      </c>
      <c r="ER83" s="324">
        <f t="shared" si="39"/>
        <v>0.74290086850059289</v>
      </c>
      <c r="ES83" s="257">
        <f t="shared" si="40"/>
        <v>2.265343950939013</v>
      </c>
      <c r="ET83">
        <f t="shared" si="35"/>
        <v>125.5</v>
      </c>
      <c r="EU83" s="324">
        <f t="shared" si="41"/>
        <v>0.32794175391893637</v>
      </c>
      <c r="EV83" s="39">
        <f t="shared" si="42"/>
        <v>165.345</v>
      </c>
      <c r="EW83"/>
      <c r="EX83">
        <f t="shared" si="43"/>
        <v>0.5346153846153846</v>
      </c>
      <c r="EY83"/>
      <c r="EZ83"/>
      <c r="FA83"/>
      <c r="FB83"/>
      <c r="FC83"/>
      <c r="FD83"/>
    </row>
    <row r="84" spans="1:160" s="77" customFormat="1" ht="13" customHeight="1" x14ac:dyDescent="0.2">
      <c r="A84" s="72" t="s">
        <v>169</v>
      </c>
      <c r="B84" s="73" t="s">
        <v>462</v>
      </c>
      <c r="C84" s="276">
        <f t="shared" si="44"/>
        <v>165.07999999999998</v>
      </c>
      <c r="D84" s="74">
        <v>149</v>
      </c>
      <c r="E84" s="74">
        <v>155</v>
      </c>
      <c r="F84" s="75">
        <f t="shared" si="31"/>
        <v>152</v>
      </c>
      <c r="G84" s="73" t="s">
        <v>507</v>
      </c>
      <c r="H84" s="84">
        <v>2.5</v>
      </c>
      <c r="I84" s="85">
        <v>4</v>
      </c>
      <c r="J84" s="85">
        <v>6</v>
      </c>
      <c r="K84" s="89">
        <f t="shared" si="20"/>
        <v>1.6666666666666667</v>
      </c>
      <c r="L84" s="75">
        <v>140</v>
      </c>
      <c r="M84" s="75">
        <v>81</v>
      </c>
      <c r="N84" s="75">
        <v>54</v>
      </c>
      <c r="O84" s="75">
        <v>61.35</v>
      </c>
      <c r="P84" s="75">
        <v>19.559999999999999</v>
      </c>
      <c r="Q84" s="75">
        <v>8.2200000000000006</v>
      </c>
      <c r="R84" s="75">
        <v>3.4000000000000002E-2</v>
      </c>
      <c r="S84" s="75">
        <v>0.23</v>
      </c>
      <c r="T84" s="75">
        <v>0.03</v>
      </c>
      <c r="U84" s="75">
        <v>0.1</v>
      </c>
      <c r="V84" s="75">
        <v>0.59</v>
      </c>
      <c r="W84" s="75">
        <v>0.73799999999999999</v>
      </c>
      <c r="X84" s="75">
        <v>0.03</v>
      </c>
      <c r="Y84" s="75">
        <v>8.91</v>
      </c>
      <c r="Z84" s="75">
        <v>99.78</v>
      </c>
      <c r="AA84" s="75">
        <v>23</v>
      </c>
      <c r="AB84" s="75">
        <v>2</v>
      </c>
      <c r="AC84" s="75">
        <v>138</v>
      </c>
      <c r="AD84" s="75">
        <v>30</v>
      </c>
      <c r="AE84" s="75">
        <v>6</v>
      </c>
      <c r="AF84" s="75">
        <v>0</v>
      </c>
      <c r="AG84" s="75">
        <v>40</v>
      </c>
      <c r="AH84" s="75">
        <v>60</v>
      </c>
      <c r="AI84" s="75">
        <v>16</v>
      </c>
      <c r="AJ84" s="75">
        <v>1</v>
      </c>
      <c r="AK84" s="75">
        <v>0</v>
      </c>
      <c r="AL84" s="75">
        <v>41</v>
      </c>
      <c r="AM84" s="75">
        <v>18</v>
      </c>
      <c r="AN84" s="68">
        <f>'O.G.Chem Results'!AN84/'O.G.Chem Results'!$AN$142</f>
        <v>3.2051282051282048</v>
      </c>
      <c r="AO84" s="75">
        <v>137</v>
      </c>
      <c r="AP84" s="75">
        <v>6</v>
      </c>
      <c r="AQ84" s="75" t="s">
        <v>72</v>
      </c>
      <c r="AR84" s="75" t="s">
        <v>74</v>
      </c>
      <c r="AS84" s="75" t="s">
        <v>73</v>
      </c>
      <c r="AT84" s="75">
        <v>1</v>
      </c>
      <c r="AU84" s="75" t="s">
        <v>74</v>
      </c>
      <c r="AV84" s="75">
        <v>2.5</v>
      </c>
      <c r="AW84" s="75">
        <v>163</v>
      </c>
      <c r="AX84" s="75" t="s">
        <v>75</v>
      </c>
      <c r="AY84" s="68">
        <f>'O.G.Chem Results'!AY84/'O.G.Chem Results'!AY$142</f>
        <v>25.531914893617024</v>
      </c>
      <c r="AZ84" s="68">
        <f>'O.G.Chem Results'!AZ84/'O.G.Chem Results'!AZ$142</f>
        <v>44.92705570291777</v>
      </c>
      <c r="BA84" s="68">
        <f>'O.G.Chem Results'!BA84/'O.G.Chem Results'!BA$142</f>
        <v>16.161616161616163</v>
      </c>
      <c r="BB84" s="68">
        <f>'O.G.Chem Results'!BB84/'O.G.Chem Results'!BB$142</f>
        <v>11.494252873563219</v>
      </c>
      <c r="BC84" s="68">
        <f>'O.G.Chem Results'!BC84/'O.G.Chem Results'!BC$142</f>
        <v>6.1182868796736924</v>
      </c>
      <c r="BD84" s="68">
        <f>'O.G.Chem Results'!BD84/'O.G.Chem Results'!BD$142</f>
        <v>4.4642857142857144</v>
      </c>
      <c r="BE84" s="68">
        <f>'O.G.Chem Results'!BE84/'O.G.Chem Results'!BE$142</f>
        <v>4.5454545454545459</v>
      </c>
      <c r="BF84" s="68">
        <f>'O.G.Chem Results'!BF84/'O.G.Chem Results'!BF$142</f>
        <v>2.7548209366391188</v>
      </c>
      <c r="BG84" s="68">
        <f>'O.G.Chem Results'!BG84/'O.G.Chem Results'!BG$142</f>
        <v>4.1203131437989287</v>
      </c>
      <c r="BH84" s="68">
        <f>'O.G.Chem Results'!BH84/'O.G.Chem Results'!BH$142</f>
        <v>3.5971223021582732</v>
      </c>
      <c r="BI84" s="68">
        <f>'O.G.Chem Results'!BI84/'O.G.Chem Results'!BI$142</f>
        <v>4.4052863436123344</v>
      </c>
      <c r="BJ84" s="68">
        <f>'O.G.Chem Results'!BJ84/'O.G.Chem Results'!BJ$142</f>
        <v>4.5454545454545459</v>
      </c>
      <c r="BK84" s="68">
        <f>'O.G.Chem Results'!BK84/'O.G.Chem Results'!BK$142</f>
        <v>4.9230769230769234</v>
      </c>
      <c r="BL84" s="68">
        <f>'O.G.Chem Results'!BL84/'O.G.Chem Results'!BL$142</f>
        <v>5.3497942386831276</v>
      </c>
      <c r="BM84" s="75">
        <v>3.6</v>
      </c>
      <c r="BN84" s="75">
        <v>0.4</v>
      </c>
      <c r="BO84" s="75">
        <v>0</v>
      </c>
      <c r="BP84" s="75">
        <v>0.2</v>
      </c>
      <c r="BQ84" s="75">
        <v>24</v>
      </c>
      <c r="BR84" s="75">
        <v>9.6</v>
      </c>
      <c r="BS84" s="75">
        <v>1.9</v>
      </c>
      <c r="BT84" s="76">
        <f t="shared" si="32"/>
        <v>0.63763429017691753</v>
      </c>
      <c r="BU84" s="281">
        <f t="shared" si="33"/>
        <v>142.93873520455136</v>
      </c>
      <c r="BV84" s="77">
        <f t="shared" si="34"/>
        <v>152</v>
      </c>
      <c r="BW84" s="78">
        <f t="shared" si="30"/>
        <v>96.449704142011811</v>
      </c>
      <c r="BX84" s="69">
        <f t="shared" si="36"/>
        <v>2.7798615716180368</v>
      </c>
      <c r="BY84" s="76">
        <v>7.73</v>
      </c>
      <c r="BZ84" s="76">
        <v>1.64</v>
      </c>
      <c r="CA84" s="76">
        <v>38.94</v>
      </c>
      <c r="CB84" s="76">
        <v>0.81880000000000008</v>
      </c>
      <c r="CC84" s="76">
        <v>7.1199999999999999E-2</v>
      </c>
      <c r="CD84" s="76">
        <v>0</v>
      </c>
      <c r="CE84" s="76">
        <v>0</v>
      </c>
      <c r="CF84" s="76">
        <v>0</v>
      </c>
      <c r="CG84" s="76">
        <v>0</v>
      </c>
      <c r="CH84" s="76">
        <v>0</v>
      </c>
      <c r="CI84" s="76">
        <v>1.31</v>
      </c>
      <c r="CJ84" s="76">
        <v>0</v>
      </c>
      <c r="CK84" s="76">
        <v>29.44</v>
      </c>
      <c r="CL84" s="76">
        <v>14.38</v>
      </c>
      <c r="CM84" s="76">
        <v>3.4</v>
      </c>
      <c r="CN84" s="76">
        <v>0</v>
      </c>
      <c r="CO84" s="76">
        <v>0</v>
      </c>
      <c r="CP84" s="76">
        <v>2.2799999999999998</v>
      </c>
      <c r="CQ84" s="76">
        <v>0</v>
      </c>
      <c r="CR84" s="76">
        <v>0</v>
      </c>
      <c r="CS84" s="76">
        <v>0</v>
      </c>
      <c r="CT84" s="76">
        <v>0</v>
      </c>
      <c r="CU84" s="76">
        <v>0</v>
      </c>
      <c r="CV84" s="76">
        <v>0</v>
      </c>
      <c r="CW84" s="76">
        <v>0</v>
      </c>
      <c r="CX84" s="76">
        <v>0</v>
      </c>
      <c r="CY84" s="281">
        <v>100.01</v>
      </c>
      <c r="CZ84" s="285">
        <v>0.42961165048543687</v>
      </c>
      <c r="DA84" s="285">
        <v>9.0335392762577234E-3</v>
      </c>
      <c r="DB84" s="285">
        <v>7.8552515445719326E-4</v>
      </c>
      <c r="DC84" s="285">
        <v>0</v>
      </c>
      <c r="DD84" s="285">
        <v>0</v>
      </c>
      <c r="DE84" s="285">
        <v>0</v>
      </c>
      <c r="DF84" s="285">
        <v>0</v>
      </c>
      <c r="DG84" s="285">
        <v>0</v>
      </c>
      <c r="DH84" s="285">
        <v>1.4452780229479259E-2</v>
      </c>
      <c r="DI84" s="285">
        <v>0</v>
      </c>
      <c r="DJ84" s="285">
        <v>0.32480141218005298</v>
      </c>
      <c r="DK84" s="285">
        <v>0.15864960282436011</v>
      </c>
      <c r="DL84" s="285">
        <v>3.7511032656663723E-2</v>
      </c>
      <c r="DM84" s="285">
        <v>0</v>
      </c>
      <c r="DN84" s="285">
        <v>0</v>
      </c>
      <c r="DO84" s="285">
        <v>2.5154457193292141E-2</v>
      </c>
      <c r="DP84" s="285">
        <v>0</v>
      </c>
      <c r="DQ84" s="285">
        <v>0</v>
      </c>
      <c r="DR84" s="285">
        <v>0</v>
      </c>
      <c r="DS84" s="285">
        <v>0</v>
      </c>
      <c r="DT84" s="285">
        <v>0</v>
      </c>
      <c r="DU84" s="285">
        <v>0</v>
      </c>
      <c r="DV84" s="285">
        <v>0</v>
      </c>
      <c r="DW84" s="285">
        <v>0</v>
      </c>
      <c r="DX84" s="76">
        <v>1.0000000000000002</v>
      </c>
      <c r="DY84" s="78">
        <v>68.807274336832663</v>
      </c>
      <c r="DZ84" s="78">
        <v>21.943254119166859</v>
      </c>
      <c r="EA84" s="78">
        <v>0.64638042090009984</v>
      </c>
      <c r="EB84" s="78">
        <v>0.11289483155403358</v>
      </c>
      <c r="EC84" s="78">
        <v>0</v>
      </c>
      <c r="ED84" s="78">
        <v>0.12420715896380607</v>
      </c>
      <c r="EE84" s="78">
        <v>3.4349127986591607E-2</v>
      </c>
      <c r="EF84" s="78">
        <v>9.2867754689003237E-3</v>
      </c>
      <c r="EG84" s="78">
        <v>0.5928154091761153</v>
      </c>
      <c r="EH84" s="78">
        <v>0</v>
      </c>
      <c r="EI84" s="78">
        <v>0</v>
      </c>
      <c r="EJ84" s="78">
        <v>7.7295378199509353</v>
      </c>
      <c r="EK84" s="78">
        <v>0</v>
      </c>
      <c r="EL84" s="78">
        <v>100</v>
      </c>
      <c r="EM84" s="76">
        <v>97.181312597039877</v>
      </c>
      <c r="EN84" s="76" t="s">
        <v>169</v>
      </c>
      <c r="EO84" s="289">
        <v>7.694357872939964E-3</v>
      </c>
      <c r="EP84" s="257">
        <f t="shared" si="37"/>
        <v>0.76943578729399642</v>
      </c>
      <c r="EQ84" s="257">
        <f t="shared" si="38"/>
        <v>93.436853002070407</v>
      </c>
      <c r="ER84" s="324">
        <f t="shared" si="39"/>
        <v>0.83728318913772393</v>
      </c>
      <c r="ES84" s="257">
        <f t="shared" si="40"/>
        <v>2.1544964515547003</v>
      </c>
      <c r="ET84">
        <f t="shared" si="35"/>
        <v>152</v>
      </c>
      <c r="EU84" s="324">
        <f t="shared" si="41"/>
        <v>0.3886212894588591</v>
      </c>
      <c r="EV84" s="39">
        <f t="shared" si="42"/>
        <v>165.07999999999998</v>
      </c>
      <c r="EW84"/>
      <c r="EX84">
        <f t="shared" si="43"/>
        <v>0.89102564102564097</v>
      </c>
      <c r="EY84"/>
      <c r="EZ84"/>
      <c r="FA84"/>
      <c r="FB84"/>
      <c r="FC84"/>
      <c r="FD84"/>
    </row>
    <row r="85" spans="1:160" s="77" customFormat="1" ht="13" customHeight="1" x14ac:dyDescent="0.2">
      <c r="A85" s="72" t="s">
        <v>113</v>
      </c>
      <c r="B85" s="73" t="s">
        <v>462</v>
      </c>
      <c r="C85" s="276">
        <f>162.7-F85/100</f>
        <v>162.69</v>
      </c>
      <c r="D85" s="74">
        <v>0</v>
      </c>
      <c r="E85" s="74">
        <v>2</v>
      </c>
      <c r="F85" s="75">
        <f t="shared" si="31"/>
        <v>1</v>
      </c>
      <c r="G85" s="73" t="s">
        <v>527</v>
      </c>
      <c r="H85" s="84">
        <v>7.5</v>
      </c>
      <c r="I85" s="85">
        <v>2.5</v>
      </c>
      <c r="J85" s="85">
        <v>2</v>
      </c>
      <c r="K85" s="89">
        <f t="shared" si="20"/>
        <v>9.375</v>
      </c>
      <c r="L85" s="75">
        <v>74</v>
      </c>
      <c r="M85" s="75">
        <v>57</v>
      </c>
      <c r="N85" s="75">
        <v>45</v>
      </c>
      <c r="O85" s="75">
        <v>81.59</v>
      </c>
      <c r="P85" s="75">
        <v>3.93</v>
      </c>
      <c r="Q85" s="75">
        <v>2.84</v>
      </c>
      <c r="R85" s="75">
        <v>6.6000000000000003E-2</v>
      </c>
      <c r="S85" s="75">
        <v>7.0000000000000007E-2</v>
      </c>
      <c r="T85" s="75">
        <v>0.2</v>
      </c>
      <c r="U85" s="75">
        <v>0.12</v>
      </c>
      <c r="V85" s="75">
        <v>1.1599999999999999</v>
      </c>
      <c r="W85" s="75">
        <v>0.28299999999999997</v>
      </c>
      <c r="X85" s="75">
        <v>0</v>
      </c>
      <c r="Y85" s="75">
        <v>9.08</v>
      </c>
      <c r="Z85" s="75">
        <v>99.35</v>
      </c>
      <c r="AA85" s="75">
        <v>3</v>
      </c>
      <c r="AB85" s="75">
        <v>0</v>
      </c>
      <c r="AC85" s="75">
        <v>38</v>
      </c>
      <c r="AD85" s="75">
        <v>0</v>
      </c>
      <c r="AE85" s="75">
        <v>3</v>
      </c>
      <c r="AF85" s="75">
        <v>0</v>
      </c>
      <c r="AG85" s="75">
        <v>0</v>
      </c>
      <c r="AH85" s="75">
        <v>0</v>
      </c>
      <c r="AI85" s="75">
        <v>5</v>
      </c>
      <c r="AJ85" s="75">
        <v>0</v>
      </c>
      <c r="AK85" s="75">
        <v>0</v>
      </c>
      <c r="AL85" s="75">
        <v>31</v>
      </c>
      <c r="AM85" s="75">
        <v>49</v>
      </c>
      <c r="AN85" s="68">
        <f>'O.G.Chem Results'!AN85/'O.G.Chem Results'!$AN$142</f>
        <v>2.5641025641025639</v>
      </c>
      <c r="AO85" s="75">
        <v>392</v>
      </c>
      <c r="AP85" s="75">
        <v>3</v>
      </c>
      <c r="AQ85" s="75" t="s">
        <v>72</v>
      </c>
      <c r="AR85" s="75">
        <v>0.8</v>
      </c>
      <c r="AS85" s="75" t="s">
        <v>73</v>
      </c>
      <c r="AT85" s="75">
        <v>1</v>
      </c>
      <c r="AU85" s="75" t="s">
        <v>74</v>
      </c>
      <c r="AV85" s="75">
        <v>0.8</v>
      </c>
      <c r="AW85" s="75">
        <v>368</v>
      </c>
      <c r="AX85" s="75" t="s">
        <v>75</v>
      </c>
      <c r="AY85" s="68">
        <f>'O.G.Chem Results'!AY85/'O.G.Chem Results'!AY$142</f>
        <v>21.276595744680851</v>
      </c>
      <c r="AZ85" s="68">
        <f>'O.G.Chem Results'!AZ85/'O.G.Chem Results'!AZ$142</f>
        <v>15.749336870026523</v>
      </c>
      <c r="BA85" s="68">
        <f>'O.G.Chem Results'!BA85/'O.G.Chem Results'!BA$142</f>
        <v>12.345679012345681</v>
      </c>
      <c r="BB85" s="68">
        <f>'O.G.Chem Results'!BB85/'O.G.Chem Results'!BB$142</f>
        <v>8.6206896551724146</v>
      </c>
      <c r="BC85" s="68">
        <f>'O.G.Chem Results'!BC85/'O.G.Chem Results'!BC$142</f>
        <v>5.4384772263766159</v>
      </c>
      <c r="BD85" s="68">
        <f>'O.G.Chem Results'!BD85/'O.G.Chem Results'!BD$142</f>
        <v>2.8571428571428572</v>
      </c>
      <c r="BE85" s="68">
        <f>'O.G.Chem Results'!BE85/'O.G.Chem Results'!BE$142</f>
        <v>3.4090909090909092</v>
      </c>
      <c r="BF85" s="68">
        <f>'O.G.Chem Results'!BF85/'O.G.Chem Results'!BF$142</f>
        <v>2.7548209366391188</v>
      </c>
      <c r="BG85" s="68">
        <f>'O.G.Chem Results'!BG85/'O.G.Chem Results'!BG$142</f>
        <v>3.296250515039143</v>
      </c>
      <c r="BH85" s="68">
        <f>'O.G.Chem Results'!BH85/'O.G.Chem Results'!BH$142</f>
        <v>3.5971223021582732</v>
      </c>
      <c r="BI85" s="68">
        <f>'O.G.Chem Results'!BI85/'O.G.Chem Results'!BI$142</f>
        <v>3.7759597230962867</v>
      </c>
      <c r="BJ85" s="68">
        <f>'O.G.Chem Results'!BJ85/'O.G.Chem Results'!BJ$142</f>
        <v>3.71900826446281</v>
      </c>
      <c r="BK85" s="68">
        <f>'O.G.Chem Results'!BK85/'O.G.Chem Results'!BK$142</f>
        <v>4.3076923076923075</v>
      </c>
      <c r="BL85" s="68">
        <f>'O.G.Chem Results'!BL85/'O.G.Chem Results'!BL$142</f>
        <v>5.3497942386831276</v>
      </c>
      <c r="BM85" s="75">
        <v>10.6</v>
      </c>
      <c r="BN85" s="75">
        <v>0.4</v>
      </c>
      <c r="BO85" s="75">
        <v>0</v>
      </c>
      <c r="BP85" s="75">
        <v>0.1</v>
      </c>
      <c r="BQ85" s="75">
        <v>14</v>
      </c>
      <c r="BR85" s="75">
        <v>2.4</v>
      </c>
      <c r="BS85" s="75">
        <v>1.5</v>
      </c>
      <c r="BT85" s="76">
        <f t="shared" si="32"/>
        <v>0.42535962655996951</v>
      </c>
      <c r="BU85" s="281">
        <f t="shared" si="33"/>
        <v>96.497660562606939</v>
      </c>
      <c r="BV85" s="77">
        <f t="shared" si="34"/>
        <v>1</v>
      </c>
      <c r="BW85" s="78">
        <f t="shared" si="30"/>
        <v>72.64325323475046</v>
      </c>
      <c r="BX85" s="69">
        <f t="shared" si="36"/>
        <v>1.2756962864721482</v>
      </c>
      <c r="BY85" s="76">
        <v>8.81</v>
      </c>
      <c r="BZ85" s="76">
        <v>0.78</v>
      </c>
      <c r="CA85" s="76">
        <v>55.69</v>
      </c>
      <c r="CB85" s="76">
        <v>4.6551999999999998</v>
      </c>
      <c r="CC85" s="76">
        <v>0.40479999999999999</v>
      </c>
      <c r="CD85" s="76">
        <v>0</v>
      </c>
      <c r="CE85" s="76">
        <v>0</v>
      </c>
      <c r="CF85" s="76">
        <v>0</v>
      </c>
      <c r="CG85" s="76">
        <v>0</v>
      </c>
      <c r="CH85" s="76">
        <v>0</v>
      </c>
      <c r="CI85" s="76">
        <v>0</v>
      </c>
      <c r="CJ85" s="76">
        <v>0</v>
      </c>
      <c r="CK85" s="76">
        <v>13.32</v>
      </c>
      <c r="CL85" s="76">
        <v>13.42</v>
      </c>
      <c r="CM85" s="76">
        <v>0.32</v>
      </c>
      <c r="CN85" s="76">
        <v>0</v>
      </c>
      <c r="CO85" s="76">
        <v>0.2</v>
      </c>
      <c r="CP85" s="76">
        <v>2.41</v>
      </c>
      <c r="CQ85" s="76">
        <v>0</v>
      </c>
      <c r="CR85" s="76">
        <v>0</v>
      </c>
      <c r="CS85" s="76">
        <v>0</v>
      </c>
      <c r="CT85" s="76">
        <v>0</v>
      </c>
      <c r="CU85" s="76">
        <v>0</v>
      </c>
      <c r="CV85" s="76">
        <v>0</v>
      </c>
      <c r="CW85" s="76">
        <v>0</v>
      </c>
      <c r="CX85" s="76">
        <v>0</v>
      </c>
      <c r="CY85" s="281">
        <v>100.00999999999999</v>
      </c>
      <c r="CZ85" s="285">
        <v>0.61590356115903566</v>
      </c>
      <c r="DA85" s="285">
        <v>5.1484184914841857E-2</v>
      </c>
      <c r="DB85" s="285">
        <v>4.4768856447688571E-3</v>
      </c>
      <c r="DC85" s="285">
        <v>0</v>
      </c>
      <c r="DD85" s="285">
        <v>0</v>
      </c>
      <c r="DE85" s="285">
        <v>0</v>
      </c>
      <c r="DF85" s="285">
        <v>0</v>
      </c>
      <c r="DG85" s="285">
        <v>0</v>
      </c>
      <c r="DH85" s="285">
        <v>0</v>
      </c>
      <c r="DI85" s="285">
        <v>0</v>
      </c>
      <c r="DJ85" s="285">
        <v>0.14731254147312545</v>
      </c>
      <c r="DK85" s="285">
        <v>0.14841849148418493</v>
      </c>
      <c r="DL85" s="285">
        <v>3.5390400353904009E-3</v>
      </c>
      <c r="DM85" s="285">
        <v>0</v>
      </c>
      <c r="DN85" s="285">
        <v>2.2119000221190008E-3</v>
      </c>
      <c r="DO85" s="285">
        <v>2.6653395266533958E-2</v>
      </c>
      <c r="DP85" s="285">
        <v>0</v>
      </c>
      <c r="DQ85" s="285">
        <v>0</v>
      </c>
      <c r="DR85" s="285">
        <v>0</v>
      </c>
      <c r="DS85" s="285">
        <v>0</v>
      </c>
      <c r="DT85" s="285">
        <v>0</v>
      </c>
      <c r="DU85" s="285">
        <v>0</v>
      </c>
      <c r="DV85" s="285">
        <v>0</v>
      </c>
      <c r="DW85" s="285">
        <v>0</v>
      </c>
      <c r="DX85" s="76">
        <v>1.0000000000000002</v>
      </c>
      <c r="DY85" s="78">
        <v>80.56889595797206</v>
      </c>
      <c r="DZ85" s="78">
        <v>13.404699972853237</v>
      </c>
      <c r="EA85" s="78">
        <v>0.24046010389135439</v>
      </c>
      <c r="EB85" s="78">
        <v>0.15403999679546285</v>
      </c>
      <c r="EC85" s="78">
        <v>0</v>
      </c>
      <c r="ED85" s="78">
        <v>8.4305539176989491E-2</v>
      </c>
      <c r="EE85" s="78">
        <v>3.5454621063410615E-3</v>
      </c>
      <c r="EF85" s="78">
        <v>5.2927435292178263E-2</v>
      </c>
      <c r="EG85" s="78">
        <v>1.206841616951827</v>
      </c>
      <c r="EH85" s="78">
        <v>4.7760885528058249E-3</v>
      </c>
      <c r="EI85" s="78">
        <v>0</v>
      </c>
      <c r="EJ85" s="78">
        <v>4.2795078264077473</v>
      </c>
      <c r="EK85" s="78">
        <v>0</v>
      </c>
      <c r="EL85" s="78">
        <v>100</v>
      </c>
      <c r="EM85" s="76">
        <v>91.387283429175341</v>
      </c>
      <c r="EN85" s="76" t="s">
        <v>113</v>
      </c>
      <c r="EO85" s="289">
        <v>4.0836370039840893E-3</v>
      </c>
      <c r="EP85" s="257">
        <f t="shared" si="37"/>
        <v>0.40836370039840891</v>
      </c>
      <c r="EQ85" s="257">
        <f t="shared" si="38"/>
        <v>77.709968032548687</v>
      </c>
      <c r="ER85" s="324">
        <f t="shared" si="39"/>
        <v>0.64585947537139354</v>
      </c>
      <c r="ES85" s="257">
        <f t="shared" si="40"/>
        <v>0.92328370554176997</v>
      </c>
      <c r="ET85">
        <f t="shared" si="35"/>
        <v>1</v>
      </c>
      <c r="EU85" s="324">
        <f t="shared" si="41"/>
        <v>0.69952439482554518</v>
      </c>
      <c r="EV85" s="39">
        <f t="shared" si="42"/>
        <v>162.69</v>
      </c>
      <c r="EW85"/>
      <c r="EX85">
        <f t="shared" si="43"/>
        <v>0.71282051282051284</v>
      </c>
      <c r="EY85"/>
      <c r="EZ85" s="324">
        <f>AVERAGE(ER85:ER98)</f>
        <v>0.80662515009503866</v>
      </c>
      <c r="FA85" s="260" t="s">
        <v>667</v>
      </c>
      <c r="FB85"/>
      <c r="FC85"/>
      <c r="FD85"/>
    </row>
    <row r="86" spans="1:160" s="77" customFormat="1" ht="13" customHeight="1" x14ac:dyDescent="0.2">
      <c r="A86" s="72" t="s">
        <v>115</v>
      </c>
      <c r="B86" s="73" t="s">
        <v>462</v>
      </c>
      <c r="C86" s="276">
        <f t="shared" ref="C86:C98" si="45">162.7-F86/100</f>
        <v>162.64499999999998</v>
      </c>
      <c r="D86" s="74">
        <v>2</v>
      </c>
      <c r="E86" s="74">
        <v>9</v>
      </c>
      <c r="F86" s="75">
        <f t="shared" si="31"/>
        <v>5.5</v>
      </c>
      <c r="G86" s="73" t="s">
        <v>511</v>
      </c>
      <c r="H86" s="84">
        <v>5</v>
      </c>
      <c r="I86" s="85">
        <v>4</v>
      </c>
      <c r="J86" s="85">
        <v>4</v>
      </c>
      <c r="K86" s="89">
        <f t="shared" si="20"/>
        <v>5</v>
      </c>
      <c r="L86" s="75">
        <v>127</v>
      </c>
      <c r="M86" s="75">
        <v>87</v>
      </c>
      <c r="N86" s="75">
        <v>63</v>
      </c>
      <c r="O86" s="75">
        <v>85.97</v>
      </c>
      <c r="P86" s="75">
        <v>5.42</v>
      </c>
      <c r="Q86" s="75">
        <v>3.65</v>
      </c>
      <c r="R86" s="75">
        <v>4.7E-2</v>
      </c>
      <c r="S86" s="75">
        <v>0.06</v>
      </c>
      <c r="T86" s="75">
        <v>7.0000000000000007E-2</v>
      </c>
      <c r="U86" s="75">
        <v>0.12</v>
      </c>
      <c r="V86" s="75">
        <v>1.56</v>
      </c>
      <c r="W86" s="75">
        <v>0.41</v>
      </c>
      <c r="X86" s="75">
        <v>0</v>
      </c>
      <c r="Y86" s="75">
        <v>3.27</v>
      </c>
      <c r="Z86" s="75">
        <v>100.6</v>
      </c>
      <c r="AA86" s="75">
        <v>4</v>
      </c>
      <c r="AB86" s="75">
        <v>0</v>
      </c>
      <c r="AC86" s="75">
        <v>51</v>
      </c>
      <c r="AD86" s="75">
        <v>20</v>
      </c>
      <c r="AE86" s="75">
        <v>4</v>
      </c>
      <c r="AF86" s="75">
        <v>0</v>
      </c>
      <c r="AG86" s="75">
        <v>20</v>
      </c>
      <c r="AH86" s="75">
        <v>0</v>
      </c>
      <c r="AI86" s="75">
        <v>7</v>
      </c>
      <c r="AJ86" s="75">
        <v>1</v>
      </c>
      <c r="AK86" s="75">
        <v>0</v>
      </c>
      <c r="AL86" s="75">
        <v>43</v>
      </c>
      <c r="AM86" s="75">
        <v>53</v>
      </c>
      <c r="AN86" s="68">
        <f>'O.G.Chem Results'!AN86/'O.G.Chem Results'!$AN$142</f>
        <v>3.8461538461538458</v>
      </c>
      <c r="AO86" s="75">
        <v>679</v>
      </c>
      <c r="AP86" s="75">
        <v>7</v>
      </c>
      <c r="AQ86" s="75" t="s">
        <v>72</v>
      </c>
      <c r="AR86" s="75">
        <v>1.7</v>
      </c>
      <c r="AS86" s="75" t="s">
        <v>73</v>
      </c>
      <c r="AT86" s="75">
        <v>2</v>
      </c>
      <c r="AU86" s="75" t="s">
        <v>74</v>
      </c>
      <c r="AV86" s="75">
        <v>1.1000000000000001</v>
      </c>
      <c r="AW86" s="75">
        <v>461</v>
      </c>
      <c r="AX86" s="75" t="s">
        <v>75</v>
      </c>
      <c r="AY86" s="68">
        <f>'O.G.Chem Results'!AY86/'O.G.Chem Results'!AY$142</f>
        <v>23.404255319148938</v>
      </c>
      <c r="AZ86" s="68">
        <f>'O.G.Chem Results'!AZ86/'O.G.Chem Results'!AZ$142</f>
        <v>19.562334217506631</v>
      </c>
      <c r="BA86" s="68">
        <f>'O.G.Chem Results'!BA86/'O.G.Chem Results'!BA$142</f>
        <v>13.804713804713804</v>
      </c>
      <c r="BB86" s="68">
        <f>'O.G.Chem Results'!BB86/'O.G.Chem Results'!BB$142</f>
        <v>9.9469496021220163</v>
      </c>
      <c r="BC86" s="68">
        <f>'O.G.Chem Results'!BC86/'O.G.Chem Results'!BC$142</f>
        <v>5.4384772263766159</v>
      </c>
      <c r="BD86" s="68">
        <f>'O.G.Chem Results'!BD86/'O.G.Chem Results'!BD$142</f>
        <v>3.3928571428571428</v>
      </c>
      <c r="BE86" s="68">
        <f>'O.G.Chem Results'!BE86/'O.G.Chem Results'!BE$142</f>
        <v>5.1136363636363642</v>
      </c>
      <c r="BF86" s="68">
        <f>'O.G.Chem Results'!BF86/'O.G.Chem Results'!BF$142</f>
        <v>5.5096418732782375</v>
      </c>
      <c r="BG86" s="68">
        <f>'O.G.Chem Results'!BG86/'O.G.Chem Results'!BG$142</f>
        <v>4.1203131437989287</v>
      </c>
      <c r="BH86" s="68">
        <f>'O.G.Chem Results'!BH86/'O.G.Chem Results'!BH$142</f>
        <v>3.5971223021582732</v>
      </c>
      <c r="BI86" s="68">
        <f>'O.G.Chem Results'!BI86/'O.G.Chem Results'!BI$142</f>
        <v>4.4052863436123344</v>
      </c>
      <c r="BJ86" s="68">
        <f>'O.G.Chem Results'!BJ86/'O.G.Chem Results'!BJ$142</f>
        <v>5.3719008264462813</v>
      </c>
      <c r="BK86" s="68">
        <f>'O.G.Chem Results'!BK86/'O.G.Chem Results'!BK$142</f>
        <v>6.7692307692307692</v>
      </c>
      <c r="BL86" s="68">
        <f>'O.G.Chem Results'!BL86/'O.G.Chem Results'!BL$142</f>
        <v>8.2304526748971192</v>
      </c>
      <c r="BM86" s="75">
        <v>17.899999999999999</v>
      </c>
      <c r="BN86" s="75">
        <v>0.6</v>
      </c>
      <c r="BO86" s="75">
        <v>0</v>
      </c>
      <c r="BP86" s="75">
        <v>0.1</v>
      </c>
      <c r="BQ86" s="75">
        <v>20</v>
      </c>
      <c r="BR86" s="75">
        <v>3.6</v>
      </c>
      <c r="BS86" s="75">
        <v>2.2999999999999998</v>
      </c>
      <c r="BT86" s="76">
        <f t="shared" si="32"/>
        <v>0.45529176107444258</v>
      </c>
      <c r="BU86" s="281">
        <f t="shared" si="33"/>
        <v>118.66717160978345</v>
      </c>
      <c r="BV86" s="77">
        <f t="shared" si="34"/>
        <v>5.5</v>
      </c>
      <c r="BW86" s="78">
        <f t="shared" si="30"/>
        <v>75.592747559274756</v>
      </c>
      <c r="BX86" s="69">
        <f t="shared" si="36"/>
        <v>1.4170764055120657</v>
      </c>
      <c r="BY86" s="76">
        <v>6.68</v>
      </c>
      <c r="BZ86" s="76">
        <v>1.17</v>
      </c>
      <c r="CA86" s="76">
        <v>55.69</v>
      </c>
      <c r="CB86" s="76">
        <v>5.5016000000000007</v>
      </c>
      <c r="CC86" s="76">
        <v>0.47840000000000005</v>
      </c>
      <c r="CD86" s="76">
        <v>0</v>
      </c>
      <c r="CE86" s="76">
        <v>0</v>
      </c>
      <c r="CF86" s="76">
        <v>0</v>
      </c>
      <c r="CG86" s="76">
        <v>0</v>
      </c>
      <c r="CH86" s="76">
        <v>0</v>
      </c>
      <c r="CI86" s="76">
        <v>0</v>
      </c>
      <c r="CJ86" s="76">
        <v>0</v>
      </c>
      <c r="CK86" s="76">
        <v>13.44</v>
      </c>
      <c r="CL86" s="76">
        <v>13.54</v>
      </c>
      <c r="CM86" s="76">
        <v>0.53</v>
      </c>
      <c r="CN86" s="76">
        <v>0</v>
      </c>
      <c r="CO86" s="76">
        <v>0.08</v>
      </c>
      <c r="CP86" s="76">
        <v>2.99</v>
      </c>
      <c r="CQ86" s="76">
        <v>0</v>
      </c>
      <c r="CR86" s="76">
        <v>0</v>
      </c>
      <c r="CS86" s="76">
        <v>0</v>
      </c>
      <c r="CT86" s="76">
        <v>0</v>
      </c>
      <c r="CU86" s="76">
        <v>0</v>
      </c>
      <c r="CV86" s="76">
        <v>0</v>
      </c>
      <c r="CW86" s="76">
        <v>0</v>
      </c>
      <c r="CX86" s="76">
        <v>0</v>
      </c>
      <c r="CY86" s="281">
        <v>100.1</v>
      </c>
      <c r="CZ86" s="285">
        <v>0.60368563685636856</v>
      </c>
      <c r="DA86" s="285">
        <v>5.96379403794038E-2</v>
      </c>
      <c r="DB86" s="285">
        <v>5.1859078590785913E-3</v>
      </c>
      <c r="DC86" s="285">
        <v>0</v>
      </c>
      <c r="DD86" s="285">
        <v>0</v>
      </c>
      <c r="DE86" s="285">
        <v>0</v>
      </c>
      <c r="DF86" s="285">
        <v>0</v>
      </c>
      <c r="DG86" s="285">
        <v>0</v>
      </c>
      <c r="DH86" s="285">
        <v>0</v>
      </c>
      <c r="DI86" s="285">
        <v>0</v>
      </c>
      <c r="DJ86" s="285">
        <v>0.14569105691056911</v>
      </c>
      <c r="DK86" s="285">
        <v>0.1467750677506775</v>
      </c>
      <c r="DL86" s="285">
        <v>5.7452574525745257E-3</v>
      </c>
      <c r="DM86" s="285">
        <v>0</v>
      </c>
      <c r="DN86" s="285">
        <v>8.6720867208672087E-4</v>
      </c>
      <c r="DO86" s="285">
        <v>3.2411924119241195E-2</v>
      </c>
      <c r="DP86" s="285">
        <v>0</v>
      </c>
      <c r="DQ86" s="285">
        <v>0</v>
      </c>
      <c r="DR86" s="285">
        <v>0</v>
      </c>
      <c r="DS86" s="285">
        <v>0</v>
      </c>
      <c r="DT86" s="285">
        <v>0</v>
      </c>
      <c r="DU86" s="285">
        <v>0</v>
      </c>
      <c r="DV86" s="285">
        <v>0</v>
      </c>
      <c r="DW86" s="285">
        <v>0</v>
      </c>
      <c r="DX86" s="76">
        <v>1</v>
      </c>
      <c r="DY86" s="78">
        <v>80.102783800066376</v>
      </c>
      <c r="DZ86" s="78">
        <v>13.638044880464012</v>
      </c>
      <c r="EA86" s="78">
        <v>0.24659533886637278</v>
      </c>
      <c r="EB86" s="78">
        <v>0.15896084228256946</v>
      </c>
      <c r="EC86" s="78">
        <v>0</v>
      </c>
      <c r="ED86" s="78">
        <v>9.4786380295043896E-2</v>
      </c>
      <c r="EE86" s="78">
        <v>5.3804512162428271E-3</v>
      </c>
      <c r="EF86" s="78">
        <v>6.1309764068532994E-2</v>
      </c>
      <c r="EG86" s="78">
        <v>1.413094796142599</v>
      </c>
      <c r="EH86" s="78">
        <v>1.8725373526057565E-3</v>
      </c>
      <c r="EI86" s="78">
        <v>0</v>
      </c>
      <c r="EJ86" s="78">
        <v>4.2771712092456404</v>
      </c>
      <c r="EK86" s="78">
        <v>0</v>
      </c>
      <c r="EL86" s="78">
        <v>100</v>
      </c>
      <c r="EM86" s="76">
        <v>90.211657215292021</v>
      </c>
      <c r="EN86" s="76" t="s">
        <v>115</v>
      </c>
      <c r="EO86" s="289">
        <v>4.1986265695437355E-3</v>
      </c>
      <c r="EP86" s="257">
        <f t="shared" si="37"/>
        <v>0.41986265695437353</v>
      </c>
      <c r="EQ86" s="257">
        <f t="shared" si="38"/>
        <v>74.8820427421593</v>
      </c>
      <c r="ER86" s="324">
        <f t="shared" si="39"/>
        <v>0.64306683469903203</v>
      </c>
      <c r="ES86" s="257">
        <f t="shared" si="40"/>
        <v>1.0340327151593496</v>
      </c>
      <c r="ET86">
        <f t="shared" si="35"/>
        <v>5.5</v>
      </c>
      <c r="EU86" s="324">
        <f t="shared" si="41"/>
        <v>0.62190182696485796</v>
      </c>
      <c r="EV86" s="39">
        <f t="shared" si="42"/>
        <v>162.64499999999998</v>
      </c>
      <c r="EW86"/>
      <c r="EX86">
        <f t="shared" si="43"/>
        <v>1.0692307692307692</v>
      </c>
      <c r="EY86"/>
      <c r="EZ86"/>
      <c r="FA86"/>
      <c r="FB86"/>
      <c r="FC86"/>
      <c r="FD86"/>
    </row>
    <row r="87" spans="1:160" s="77" customFormat="1" ht="13" customHeight="1" x14ac:dyDescent="0.2">
      <c r="A87" s="72" t="s">
        <v>116</v>
      </c>
      <c r="B87" s="73" t="s">
        <v>462</v>
      </c>
      <c r="C87" s="276">
        <f t="shared" si="45"/>
        <v>162.57999999999998</v>
      </c>
      <c r="D87" s="74">
        <v>9</v>
      </c>
      <c r="E87" s="74">
        <v>15</v>
      </c>
      <c r="F87" s="75">
        <f t="shared" si="31"/>
        <v>12</v>
      </c>
      <c r="G87" s="73" t="s">
        <v>512</v>
      </c>
      <c r="H87" s="84">
        <v>10</v>
      </c>
      <c r="I87" s="85">
        <v>4</v>
      </c>
      <c r="J87" s="85">
        <v>6</v>
      </c>
      <c r="K87" s="89">
        <f t="shared" si="20"/>
        <v>6.666666666666667</v>
      </c>
      <c r="L87" s="75">
        <v>142</v>
      </c>
      <c r="M87" s="75">
        <v>79</v>
      </c>
      <c r="N87" s="75">
        <v>62</v>
      </c>
      <c r="O87" s="75">
        <v>84.94</v>
      </c>
      <c r="P87" s="75">
        <v>6.63</v>
      </c>
      <c r="Q87" s="75">
        <v>3.22</v>
      </c>
      <c r="R87" s="75">
        <v>0.03</v>
      </c>
      <c r="S87" s="75">
        <v>0.06</v>
      </c>
      <c r="T87" s="75">
        <v>0.05</v>
      </c>
      <c r="U87" s="75">
        <v>0.11</v>
      </c>
      <c r="V87" s="75">
        <v>1.41</v>
      </c>
      <c r="W87" s="75">
        <v>0.36899999999999999</v>
      </c>
      <c r="X87" s="75">
        <v>0</v>
      </c>
      <c r="Y87" s="75">
        <v>2.85</v>
      </c>
      <c r="Z87" s="75">
        <v>99.67</v>
      </c>
      <c r="AA87" s="75">
        <v>5</v>
      </c>
      <c r="AB87" s="75">
        <v>0</v>
      </c>
      <c r="AC87" s="75">
        <v>50</v>
      </c>
      <c r="AD87" s="75">
        <v>0</v>
      </c>
      <c r="AE87" s="75">
        <v>5</v>
      </c>
      <c r="AF87" s="75">
        <v>0</v>
      </c>
      <c r="AG87" s="75">
        <v>10</v>
      </c>
      <c r="AH87" s="75">
        <v>0</v>
      </c>
      <c r="AI87" s="75">
        <v>8</v>
      </c>
      <c r="AJ87" s="75">
        <v>0</v>
      </c>
      <c r="AK87" s="75">
        <v>0</v>
      </c>
      <c r="AL87" s="75">
        <v>42</v>
      </c>
      <c r="AM87" s="75">
        <v>46</v>
      </c>
      <c r="AN87" s="68">
        <f>'O.G.Chem Results'!AN87/'O.G.Chem Results'!$AN$142</f>
        <v>3.8461538461538458</v>
      </c>
      <c r="AO87" s="75">
        <v>486</v>
      </c>
      <c r="AP87" s="75">
        <v>5</v>
      </c>
      <c r="AQ87" s="75" t="s">
        <v>72</v>
      </c>
      <c r="AR87" s="75">
        <v>0.6</v>
      </c>
      <c r="AS87" s="75" t="s">
        <v>73</v>
      </c>
      <c r="AT87" s="75">
        <v>0</v>
      </c>
      <c r="AU87" s="75" t="s">
        <v>74</v>
      </c>
      <c r="AV87" s="75">
        <v>1.3</v>
      </c>
      <c r="AW87" s="75">
        <v>411</v>
      </c>
      <c r="AX87" s="75" t="s">
        <v>75</v>
      </c>
      <c r="AY87" s="68">
        <f>'O.G.Chem Results'!AY87/'O.G.Chem Results'!AY$142</f>
        <v>30.638297872340427</v>
      </c>
      <c r="AZ87" s="68">
        <f>'O.G.Chem Results'!AZ87/'O.G.Chem Results'!AZ$142</f>
        <v>31.498673740053047</v>
      </c>
      <c r="BA87" s="68">
        <f>'O.G.Chem Results'!BA87/'O.G.Chem Results'!BA$142</f>
        <v>18.406285072951739</v>
      </c>
      <c r="BB87" s="68">
        <f>'O.G.Chem Results'!BB87/'O.G.Chem Results'!BB$142</f>
        <v>13.041556145004423</v>
      </c>
      <c r="BC87" s="68">
        <f>'O.G.Chem Results'!BC87/'O.G.Chem Results'!BC$142</f>
        <v>8.1577158395649221</v>
      </c>
      <c r="BD87" s="68">
        <f>'O.G.Chem Results'!BD87/'O.G.Chem Results'!BD$142</f>
        <v>5</v>
      </c>
      <c r="BE87" s="68">
        <f>'O.G.Chem Results'!BE87/'O.G.Chem Results'!BE$142</f>
        <v>5.6818181818181825</v>
      </c>
      <c r="BF87" s="68">
        <f>'O.G.Chem Results'!BF87/'O.G.Chem Results'!BF$142</f>
        <v>5.5096418732782375</v>
      </c>
      <c r="BG87" s="68">
        <f>'O.G.Chem Results'!BG87/'O.G.Chem Results'!BG$142</f>
        <v>4.9443757725587139</v>
      </c>
      <c r="BH87" s="68">
        <f>'O.G.Chem Results'!BH87/'O.G.Chem Results'!BH$142</f>
        <v>5.3956834532374094</v>
      </c>
      <c r="BI87" s="68">
        <f>'O.G.Chem Results'!BI87/'O.G.Chem Results'!BI$142</f>
        <v>5.0346129641283826</v>
      </c>
      <c r="BJ87" s="68">
        <f>'O.G.Chem Results'!BJ87/'O.G.Chem Results'!BJ$142</f>
        <v>5.7851239669421499</v>
      </c>
      <c r="BK87" s="68">
        <f>'O.G.Chem Results'!BK87/'O.G.Chem Results'!BK$142</f>
        <v>6.1538461538461533</v>
      </c>
      <c r="BL87" s="68">
        <f>'O.G.Chem Results'!BL87/'O.G.Chem Results'!BL$142</f>
        <v>7.4074074074074066</v>
      </c>
      <c r="BM87" s="75">
        <v>10.8</v>
      </c>
      <c r="BN87" s="75">
        <v>0.6</v>
      </c>
      <c r="BO87" s="75">
        <v>0</v>
      </c>
      <c r="BP87" s="75">
        <v>0</v>
      </c>
      <c r="BQ87" s="75">
        <v>11</v>
      </c>
      <c r="BR87" s="75">
        <v>4</v>
      </c>
      <c r="BS87" s="75">
        <v>2.1</v>
      </c>
      <c r="BT87" s="76">
        <f t="shared" si="32"/>
        <v>0.50692322014886393</v>
      </c>
      <c r="BU87" s="281">
        <f t="shared" si="33"/>
        <v>152.65503844313119</v>
      </c>
      <c r="BV87" s="77">
        <f t="shared" si="34"/>
        <v>12</v>
      </c>
      <c r="BW87" s="78">
        <f t="shared" si="30"/>
        <v>80.853658536585371</v>
      </c>
      <c r="BX87" s="69">
        <f t="shared" si="36"/>
        <v>1.7112998964870283</v>
      </c>
      <c r="BY87" s="76">
        <v>7.19</v>
      </c>
      <c r="BZ87" s="76">
        <v>0.84</v>
      </c>
      <c r="CA87" s="76">
        <v>56.69</v>
      </c>
      <c r="CB87" s="76">
        <v>5.2532000000000005</v>
      </c>
      <c r="CC87" s="76">
        <v>0.45679999999999998</v>
      </c>
      <c r="CD87" s="76">
        <v>0</v>
      </c>
      <c r="CE87" s="76">
        <v>0</v>
      </c>
      <c r="CF87" s="76">
        <v>0</v>
      </c>
      <c r="CG87" s="76">
        <v>0</v>
      </c>
      <c r="CH87" s="76">
        <v>0</v>
      </c>
      <c r="CI87" s="76">
        <v>0</v>
      </c>
      <c r="CJ87" s="76">
        <v>0</v>
      </c>
      <c r="CK87" s="76">
        <v>13.06</v>
      </c>
      <c r="CL87" s="76">
        <v>13.16</v>
      </c>
      <c r="CM87" s="76">
        <v>0.6</v>
      </c>
      <c r="CN87" s="76">
        <v>0</v>
      </c>
      <c r="CO87" s="76">
        <v>0.18</v>
      </c>
      <c r="CP87" s="76">
        <v>2.56</v>
      </c>
      <c r="CQ87" s="76">
        <v>0</v>
      </c>
      <c r="CR87" s="76">
        <v>0</v>
      </c>
      <c r="CS87" s="76">
        <v>0</v>
      </c>
      <c r="CT87" s="76">
        <v>0</v>
      </c>
      <c r="CU87" s="76">
        <v>0</v>
      </c>
      <c r="CV87" s="76">
        <v>0</v>
      </c>
      <c r="CW87" s="76">
        <v>0</v>
      </c>
      <c r="CX87" s="76">
        <v>0</v>
      </c>
      <c r="CY87" s="281">
        <v>99.990000000000009</v>
      </c>
      <c r="CZ87" s="285">
        <v>0.61646367986080908</v>
      </c>
      <c r="DA87" s="285">
        <v>5.7124836885602444E-2</v>
      </c>
      <c r="DB87" s="285">
        <v>4.9673771204871682E-3</v>
      </c>
      <c r="DC87" s="285">
        <v>0</v>
      </c>
      <c r="DD87" s="285">
        <v>0</v>
      </c>
      <c r="DE87" s="285">
        <v>0</v>
      </c>
      <c r="DF87" s="285">
        <v>0</v>
      </c>
      <c r="DG87" s="285">
        <v>0</v>
      </c>
      <c r="DH87" s="285">
        <v>0</v>
      </c>
      <c r="DI87" s="285">
        <v>0</v>
      </c>
      <c r="DJ87" s="285">
        <v>0.14201826881252719</v>
      </c>
      <c r="DK87" s="285">
        <v>0.14310569812962159</v>
      </c>
      <c r="DL87" s="285">
        <v>6.5245759025663336E-3</v>
      </c>
      <c r="DM87" s="285">
        <v>0</v>
      </c>
      <c r="DN87" s="285">
        <v>1.9573727707698999E-3</v>
      </c>
      <c r="DO87" s="285">
        <v>2.7838190517616358E-2</v>
      </c>
      <c r="DP87" s="285">
        <v>0</v>
      </c>
      <c r="DQ87" s="285">
        <v>0</v>
      </c>
      <c r="DR87" s="285">
        <v>0</v>
      </c>
      <c r="DS87" s="285">
        <v>0</v>
      </c>
      <c r="DT87" s="285">
        <v>0</v>
      </c>
      <c r="DU87" s="285">
        <v>0</v>
      </c>
      <c r="DV87" s="285">
        <v>0</v>
      </c>
      <c r="DW87" s="285">
        <v>0</v>
      </c>
      <c r="DX87" s="76">
        <v>1</v>
      </c>
      <c r="DY87" s="78">
        <v>80.701057619132229</v>
      </c>
      <c r="DZ87" s="78">
        <v>13.245309292768651</v>
      </c>
      <c r="EA87" s="78">
        <v>0.24399364231871032</v>
      </c>
      <c r="EB87" s="78">
        <v>0.15539691343709125</v>
      </c>
      <c r="EC87" s="78">
        <v>0</v>
      </c>
      <c r="ED87" s="78">
        <v>9.0749597171272622E-2</v>
      </c>
      <c r="EE87" s="78">
        <v>6.244272572874565E-3</v>
      </c>
      <c r="EF87" s="78">
        <v>5.8726211026550686E-2</v>
      </c>
      <c r="EG87" s="78">
        <v>1.3264484129085483</v>
      </c>
      <c r="EH87" s="78">
        <v>4.2264955877580725E-3</v>
      </c>
      <c r="EI87" s="78">
        <v>0</v>
      </c>
      <c r="EJ87" s="78">
        <v>4.1678475430763307</v>
      </c>
      <c r="EK87" s="78">
        <v>0</v>
      </c>
      <c r="EL87" s="78">
        <v>99.999999999999986</v>
      </c>
      <c r="EM87" s="76">
        <v>90.493648044052804</v>
      </c>
      <c r="EN87" s="76" t="s">
        <v>116</v>
      </c>
      <c r="EO87" s="289">
        <v>4.1337627796513982E-3</v>
      </c>
      <c r="EP87" s="257">
        <f t="shared" si="37"/>
        <v>0.41337627796513982</v>
      </c>
      <c r="EQ87" s="257">
        <f t="shared" si="38"/>
        <v>75.6273435246611</v>
      </c>
      <c r="ER87" s="324">
        <f t="shared" si="39"/>
        <v>0.72256768071448496</v>
      </c>
      <c r="ES87" s="257">
        <f t="shared" si="40"/>
        <v>1.2715066079741195</v>
      </c>
      <c r="ET87">
        <f t="shared" si="35"/>
        <v>12</v>
      </c>
      <c r="EU87" s="324">
        <f t="shared" si="41"/>
        <v>0.56827677983187663</v>
      </c>
      <c r="EV87" s="39">
        <f t="shared" si="42"/>
        <v>162.57999999999998</v>
      </c>
      <c r="EW87"/>
      <c r="EX87">
        <f t="shared" si="43"/>
        <v>0.71282051282051284</v>
      </c>
      <c r="EY87"/>
      <c r="EZ87"/>
      <c r="FA87"/>
      <c r="FB87"/>
      <c r="FC87"/>
      <c r="FD87"/>
    </row>
    <row r="88" spans="1:160" s="77" customFormat="1" ht="13" customHeight="1" x14ac:dyDescent="0.2">
      <c r="A88" s="72" t="s">
        <v>117</v>
      </c>
      <c r="B88" s="73" t="s">
        <v>462</v>
      </c>
      <c r="C88" s="276">
        <f t="shared" si="45"/>
        <v>162.33999999999997</v>
      </c>
      <c r="D88" s="74">
        <v>15</v>
      </c>
      <c r="E88" s="74">
        <v>57</v>
      </c>
      <c r="F88" s="75">
        <f t="shared" si="31"/>
        <v>36</v>
      </c>
      <c r="G88" s="73" t="s">
        <v>518</v>
      </c>
      <c r="H88" s="84">
        <v>2.5</v>
      </c>
      <c r="I88" s="85">
        <v>4</v>
      </c>
      <c r="J88" s="85">
        <v>8</v>
      </c>
      <c r="K88" s="89">
        <f t="shared" si="20"/>
        <v>1.25</v>
      </c>
      <c r="L88" s="75">
        <v>150</v>
      </c>
      <c r="M88" s="75">
        <v>75</v>
      </c>
      <c r="N88" s="75">
        <v>38</v>
      </c>
      <c r="O88" s="75">
        <v>58.39</v>
      </c>
      <c r="P88" s="75">
        <v>21.32</v>
      </c>
      <c r="Q88" s="75">
        <v>8.89</v>
      </c>
      <c r="R88" s="75">
        <v>2.5999999999999999E-2</v>
      </c>
      <c r="S88" s="75">
        <v>0.19</v>
      </c>
      <c r="T88" s="75">
        <v>0.02</v>
      </c>
      <c r="U88" s="75">
        <v>0.05</v>
      </c>
      <c r="V88" s="75">
        <v>0.62</v>
      </c>
      <c r="W88" s="75">
        <v>0.67600000000000005</v>
      </c>
      <c r="X88" s="75">
        <v>0.03</v>
      </c>
      <c r="Y88" s="75">
        <v>10.31</v>
      </c>
      <c r="Z88" s="75">
        <v>100.5</v>
      </c>
      <c r="AA88" s="75">
        <v>21</v>
      </c>
      <c r="AB88" s="75">
        <v>2</v>
      </c>
      <c r="AC88" s="75">
        <v>133</v>
      </c>
      <c r="AD88" s="75">
        <v>30</v>
      </c>
      <c r="AE88" s="75">
        <v>6</v>
      </c>
      <c r="AF88" s="75">
        <v>0</v>
      </c>
      <c r="AG88" s="75">
        <v>40</v>
      </c>
      <c r="AH88" s="75">
        <v>60</v>
      </c>
      <c r="AI88" s="75">
        <v>26</v>
      </c>
      <c r="AJ88" s="75">
        <v>2</v>
      </c>
      <c r="AK88" s="75">
        <v>0</v>
      </c>
      <c r="AL88" s="75">
        <v>42</v>
      </c>
      <c r="AM88" s="75">
        <v>17</v>
      </c>
      <c r="AN88" s="68">
        <f>'O.G.Chem Results'!AN88/'O.G.Chem Results'!$AN$142</f>
        <v>3.8461538461538458</v>
      </c>
      <c r="AO88" s="75">
        <v>233</v>
      </c>
      <c r="AP88" s="75">
        <v>7</v>
      </c>
      <c r="AQ88" s="75" t="s">
        <v>72</v>
      </c>
      <c r="AR88" s="75" t="s">
        <v>74</v>
      </c>
      <c r="AS88" s="75" t="s">
        <v>73</v>
      </c>
      <c r="AT88" s="75">
        <v>2</v>
      </c>
      <c r="AU88" s="75" t="s">
        <v>74</v>
      </c>
      <c r="AV88" s="75">
        <v>2.9</v>
      </c>
      <c r="AW88" s="75">
        <v>173</v>
      </c>
      <c r="AX88" s="75" t="s">
        <v>75</v>
      </c>
      <c r="AY88" s="68">
        <f>'O.G.Chem Results'!AY88/'O.G.Chem Results'!AY$142</f>
        <v>31.063829787234045</v>
      </c>
      <c r="AZ88" s="68">
        <f>'O.G.Chem Results'!AZ88/'O.G.Chem Results'!AZ$142</f>
        <v>29.177718832891244</v>
      </c>
      <c r="BA88" s="68">
        <f>'O.G.Chem Results'!BA88/'O.G.Chem Results'!BA$142</f>
        <v>19.753086419753085</v>
      </c>
      <c r="BB88" s="68">
        <f>'O.G.Chem Results'!BB88/'O.G.Chem Results'!BB$142</f>
        <v>14.146772767462425</v>
      </c>
      <c r="BC88" s="68">
        <f>'O.G.Chem Results'!BC88/'O.G.Chem Results'!BC$142</f>
        <v>8.1577158395649221</v>
      </c>
      <c r="BD88" s="68">
        <f>'O.G.Chem Results'!BD88/'O.G.Chem Results'!BD$142</f>
        <v>5.3571428571428568</v>
      </c>
      <c r="BE88" s="68">
        <f>'O.G.Chem Results'!BE88/'O.G.Chem Results'!BE$142</f>
        <v>6.2500000000000009</v>
      </c>
      <c r="BF88" s="68">
        <f>'O.G.Chem Results'!BF88/'O.G.Chem Results'!BF$142</f>
        <v>5.5096418732782375</v>
      </c>
      <c r="BG88" s="68">
        <f>'O.G.Chem Results'!BG88/'O.G.Chem Results'!BG$142</f>
        <v>4.5323444581788221</v>
      </c>
      <c r="BH88" s="68">
        <f>'O.G.Chem Results'!BH88/'O.G.Chem Results'!BH$142</f>
        <v>3.5971223021582732</v>
      </c>
      <c r="BI88" s="68">
        <f>'O.G.Chem Results'!BI88/'O.G.Chem Results'!BI$142</f>
        <v>5.0346129641283826</v>
      </c>
      <c r="BJ88" s="68">
        <f>'O.G.Chem Results'!BJ88/'O.G.Chem Results'!BJ$142</f>
        <v>5.3719008264462813</v>
      </c>
      <c r="BK88" s="68">
        <f>'O.G.Chem Results'!BK88/'O.G.Chem Results'!BK$142</f>
        <v>6.1538461538461533</v>
      </c>
      <c r="BL88" s="68">
        <f>'O.G.Chem Results'!BL88/'O.G.Chem Results'!BL$142</f>
        <v>6.9958847736625511</v>
      </c>
      <c r="BM88" s="75">
        <v>5.8</v>
      </c>
      <c r="BN88" s="75">
        <v>0.6</v>
      </c>
      <c r="BO88" s="75">
        <v>0</v>
      </c>
      <c r="BP88" s="75">
        <v>0.2</v>
      </c>
      <c r="BQ88" s="75">
        <v>16</v>
      </c>
      <c r="BR88" s="75">
        <v>11.9</v>
      </c>
      <c r="BS88" s="75">
        <v>2.5</v>
      </c>
      <c r="BT88" s="76">
        <f t="shared" si="32"/>
        <v>0.48434543103932848</v>
      </c>
      <c r="BU88" s="281">
        <f t="shared" si="33"/>
        <v>151.10161985574726</v>
      </c>
      <c r="BV88" s="77">
        <f t="shared" si="34"/>
        <v>36</v>
      </c>
      <c r="BW88" s="78">
        <f t="shared" si="30"/>
        <v>96.865061335756465</v>
      </c>
      <c r="BX88" s="69">
        <f t="shared" si="36"/>
        <v>1.4771220159151193</v>
      </c>
      <c r="BY88" s="76">
        <v>10.16</v>
      </c>
      <c r="BZ88" s="76">
        <v>2.09</v>
      </c>
      <c r="CA88" s="76">
        <v>32.07</v>
      </c>
      <c r="CB88" s="76">
        <v>2.9532000000000003</v>
      </c>
      <c r="CC88" s="76">
        <v>0.25680000000000003</v>
      </c>
      <c r="CD88" s="76">
        <v>0</v>
      </c>
      <c r="CE88" s="76">
        <v>0</v>
      </c>
      <c r="CF88" s="76">
        <v>0</v>
      </c>
      <c r="CG88" s="76">
        <v>0</v>
      </c>
      <c r="CH88" s="76">
        <v>4.91</v>
      </c>
      <c r="CI88" s="76">
        <v>1.53</v>
      </c>
      <c r="CJ88" s="76">
        <v>0</v>
      </c>
      <c r="CK88" s="76">
        <v>15.82</v>
      </c>
      <c r="CL88" s="76">
        <v>15.95</v>
      </c>
      <c r="CM88" s="76">
        <v>8.1199999999999992</v>
      </c>
      <c r="CN88" s="76">
        <v>0.122</v>
      </c>
      <c r="CO88" s="76">
        <v>3.21</v>
      </c>
      <c r="CP88" s="76">
        <v>0</v>
      </c>
      <c r="CQ88" s="76">
        <v>0</v>
      </c>
      <c r="CR88" s="76">
        <v>0</v>
      </c>
      <c r="CS88" s="76">
        <v>0</v>
      </c>
      <c r="CT88" s="76">
        <v>0</v>
      </c>
      <c r="CU88" s="76">
        <v>0</v>
      </c>
      <c r="CV88" s="76">
        <v>0</v>
      </c>
      <c r="CW88" s="76">
        <v>0</v>
      </c>
      <c r="CX88" s="76">
        <v>0</v>
      </c>
      <c r="CY88" s="281">
        <v>97.191999999999993</v>
      </c>
      <c r="CZ88" s="285">
        <v>0.37755174118810486</v>
      </c>
      <c r="DA88" s="285">
        <v>3.476725294907114E-2</v>
      </c>
      <c r="DB88" s="285">
        <v>3.0232393868757511E-3</v>
      </c>
      <c r="DC88" s="285">
        <v>0</v>
      </c>
      <c r="DD88" s="285">
        <v>0</v>
      </c>
      <c r="DE88" s="285">
        <v>0</v>
      </c>
      <c r="DF88" s="285">
        <v>0</v>
      </c>
      <c r="DG88" s="285">
        <v>5.7804148713239627E-2</v>
      </c>
      <c r="DH88" s="285">
        <v>1.801229073956347E-2</v>
      </c>
      <c r="DI88" s="285">
        <v>0</v>
      </c>
      <c r="DJ88" s="285">
        <v>0.18624473169927716</v>
      </c>
      <c r="DK88" s="285">
        <v>0.18777518777518779</v>
      </c>
      <c r="DL88" s="285">
        <v>9.5594641049186496E-2</v>
      </c>
      <c r="DM88" s="285">
        <v>1.4362741635468908E-3</v>
      </c>
      <c r="DN88" s="285">
        <v>3.7790492335946883E-2</v>
      </c>
      <c r="DO88" s="285">
        <v>0</v>
      </c>
      <c r="DP88" s="285">
        <v>0</v>
      </c>
      <c r="DQ88" s="285">
        <v>0</v>
      </c>
      <c r="DR88" s="285">
        <v>0</v>
      </c>
      <c r="DS88" s="285">
        <v>0</v>
      </c>
      <c r="DT88" s="285">
        <v>0</v>
      </c>
      <c r="DU88" s="285">
        <v>0</v>
      </c>
      <c r="DV88" s="285">
        <v>0</v>
      </c>
      <c r="DW88" s="285">
        <v>0</v>
      </c>
      <c r="DX88" s="76">
        <v>1</v>
      </c>
      <c r="DY88" s="78">
        <v>62.995614588864242</v>
      </c>
      <c r="DZ88" s="78">
        <v>21.526791321822756</v>
      </c>
      <c r="EA88" s="78">
        <v>5.4927634764909943</v>
      </c>
      <c r="EB88" s="78">
        <v>0.59715190315587496</v>
      </c>
      <c r="EC88" s="78">
        <v>0</v>
      </c>
      <c r="ED88" s="78">
        <v>0.36977483534990929</v>
      </c>
      <c r="EE88" s="78">
        <v>9.2743173922883143E-2</v>
      </c>
      <c r="EF88" s="78">
        <v>3.5741879448853445E-2</v>
      </c>
      <c r="EG88" s="78">
        <v>1.1857618809956738</v>
      </c>
      <c r="EH88" s="78">
        <v>8.2369853940200494E-2</v>
      </c>
      <c r="EI88" s="78">
        <v>0</v>
      </c>
      <c r="EJ88" s="78">
        <v>7.6212870860086195</v>
      </c>
      <c r="EK88" s="78">
        <v>0</v>
      </c>
      <c r="EL88" s="78">
        <v>100.00000000000003</v>
      </c>
      <c r="EM88" s="76">
        <v>94.246115611617455</v>
      </c>
      <c r="EN88" s="76" t="s">
        <v>117</v>
      </c>
      <c r="EO88" s="289">
        <v>6.1436590509308983E-2</v>
      </c>
      <c r="EP88" s="257">
        <f t="shared" si="37"/>
        <v>6.1436590509308981</v>
      </c>
      <c r="EQ88" s="257">
        <f t="shared" si="38"/>
        <v>85.381658920271704</v>
      </c>
      <c r="ER88" s="324">
        <f t="shared" si="39"/>
        <v>0.74364915532712639</v>
      </c>
      <c r="ES88" s="257">
        <f t="shared" si="40"/>
        <v>1.1476081015755253</v>
      </c>
      <c r="ET88">
        <f t="shared" si="35"/>
        <v>36</v>
      </c>
      <c r="EU88" s="324">
        <f t="shared" si="41"/>
        <v>0.64799922055812187</v>
      </c>
      <c r="EV88" s="39">
        <f t="shared" si="42"/>
        <v>162.33999999999997</v>
      </c>
      <c r="EW88"/>
      <c r="EX88">
        <f t="shared" si="43"/>
        <v>1.0692307692307692</v>
      </c>
      <c r="EY88"/>
      <c r="EZ88"/>
      <c r="FA88"/>
      <c r="FB88"/>
      <c r="FC88"/>
      <c r="FD88"/>
    </row>
    <row r="89" spans="1:160" s="77" customFormat="1" ht="13" customHeight="1" x14ac:dyDescent="0.2">
      <c r="A89" s="72" t="s">
        <v>118</v>
      </c>
      <c r="B89" s="73" t="s">
        <v>462</v>
      </c>
      <c r="C89" s="276">
        <f t="shared" si="45"/>
        <v>162.005</v>
      </c>
      <c r="D89" s="74">
        <v>57</v>
      </c>
      <c r="E89" s="74">
        <v>82</v>
      </c>
      <c r="F89" s="75">
        <f t="shared" si="31"/>
        <v>69.5</v>
      </c>
      <c r="G89" s="73" t="s">
        <v>518</v>
      </c>
      <c r="H89" s="84">
        <v>2.5</v>
      </c>
      <c r="I89" s="85">
        <v>4</v>
      </c>
      <c r="J89" s="85">
        <v>8</v>
      </c>
      <c r="K89" s="89">
        <f t="shared" si="20"/>
        <v>1.25</v>
      </c>
      <c r="L89" s="75">
        <v>150</v>
      </c>
      <c r="M89" s="75">
        <v>75</v>
      </c>
      <c r="N89" s="75">
        <v>38</v>
      </c>
      <c r="O89" s="75">
        <v>55.93</v>
      </c>
      <c r="P89" s="75">
        <v>22.76</v>
      </c>
      <c r="Q89" s="75">
        <v>9.66</v>
      </c>
      <c r="R89" s="75">
        <v>2.9000000000000001E-2</v>
      </c>
      <c r="S89" s="75">
        <v>0.21</v>
      </c>
      <c r="T89" s="75">
        <v>0.02</v>
      </c>
      <c r="U89" s="75">
        <v>0.06</v>
      </c>
      <c r="V89" s="75">
        <v>0.26</v>
      </c>
      <c r="W89" s="75">
        <v>0.67100000000000004</v>
      </c>
      <c r="X89" s="75">
        <v>0.03</v>
      </c>
      <c r="Y89" s="75">
        <v>10.89</v>
      </c>
      <c r="Z89" s="75">
        <v>100.5</v>
      </c>
      <c r="AA89" s="75">
        <v>30</v>
      </c>
      <c r="AB89" s="75">
        <v>2</v>
      </c>
      <c r="AC89" s="75">
        <v>141</v>
      </c>
      <c r="AD89" s="75">
        <v>20</v>
      </c>
      <c r="AE89" s="75">
        <v>5</v>
      </c>
      <c r="AF89" s="75">
        <v>0</v>
      </c>
      <c r="AG89" s="75">
        <v>50</v>
      </c>
      <c r="AH89" s="75">
        <v>60</v>
      </c>
      <c r="AI89" s="75">
        <v>27</v>
      </c>
      <c r="AJ89" s="75">
        <v>2</v>
      </c>
      <c r="AK89" s="75">
        <v>0</v>
      </c>
      <c r="AL89" s="75">
        <v>23</v>
      </c>
      <c r="AM89" s="75">
        <v>4</v>
      </c>
      <c r="AN89" s="68">
        <f>'O.G.Chem Results'!AN89/'O.G.Chem Results'!$AN$142</f>
        <v>1.2820512820512819</v>
      </c>
      <c r="AO89" s="75">
        <v>131</v>
      </c>
      <c r="AP89" s="75">
        <v>5</v>
      </c>
      <c r="AQ89" s="75" t="s">
        <v>72</v>
      </c>
      <c r="AR89" s="75" t="s">
        <v>74</v>
      </c>
      <c r="AS89" s="75" t="s">
        <v>73</v>
      </c>
      <c r="AT89" s="75">
        <v>1</v>
      </c>
      <c r="AU89" s="75" t="s">
        <v>74</v>
      </c>
      <c r="AV89" s="75">
        <v>1.9</v>
      </c>
      <c r="AW89" s="75">
        <v>43</v>
      </c>
      <c r="AX89" s="75" t="s">
        <v>75</v>
      </c>
      <c r="AY89" s="68">
        <f>'O.G.Chem Results'!AY89/'O.G.Chem Results'!AY$142</f>
        <v>20.000000000000004</v>
      </c>
      <c r="AZ89" s="68">
        <f>'O.G.Chem Results'!AZ89/'O.G.Chem Results'!AZ$142</f>
        <v>20.22546419098143</v>
      </c>
      <c r="BA89" s="68">
        <f>'O.G.Chem Results'!BA89/'O.G.Chem Results'!BA$142</f>
        <v>12.906846240179572</v>
      </c>
      <c r="BB89" s="68">
        <f>'O.G.Chem Results'!BB89/'O.G.Chem Results'!BB$142</f>
        <v>9.062776304155614</v>
      </c>
      <c r="BC89" s="68">
        <f>'O.G.Chem Results'!BC89/'O.G.Chem Results'!BC$142</f>
        <v>5.4384772263766159</v>
      </c>
      <c r="BD89" s="68">
        <f>'O.G.Chem Results'!BD89/'O.G.Chem Results'!BD$142</f>
        <v>3.5714285714285716</v>
      </c>
      <c r="BE89" s="68">
        <f>'O.G.Chem Results'!BE89/'O.G.Chem Results'!BE$142</f>
        <v>3.9772727272727271</v>
      </c>
      <c r="BF89" s="68">
        <f>'O.G.Chem Results'!BF89/'O.G.Chem Results'!BF$142</f>
        <v>2.7548209366391188</v>
      </c>
      <c r="BG89" s="68">
        <f>'O.G.Chem Results'!BG89/'O.G.Chem Results'!BG$142</f>
        <v>2.88421920065925</v>
      </c>
      <c r="BH89" s="68">
        <f>'O.G.Chem Results'!BH89/'O.G.Chem Results'!BH$142</f>
        <v>1.7985611510791366</v>
      </c>
      <c r="BI89" s="68">
        <f>'O.G.Chem Results'!BI89/'O.G.Chem Results'!BI$142</f>
        <v>3.146633102580239</v>
      </c>
      <c r="BJ89" s="68">
        <f>'O.G.Chem Results'!BJ89/'O.G.Chem Results'!BJ$142</f>
        <v>3.3057851239669422</v>
      </c>
      <c r="BK89" s="68">
        <f>'O.G.Chem Results'!BK89/'O.G.Chem Results'!BK$142</f>
        <v>4.3076923076923075</v>
      </c>
      <c r="BL89" s="68">
        <f>'O.G.Chem Results'!BL89/'O.G.Chem Results'!BL$142</f>
        <v>4.9382716049382713</v>
      </c>
      <c r="BM89" s="75">
        <v>3.3</v>
      </c>
      <c r="BN89" s="75">
        <v>0.4</v>
      </c>
      <c r="BO89" s="75">
        <v>0</v>
      </c>
      <c r="BP89" s="75">
        <v>0.1</v>
      </c>
      <c r="BQ89" s="75">
        <v>13</v>
      </c>
      <c r="BR89" s="75">
        <v>8.6999999999999993</v>
      </c>
      <c r="BS89" s="75">
        <v>1.7</v>
      </c>
      <c r="BT89" s="76">
        <f t="shared" si="32"/>
        <v>0.50280250576986474</v>
      </c>
      <c r="BU89" s="281">
        <f t="shared" si="33"/>
        <v>98.31824868794979</v>
      </c>
      <c r="BV89" s="77">
        <f t="shared" si="34"/>
        <v>69.5</v>
      </c>
      <c r="BW89" s="78">
        <f t="shared" si="30"/>
        <v>98.528138528138527</v>
      </c>
      <c r="BX89" s="69">
        <f t="shared" si="36"/>
        <v>1.5670337907969092</v>
      </c>
      <c r="BY89" s="76">
        <v>12.9</v>
      </c>
      <c r="BZ89" s="76">
        <v>1.21</v>
      </c>
      <c r="CA89" s="76">
        <v>24.48</v>
      </c>
      <c r="CB89" s="76">
        <v>9.1999999999999998E-3</v>
      </c>
      <c r="CC89" s="76">
        <v>8.0000000000000004E-4</v>
      </c>
      <c r="CD89" s="76">
        <v>0</v>
      </c>
      <c r="CE89" s="76">
        <v>0</v>
      </c>
      <c r="CF89" s="76">
        <v>0</v>
      </c>
      <c r="CG89" s="76">
        <v>0</v>
      </c>
      <c r="CH89" s="76">
        <v>9.8800000000000008</v>
      </c>
      <c r="CI89" s="76">
        <v>5.53</v>
      </c>
      <c r="CJ89" s="76">
        <v>0</v>
      </c>
      <c r="CK89" s="76">
        <v>16.64</v>
      </c>
      <c r="CL89" s="76">
        <v>16.61</v>
      </c>
      <c r="CM89" s="76">
        <v>5.76</v>
      </c>
      <c r="CN89" s="76">
        <v>0</v>
      </c>
      <c r="CO89" s="76">
        <v>1.93</v>
      </c>
      <c r="CP89" s="76">
        <v>4.88</v>
      </c>
      <c r="CQ89" s="76">
        <v>0</v>
      </c>
      <c r="CR89" s="76">
        <v>0</v>
      </c>
      <c r="CS89" s="76">
        <v>0</v>
      </c>
      <c r="CT89" s="76">
        <v>0</v>
      </c>
      <c r="CU89" s="76">
        <v>0</v>
      </c>
      <c r="CV89" s="76">
        <v>0</v>
      </c>
      <c r="CW89" s="76">
        <v>0</v>
      </c>
      <c r="CX89" s="76">
        <v>0</v>
      </c>
      <c r="CY89" s="281">
        <v>99.830000000000013</v>
      </c>
      <c r="CZ89" s="285">
        <v>0.2855809612692487</v>
      </c>
      <c r="DA89" s="285">
        <v>1.07326178254783E-4</v>
      </c>
      <c r="DB89" s="285">
        <v>9.3327111525898257E-6</v>
      </c>
      <c r="DC89" s="285">
        <v>0</v>
      </c>
      <c r="DD89" s="285">
        <v>0</v>
      </c>
      <c r="DE89" s="285">
        <v>0</v>
      </c>
      <c r="DF89" s="285">
        <v>0</v>
      </c>
      <c r="DG89" s="285">
        <v>0.11525898273448436</v>
      </c>
      <c r="DH89" s="285">
        <v>6.4512365842277181E-2</v>
      </c>
      <c r="DI89" s="285">
        <v>0</v>
      </c>
      <c r="DJ89" s="285">
        <v>0.19412039197386838</v>
      </c>
      <c r="DK89" s="285">
        <v>0.19377041530564626</v>
      </c>
      <c r="DL89" s="285">
        <v>6.7195520298646741E-2</v>
      </c>
      <c r="DM89" s="285">
        <v>0</v>
      </c>
      <c r="DN89" s="285">
        <v>2.2515165655622955E-2</v>
      </c>
      <c r="DO89" s="285">
        <v>5.6929538030797935E-2</v>
      </c>
      <c r="DP89" s="285">
        <v>0</v>
      </c>
      <c r="DQ89" s="285">
        <v>0</v>
      </c>
      <c r="DR89" s="285">
        <v>0</v>
      </c>
      <c r="DS89" s="285">
        <v>0</v>
      </c>
      <c r="DT89" s="285">
        <v>0</v>
      </c>
      <c r="DU89" s="285">
        <v>0</v>
      </c>
      <c r="DV89" s="285">
        <v>0</v>
      </c>
      <c r="DW89" s="285">
        <v>0</v>
      </c>
      <c r="DX89" s="76">
        <v>0.99999999999999989</v>
      </c>
      <c r="DY89" s="78">
        <v>53.115505563792567</v>
      </c>
      <c r="DZ89" s="78">
        <v>24.638581667980116</v>
      </c>
      <c r="EA89" s="78">
        <v>10.196929704497776</v>
      </c>
      <c r="EB89" s="78">
        <v>0.60584624632406991</v>
      </c>
      <c r="EC89" s="78">
        <v>0</v>
      </c>
      <c r="ED89" s="78">
        <v>0.37682185976566163</v>
      </c>
      <c r="EE89" s="78">
        <v>6.4633383264716765E-2</v>
      </c>
      <c r="EF89" s="78">
        <v>1.1033484096393344E-4</v>
      </c>
      <c r="EG89" s="78">
        <v>1.050126813662787</v>
      </c>
      <c r="EH89" s="78">
        <v>4.8616313520956363E-2</v>
      </c>
      <c r="EI89" s="78">
        <v>0</v>
      </c>
      <c r="EJ89" s="78">
        <v>9.9028281123503703</v>
      </c>
      <c r="EK89" s="78">
        <v>0</v>
      </c>
      <c r="EL89" s="78">
        <v>99.999999999999986</v>
      </c>
      <c r="EM89" s="76">
        <v>95.670986075492621</v>
      </c>
      <c r="EN89" s="76" t="s">
        <v>118</v>
      </c>
      <c r="EO89" s="289">
        <v>0.10857302112991013</v>
      </c>
      <c r="EP89" s="257">
        <f t="shared" si="37"/>
        <v>10.857302112991013</v>
      </c>
      <c r="EQ89" s="257">
        <f t="shared" si="38"/>
        <v>87.707281903388605</v>
      </c>
      <c r="ER89" s="324">
        <f t="shared" si="39"/>
        <v>0.75860735236376209</v>
      </c>
      <c r="ES89" s="257">
        <f t="shared" si="40"/>
        <v>1.2367093169940528</v>
      </c>
      <c r="ET89">
        <f t="shared" si="35"/>
        <v>69.5</v>
      </c>
      <c r="EU89" s="324">
        <f t="shared" si="41"/>
        <v>0.61340797060349961</v>
      </c>
      <c r="EV89" s="39">
        <f t="shared" si="42"/>
        <v>162.005</v>
      </c>
      <c r="EW89"/>
      <c r="EX89">
        <f t="shared" si="43"/>
        <v>0.71282051282051284</v>
      </c>
      <c r="EY89"/>
      <c r="EZ89"/>
      <c r="FA89"/>
      <c r="FB89"/>
      <c r="FC89"/>
      <c r="FD89"/>
    </row>
    <row r="90" spans="1:160" s="77" customFormat="1" ht="13" customHeight="1" x14ac:dyDescent="0.2">
      <c r="A90" s="72" t="s">
        <v>119</v>
      </c>
      <c r="B90" s="73" t="s">
        <v>462</v>
      </c>
      <c r="C90" s="276">
        <f t="shared" si="45"/>
        <v>161.70999999999998</v>
      </c>
      <c r="D90" s="74">
        <v>82</v>
      </c>
      <c r="E90" s="74">
        <v>116</v>
      </c>
      <c r="F90" s="75">
        <f t="shared" si="31"/>
        <v>99</v>
      </c>
      <c r="G90" s="73" t="s">
        <v>522</v>
      </c>
      <c r="H90" s="84">
        <v>2.5</v>
      </c>
      <c r="I90" s="85">
        <v>5</v>
      </c>
      <c r="J90" s="85">
        <v>8</v>
      </c>
      <c r="K90" s="89">
        <f t="shared" si="20"/>
        <v>1.5625</v>
      </c>
      <c r="L90" s="75">
        <v>179</v>
      </c>
      <c r="M90" s="75">
        <v>101</v>
      </c>
      <c r="N90" s="75">
        <v>61</v>
      </c>
      <c r="O90" s="75">
        <v>53.53</v>
      </c>
      <c r="P90" s="75">
        <v>23.57</v>
      </c>
      <c r="Q90" s="75">
        <v>10.77</v>
      </c>
      <c r="R90" s="75">
        <v>2.8000000000000001E-2</v>
      </c>
      <c r="S90" s="75">
        <v>0.24</v>
      </c>
      <c r="T90" s="75">
        <v>0.02</v>
      </c>
      <c r="U90" s="75">
        <v>0.08</v>
      </c>
      <c r="V90" s="75">
        <v>0.25</v>
      </c>
      <c r="W90" s="75">
        <v>0.73599999999999999</v>
      </c>
      <c r="X90" s="75">
        <v>0.04</v>
      </c>
      <c r="Y90" s="75">
        <v>11.11</v>
      </c>
      <c r="Z90" s="75">
        <v>100.4</v>
      </c>
      <c r="AA90" s="75">
        <v>35</v>
      </c>
      <c r="AB90" s="75">
        <v>2</v>
      </c>
      <c r="AC90" s="75">
        <v>146</v>
      </c>
      <c r="AD90" s="75">
        <v>20</v>
      </c>
      <c r="AE90" s="75">
        <v>5</v>
      </c>
      <c r="AF90" s="75">
        <v>0</v>
      </c>
      <c r="AG90" s="75">
        <v>50</v>
      </c>
      <c r="AH90" s="75">
        <v>50</v>
      </c>
      <c r="AI90" s="75">
        <v>27</v>
      </c>
      <c r="AJ90" s="75">
        <v>2</v>
      </c>
      <c r="AK90" s="75">
        <v>0</v>
      </c>
      <c r="AL90" s="75">
        <v>21</v>
      </c>
      <c r="AM90" s="75">
        <v>2</v>
      </c>
      <c r="AN90" s="68">
        <f>'O.G.Chem Results'!AN90/'O.G.Chem Results'!$AN$142</f>
        <v>1.9230769230769229</v>
      </c>
      <c r="AO90" s="75">
        <v>108</v>
      </c>
      <c r="AP90" s="75">
        <v>5</v>
      </c>
      <c r="AQ90" s="75" t="s">
        <v>72</v>
      </c>
      <c r="AR90" s="75" t="s">
        <v>74</v>
      </c>
      <c r="AS90" s="75" t="s">
        <v>73</v>
      </c>
      <c r="AT90" s="75">
        <v>1</v>
      </c>
      <c r="AU90" s="75" t="s">
        <v>74</v>
      </c>
      <c r="AV90" s="75">
        <v>1.5</v>
      </c>
      <c r="AW90" s="75">
        <v>33</v>
      </c>
      <c r="AX90" s="75" t="s">
        <v>75</v>
      </c>
      <c r="AY90" s="68">
        <f>'O.G.Chem Results'!AY90/'O.G.Chem Results'!AY$142</f>
        <v>22.978723404255323</v>
      </c>
      <c r="AZ90" s="68">
        <f>'O.G.Chem Results'!AZ90/'O.G.Chem Results'!AZ$142</f>
        <v>23.375331564986734</v>
      </c>
      <c r="BA90" s="68">
        <f>'O.G.Chem Results'!BA90/'O.G.Chem Results'!BA$142</f>
        <v>15.937149270482603</v>
      </c>
      <c r="BB90" s="68">
        <f>'O.G.Chem Results'!BB90/'O.G.Chem Results'!BB$142</f>
        <v>11.715296198054819</v>
      </c>
      <c r="BC90" s="68">
        <f>'O.G.Chem Results'!BC90/'O.G.Chem Results'!BC$142</f>
        <v>6.798096532970769</v>
      </c>
      <c r="BD90" s="68">
        <f>'O.G.Chem Results'!BD90/'O.G.Chem Results'!BD$142</f>
        <v>4.8214285714285721</v>
      </c>
      <c r="BE90" s="68">
        <f>'O.G.Chem Results'!BE90/'O.G.Chem Results'!BE$142</f>
        <v>4.5454545454545459</v>
      </c>
      <c r="BF90" s="68">
        <f>'O.G.Chem Results'!BF90/'O.G.Chem Results'!BF$142</f>
        <v>2.7548209366391188</v>
      </c>
      <c r="BG90" s="68">
        <f>'O.G.Chem Results'!BG90/'O.G.Chem Results'!BG$142</f>
        <v>3.296250515039143</v>
      </c>
      <c r="BH90" s="68">
        <f>'O.G.Chem Results'!BH90/'O.G.Chem Results'!BH$142</f>
        <v>3.5971223021582732</v>
      </c>
      <c r="BI90" s="68">
        <f>'O.G.Chem Results'!BI90/'O.G.Chem Results'!BI$142</f>
        <v>3.7759597230962867</v>
      </c>
      <c r="BJ90" s="68">
        <f>'O.G.Chem Results'!BJ90/'O.G.Chem Results'!BJ$142</f>
        <v>4.1322314049586781</v>
      </c>
      <c r="BK90" s="68">
        <f>'O.G.Chem Results'!BK90/'O.G.Chem Results'!BK$142</f>
        <v>4.3076923076923075</v>
      </c>
      <c r="BL90" s="68">
        <f>'O.G.Chem Results'!BL90/'O.G.Chem Results'!BL$142</f>
        <v>5.3497942386831276</v>
      </c>
      <c r="BM90" s="75">
        <v>2.7</v>
      </c>
      <c r="BN90" s="75">
        <v>0.3</v>
      </c>
      <c r="BO90" s="75">
        <v>0</v>
      </c>
      <c r="BP90" s="75">
        <v>0</v>
      </c>
      <c r="BQ90" s="75">
        <v>12</v>
      </c>
      <c r="BR90" s="75">
        <v>6.7</v>
      </c>
      <c r="BS90" s="75">
        <v>1.8</v>
      </c>
      <c r="BT90" s="76">
        <f t="shared" si="32"/>
        <v>0.5042780309187036</v>
      </c>
      <c r="BU90" s="281">
        <f t="shared" si="33"/>
        <v>117.38535151590031</v>
      </c>
      <c r="BV90" s="77">
        <f t="shared" si="34"/>
        <v>99</v>
      </c>
      <c r="BW90" s="78">
        <f t="shared" si="30"/>
        <v>98.536789297658871</v>
      </c>
      <c r="BX90" s="69">
        <f t="shared" si="36"/>
        <v>1.466719748197407</v>
      </c>
      <c r="BY90" s="76">
        <v>11.5</v>
      </c>
      <c r="BZ90" s="76">
        <v>1.29</v>
      </c>
      <c r="CA90" s="76">
        <v>23.21</v>
      </c>
      <c r="CB90" s="76">
        <v>1.84E-2</v>
      </c>
      <c r="CC90" s="76">
        <v>1.6000000000000001E-3</v>
      </c>
      <c r="CD90" s="76">
        <v>0</v>
      </c>
      <c r="CE90" s="76">
        <v>0</v>
      </c>
      <c r="CF90" s="76">
        <v>0</v>
      </c>
      <c r="CG90" s="76">
        <v>0</v>
      </c>
      <c r="CH90" s="76">
        <v>10.97</v>
      </c>
      <c r="CI90" s="76">
        <v>5.61</v>
      </c>
      <c r="CJ90" s="76">
        <v>0</v>
      </c>
      <c r="CK90" s="76">
        <v>16.71</v>
      </c>
      <c r="CL90" s="76">
        <v>16.86</v>
      </c>
      <c r="CM90" s="76">
        <v>7.54</v>
      </c>
      <c r="CN90" s="76">
        <v>0</v>
      </c>
      <c r="CO90" s="76">
        <v>1.92</v>
      </c>
      <c r="CP90" s="76">
        <v>4.3600000000000003</v>
      </c>
      <c r="CQ90" s="76">
        <v>0</v>
      </c>
      <c r="CR90" s="76">
        <v>0</v>
      </c>
      <c r="CS90" s="76">
        <v>0</v>
      </c>
      <c r="CT90" s="76">
        <v>0</v>
      </c>
      <c r="CU90" s="76">
        <v>0</v>
      </c>
      <c r="CV90" s="76">
        <v>0</v>
      </c>
      <c r="CW90" s="76">
        <v>0</v>
      </c>
      <c r="CX90" s="76">
        <v>0</v>
      </c>
      <c r="CY90" s="281">
        <v>99.990000000000009</v>
      </c>
      <c r="CZ90" s="285">
        <v>0.26616972477064221</v>
      </c>
      <c r="DA90" s="285">
        <v>2.1100917431192659E-4</v>
      </c>
      <c r="DB90" s="285">
        <v>1.8348623853211011E-5</v>
      </c>
      <c r="DC90" s="285">
        <v>0</v>
      </c>
      <c r="DD90" s="285">
        <v>0</v>
      </c>
      <c r="DE90" s="285">
        <v>0</v>
      </c>
      <c r="DF90" s="285">
        <v>0</v>
      </c>
      <c r="DG90" s="285">
        <v>0.12580275229357799</v>
      </c>
      <c r="DH90" s="285">
        <v>6.4334862385321101E-2</v>
      </c>
      <c r="DI90" s="285">
        <v>0</v>
      </c>
      <c r="DJ90" s="285">
        <v>0.19162844036697249</v>
      </c>
      <c r="DK90" s="285">
        <v>0.193348623853211</v>
      </c>
      <c r="DL90" s="285">
        <v>8.6467889908256879E-2</v>
      </c>
      <c r="DM90" s="285">
        <v>0</v>
      </c>
      <c r="DN90" s="285">
        <v>2.2018348623853209E-2</v>
      </c>
      <c r="DO90" s="285">
        <v>0.05</v>
      </c>
      <c r="DP90" s="285">
        <v>0</v>
      </c>
      <c r="DQ90" s="285">
        <v>0</v>
      </c>
      <c r="DR90" s="285">
        <v>0</v>
      </c>
      <c r="DS90" s="285">
        <v>0</v>
      </c>
      <c r="DT90" s="285">
        <v>0</v>
      </c>
      <c r="DU90" s="285">
        <v>0</v>
      </c>
      <c r="DV90" s="285">
        <v>0</v>
      </c>
      <c r="DW90" s="285">
        <v>0</v>
      </c>
      <c r="DX90" s="76">
        <v>1.0000000000000002</v>
      </c>
      <c r="DY90" s="78">
        <v>51.43245813398417</v>
      </c>
      <c r="DZ90" s="78">
        <v>25.148754576644212</v>
      </c>
      <c r="EA90" s="78">
        <v>11.149922841214041</v>
      </c>
      <c r="EB90" s="78">
        <v>0.5670154077858186</v>
      </c>
      <c r="EC90" s="78">
        <v>0</v>
      </c>
      <c r="ED90" s="78">
        <v>0.38855729068368461</v>
      </c>
      <c r="EE90" s="78">
        <v>8.2212786288921161E-2</v>
      </c>
      <c r="EF90" s="78">
        <v>2.1692437081257743E-4</v>
      </c>
      <c r="EG90" s="78">
        <v>1.0446616526767145</v>
      </c>
      <c r="EH90" s="78">
        <v>4.7543551590242483E-2</v>
      </c>
      <c r="EI90" s="78">
        <v>0</v>
      </c>
      <c r="EJ90" s="78">
        <v>10.13865683476137</v>
      </c>
      <c r="EK90" s="78">
        <v>0</v>
      </c>
      <c r="EL90" s="78">
        <v>100</v>
      </c>
      <c r="EM90" s="76">
        <v>95.71054204720582</v>
      </c>
      <c r="EN90" s="76" t="s">
        <v>119</v>
      </c>
      <c r="EO90" s="289">
        <v>0.11767969635700583</v>
      </c>
      <c r="EP90" s="257">
        <f t="shared" si="37"/>
        <v>11.767969635700583</v>
      </c>
      <c r="EQ90" s="257">
        <f t="shared" si="38"/>
        <v>88.83968113374668</v>
      </c>
      <c r="ER90" s="324">
        <f t="shared" si="39"/>
        <v>0.8500739385920536</v>
      </c>
      <c r="ES90" s="257">
        <f t="shared" si="40"/>
        <v>1.2159295889043642</v>
      </c>
      <c r="ET90">
        <f t="shared" si="35"/>
        <v>99</v>
      </c>
      <c r="EU90" s="324">
        <f t="shared" si="41"/>
        <v>0.69911444408391143</v>
      </c>
      <c r="EV90" s="39">
        <f t="shared" si="42"/>
        <v>161.70999999999998</v>
      </c>
      <c r="EW90"/>
      <c r="EX90">
        <f t="shared" si="43"/>
        <v>0.5346153846153846</v>
      </c>
      <c r="EY90"/>
      <c r="EZ90"/>
      <c r="FA90"/>
      <c r="FB90"/>
      <c r="FC90"/>
      <c r="FD90"/>
    </row>
    <row r="91" spans="1:160" s="77" customFormat="1" ht="13" customHeight="1" x14ac:dyDescent="0.2">
      <c r="A91" s="72" t="s">
        <v>120</v>
      </c>
      <c r="B91" s="73" t="s">
        <v>462</v>
      </c>
      <c r="C91" s="276">
        <f t="shared" si="45"/>
        <v>161.26499999999999</v>
      </c>
      <c r="D91" s="74">
        <v>116</v>
      </c>
      <c r="E91" s="74">
        <v>171</v>
      </c>
      <c r="F91" s="75">
        <f t="shared" si="31"/>
        <v>143.5</v>
      </c>
      <c r="G91" s="73" t="s">
        <v>522</v>
      </c>
      <c r="H91" s="84">
        <v>2.5</v>
      </c>
      <c r="I91" s="85">
        <v>5</v>
      </c>
      <c r="J91" s="85">
        <v>8</v>
      </c>
      <c r="K91" s="89">
        <f t="shared" ref="K91:K123" si="46">H91*I91/J91</f>
        <v>1.5625</v>
      </c>
      <c r="L91" s="75">
        <v>179</v>
      </c>
      <c r="M91" s="75">
        <v>101</v>
      </c>
      <c r="N91" s="75">
        <v>61</v>
      </c>
      <c r="O91" s="75">
        <v>55.12</v>
      </c>
      <c r="P91" s="75">
        <v>21.87</v>
      </c>
      <c r="Q91" s="75">
        <v>9.57</v>
      </c>
      <c r="R91" s="75">
        <v>2.9000000000000001E-2</v>
      </c>
      <c r="S91" s="75">
        <v>0.23</v>
      </c>
      <c r="T91" s="75">
        <v>0.01</v>
      </c>
      <c r="U91" s="75">
        <v>0.03</v>
      </c>
      <c r="V91" s="75">
        <v>0.2</v>
      </c>
      <c r="W91" s="75">
        <v>0.67700000000000005</v>
      </c>
      <c r="X91" s="75">
        <v>0.04</v>
      </c>
      <c r="Y91" s="75">
        <v>11.01</v>
      </c>
      <c r="Z91" s="75">
        <v>98.78</v>
      </c>
      <c r="AA91" s="75">
        <v>34</v>
      </c>
      <c r="AB91" s="75">
        <v>2</v>
      </c>
      <c r="AC91" s="75">
        <v>135</v>
      </c>
      <c r="AD91" s="75">
        <v>20</v>
      </c>
      <c r="AE91" s="75">
        <v>4</v>
      </c>
      <c r="AF91" s="75">
        <v>0</v>
      </c>
      <c r="AG91" s="75">
        <v>50</v>
      </c>
      <c r="AH91" s="75">
        <v>50</v>
      </c>
      <c r="AI91" s="75">
        <v>26</v>
      </c>
      <c r="AJ91" s="75">
        <v>2</v>
      </c>
      <c r="AK91" s="75">
        <v>0</v>
      </c>
      <c r="AL91" s="75">
        <v>19</v>
      </c>
      <c r="AM91" s="75" t="s">
        <v>72</v>
      </c>
      <c r="AN91" s="68">
        <f>'O.G.Chem Results'!AN91/'O.G.Chem Results'!$AN$142</f>
        <v>3.2051282051282048</v>
      </c>
      <c r="AO91" s="75">
        <v>123</v>
      </c>
      <c r="AP91" s="75">
        <v>5</v>
      </c>
      <c r="AQ91" s="75" t="s">
        <v>72</v>
      </c>
      <c r="AR91" s="75" t="s">
        <v>74</v>
      </c>
      <c r="AS91" s="75" t="s">
        <v>73</v>
      </c>
      <c r="AT91" s="75">
        <v>1</v>
      </c>
      <c r="AU91" s="75" t="s">
        <v>74</v>
      </c>
      <c r="AV91" s="75">
        <v>1.5</v>
      </c>
      <c r="AW91" s="75">
        <v>41</v>
      </c>
      <c r="AX91" s="75" t="s">
        <v>75</v>
      </c>
      <c r="AY91" s="68">
        <f>'O.G.Chem Results'!AY91/'O.G.Chem Results'!AY$142</f>
        <v>28.085106382978722</v>
      </c>
      <c r="AZ91" s="68">
        <f>'O.G.Chem Results'!AZ91/'O.G.Chem Results'!AZ$142</f>
        <v>27.354111405835539</v>
      </c>
      <c r="BA91" s="68">
        <f>'O.G.Chem Results'!BA91/'O.G.Chem Results'!BA$142</f>
        <v>20.53872053872054</v>
      </c>
      <c r="BB91" s="68">
        <f>'O.G.Chem Results'!BB91/'O.G.Chem Results'!BB$142</f>
        <v>15.473032714412026</v>
      </c>
      <c r="BC91" s="68">
        <f>'O.G.Chem Results'!BC91/'O.G.Chem Results'!BC$142</f>
        <v>9.5173351461590769</v>
      </c>
      <c r="BD91" s="68">
        <f>'O.G.Chem Results'!BD91/'O.G.Chem Results'!BD$142</f>
        <v>6.2499999999999991</v>
      </c>
      <c r="BE91" s="68">
        <f>'O.G.Chem Results'!BE91/'O.G.Chem Results'!BE$142</f>
        <v>5.6818181818181825</v>
      </c>
      <c r="BF91" s="68">
        <f>'O.G.Chem Results'!BF91/'O.G.Chem Results'!BF$142</f>
        <v>5.5096418732782375</v>
      </c>
      <c r="BG91" s="68">
        <f>'O.G.Chem Results'!BG91/'O.G.Chem Results'!BG$142</f>
        <v>4.1203131437989287</v>
      </c>
      <c r="BH91" s="68">
        <f>'O.G.Chem Results'!BH91/'O.G.Chem Results'!BH$142</f>
        <v>3.5971223021582732</v>
      </c>
      <c r="BI91" s="68">
        <f>'O.G.Chem Results'!BI91/'O.G.Chem Results'!BI$142</f>
        <v>3.7759597230962867</v>
      </c>
      <c r="BJ91" s="68">
        <f>'O.G.Chem Results'!BJ91/'O.G.Chem Results'!BJ$142</f>
        <v>4.5454545454545459</v>
      </c>
      <c r="BK91" s="68">
        <f>'O.G.Chem Results'!BK91/'O.G.Chem Results'!BK$142</f>
        <v>4.9230769230769234</v>
      </c>
      <c r="BL91" s="68">
        <f>'O.G.Chem Results'!BL91/'O.G.Chem Results'!BL$142</f>
        <v>5.761316872427984</v>
      </c>
      <c r="BM91" s="75">
        <v>3.1</v>
      </c>
      <c r="BN91" s="75">
        <v>0.4</v>
      </c>
      <c r="BO91" s="75">
        <v>0</v>
      </c>
      <c r="BP91" s="75">
        <v>0</v>
      </c>
      <c r="BQ91" s="75">
        <v>13</v>
      </c>
      <c r="BR91" s="75">
        <v>5.7</v>
      </c>
      <c r="BS91" s="75">
        <v>1.4</v>
      </c>
      <c r="BT91" s="76">
        <f t="shared" si="32"/>
        <v>0.49340723943898546</v>
      </c>
      <c r="BU91" s="281">
        <f t="shared" si="33"/>
        <v>145.13300975321528</v>
      </c>
      <c r="BV91" s="77">
        <f t="shared" si="34"/>
        <v>143.5</v>
      </c>
      <c r="BW91" s="78">
        <f t="shared" si="30"/>
        <v>98.914518317503379</v>
      </c>
      <c r="BX91" s="69">
        <f t="shared" si="36"/>
        <v>1.3318313258251073</v>
      </c>
      <c r="BY91" s="76">
        <v>10.46</v>
      </c>
      <c r="BZ91" s="76">
        <v>0</v>
      </c>
      <c r="CA91" s="76">
        <v>29.68</v>
      </c>
      <c r="CB91" s="76">
        <v>0</v>
      </c>
      <c r="CC91" s="76">
        <v>0</v>
      </c>
      <c r="CD91" s="76">
        <v>0</v>
      </c>
      <c r="CE91" s="76">
        <v>0</v>
      </c>
      <c r="CF91" s="76">
        <v>0</v>
      </c>
      <c r="CG91" s="76">
        <v>0</v>
      </c>
      <c r="CH91" s="76">
        <v>8.89</v>
      </c>
      <c r="CI91" s="76">
        <v>7.44</v>
      </c>
      <c r="CJ91" s="76">
        <v>0</v>
      </c>
      <c r="CK91" s="76">
        <v>16.3</v>
      </c>
      <c r="CL91" s="76">
        <v>16.45</v>
      </c>
      <c r="CM91" s="76">
        <v>0.35</v>
      </c>
      <c r="CN91" s="76">
        <v>0</v>
      </c>
      <c r="CO91" s="76">
        <v>8.18</v>
      </c>
      <c r="CP91" s="76">
        <v>2.2400000000000002</v>
      </c>
      <c r="CQ91" s="76">
        <v>0</v>
      </c>
      <c r="CR91" s="76">
        <v>0</v>
      </c>
      <c r="CS91" s="76">
        <v>0</v>
      </c>
      <c r="CT91" s="76">
        <v>0</v>
      </c>
      <c r="CU91" s="76">
        <v>0</v>
      </c>
      <c r="CV91" s="76">
        <v>0</v>
      </c>
      <c r="CW91" s="76">
        <v>0</v>
      </c>
      <c r="CX91" s="76">
        <v>0</v>
      </c>
      <c r="CY91" s="281">
        <v>99.99</v>
      </c>
      <c r="CZ91" s="285">
        <v>0.33150899139953094</v>
      </c>
      <c r="DA91" s="285">
        <v>0</v>
      </c>
      <c r="DB91" s="285">
        <v>0</v>
      </c>
      <c r="DC91" s="285">
        <v>0</v>
      </c>
      <c r="DD91" s="285">
        <v>0</v>
      </c>
      <c r="DE91" s="285">
        <v>0</v>
      </c>
      <c r="DF91" s="285">
        <v>0</v>
      </c>
      <c r="DG91" s="285">
        <v>9.9296325254104784E-2</v>
      </c>
      <c r="DH91" s="285">
        <v>8.3100636658103452E-2</v>
      </c>
      <c r="DI91" s="285">
        <v>0</v>
      </c>
      <c r="DJ91" s="285">
        <v>0.18206187869987717</v>
      </c>
      <c r="DK91" s="285">
        <v>0.18373729476153247</v>
      </c>
      <c r="DL91" s="285">
        <v>3.9093041438623931E-3</v>
      </c>
      <c r="DM91" s="285">
        <v>0</v>
      </c>
      <c r="DN91" s="285">
        <v>9.1366022562269639E-2</v>
      </c>
      <c r="DO91" s="285">
        <v>2.5019546520719319E-2</v>
      </c>
      <c r="DP91" s="285">
        <v>0</v>
      </c>
      <c r="DQ91" s="285">
        <v>0</v>
      </c>
      <c r="DR91" s="285">
        <v>0</v>
      </c>
      <c r="DS91" s="285">
        <v>0</v>
      </c>
      <c r="DT91" s="285">
        <v>0</v>
      </c>
      <c r="DU91" s="285">
        <v>0</v>
      </c>
      <c r="DV91" s="285">
        <v>0</v>
      </c>
      <c r="DW91" s="285">
        <v>0</v>
      </c>
      <c r="DX91" s="76">
        <v>1</v>
      </c>
      <c r="DY91" s="78">
        <v>55.352771470121766</v>
      </c>
      <c r="DZ91" s="78">
        <v>23.363824386938798</v>
      </c>
      <c r="EA91" s="78">
        <v>8.5963819911714161</v>
      </c>
      <c r="EB91" s="78">
        <v>1.5339723232919056</v>
      </c>
      <c r="EC91" s="78">
        <v>0</v>
      </c>
      <c r="ED91" s="78">
        <v>0.57516831327797258</v>
      </c>
      <c r="EE91" s="78">
        <v>1.6167428202371152E-2</v>
      </c>
      <c r="EF91" s="78">
        <v>0</v>
      </c>
      <c r="EG91" s="78">
        <v>0.80273579651265692</v>
      </c>
      <c r="EH91" s="78">
        <v>0.1972838781641722</v>
      </c>
      <c r="EI91" s="78">
        <v>0</v>
      </c>
      <c r="EJ91" s="78">
        <v>9.5616944123189533</v>
      </c>
      <c r="EK91" s="78">
        <v>0</v>
      </c>
      <c r="EL91" s="78">
        <v>100.00000000000003</v>
      </c>
      <c r="EM91" s="76">
        <v>96.613685445803924</v>
      </c>
      <c r="EN91" s="76" t="s">
        <v>120</v>
      </c>
      <c r="EO91" s="289">
        <v>0.10268411823559592</v>
      </c>
      <c r="EP91" s="257">
        <f t="shared" si="37"/>
        <v>10.268411823559592</v>
      </c>
      <c r="EQ91" s="257">
        <f t="shared" si="38"/>
        <v>82.487394957983199</v>
      </c>
      <c r="ER91" s="324">
        <f t="shared" si="39"/>
        <v>0.82241423125794122</v>
      </c>
      <c r="ES91" s="257">
        <f t="shared" si="40"/>
        <v>1.1454301611725841</v>
      </c>
      <c r="ET91">
        <f t="shared" si="35"/>
        <v>143.5</v>
      </c>
      <c r="EU91" s="324">
        <f t="shared" si="41"/>
        <v>0.71799596268360055</v>
      </c>
      <c r="EV91" s="39">
        <f t="shared" si="42"/>
        <v>161.26499999999999</v>
      </c>
      <c r="EW91"/>
      <c r="EX91">
        <f t="shared" si="43"/>
        <v>0.89102564102564097</v>
      </c>
      <c r="EY91"/>
      <c r="EZ91"/>
      <c r="FA91"/>
      <c r="FB91"/>
      <c r="FC91"/>
      <c r="FD91"/>
    </row>
    <row r="92" spans="1:160" s="77" customFormat="1" ht="13" customHeight="1" x14ac:dyDescent="0.2">
      <c r="A92" s="72" t="s">
        <v>121</v>
      </c>
      <c r="B92" s="73" t="s">
        <v>462</v>
      </c>
      <c r="C92" s="276">
        <f t="shared" si="45"/>
        <v>160.82</v>
      </c>
      <c r="D92" s="74">
        <v>171</v>
      </c>
      <c r="E92" s="74">
        <v>205</v>
      </c>
      <c r="F92" s="75">
        <f t="shared" si="31"/>
        <v>188</v>
      </c>
      <c r="G92" s="73" t="s">
        <v>522</v>
      </c>
      <c r="H92" s="84">
        <v>2.5</v>
      </c>
      <c r="I92" s="85">
        <v>5</v>
      </c>
      <c r="J92" s="85">
        <v>8</v>
      </c>
      <c r="K92" s="89">
        <f t="shared" si="46"/>
        <v>1.5625</v>
      </c>
      <c r="L92" s="75">
        <v>179</v>
      </c>
      <c r="M92" s="75">
        <v>101</v>
      </c>
      <c r="N92" s="75">
        <v>61</v>
      </c>
      <c r="O92" s="75">
        <v>56.98</v>
      </c>
      <c r="P92" s="75">
        <v>20.88</v>
      </c>
      <c r="Q92" s="75">
        <v>9.86</v>
      </c>
      <c r="R92" s="75">
        <v>3.9E-2</v>
      </c>
      <c r="S92" s="75">
        <v>0.38</v>
      </c>
      <c r="T92" s="75">
        <v>0.02</v>
      </c>
      <c r="U92" s="75">
        <v>0.04</v>
      </c>
      <c r="V92" s="75">
        <v>0.31</v>
      </c>
      <c r="W92" s="75">
        <v>0.71</v>
      </c>
      <c r="X92" s="75">
        <v>0.05</v>
      </c>
      <c r="Y92" s="75">
        <v>10.52</v>
      </c>
      <c r="Z92" s="75">
        <v>99.78</v>
      </c>
      <c r="AA92" s="75">
        <v>36</v>
      </c>
      <c r="AB92" s="75">
        <v>2</v>
      </c>
      <c r="AC92" s="75">
        <v>128</v>
      </c>
      <c r="AD92" s="75">
        <v>0</v>
      </c>
      <c r="AE92" s="75">
        <v>6</v>
      </c>
      <c r="AF92" s="75">
        <v>0</v>
      </c>
      <c r="AG92" s="75">
        <v>60</v>
      </c>
      <c r="AH92" s="75">
        <v>50</v>
      </c>
      <c r="AI92" s="75">
        <v>24</v>
      </c>
      <c r="AJ92" s="75">
        <v>2</v>
      </c>
      <c r="AK92" s="75">
        <v>0</v>
      </c>
      <c r="AL92" s="75">
        <v>20</v>
      </c>
      <c r="AM92" s="75" t="s">
        <v>72</v>
      </c>
      <c r="AN92" s="68">
        <f>'O.G.Chem Results'!AN92/'O.G.Chem Results'!$AN$142</f>
        <v>3.2051282051282048</v>
      </c>
      <c r="AO92" s="75">
        <v>139</v>
      </c>
      <c r="AP92" s="75">
        <v>4</v>
      </c>
      <c r="AQ92" s="75" t="s">
        <v>72</v>
      </c>
      <c r="AR92" s="75" t="s">
        <v>74</v>
      </c>
      <c r="AS92" s="75" t="s">
        <v>73</v>
      </c>
      <c r="AT92" s="75">
        <v>1</v>
      </c>
      <c r="AU92" s="75" t="s">
        <v>74</v>
      </c>
      <c r="AV92" s="75">
        <v>1.6</v>
      </c>
      <c r="AW92" s="75">
        <v>60</v>
      </c>
      <c r="AX92" s="75" t="s">
        <v>75</v>
      </c>
      <c r="AY92" s="68">
        <f>'O.G.Chem Results'!AY92/'O.G.Chem Results'!AY$142</f>
        <v>34.042553191489361</v>
      </c>
      <c r="AZ92" s="68">
        <f>'O.G.Chem Results'!AZ92/'O.G.Chem Results'!AZ$142</f>
        <v>44.429708222811669</v>
      </c>
      <c r="BA92" s="68">
        <f>'O.G.Chem Results'!BA92/'O.G.Chem Results'!BA$142</f>
        <v>27.048260381593717</v>
      </c>
      <c r="BB92" s="68">
        <f>'O.G.Chem Results'!BB92/'O.G.Chem Results'!BB$142</f>
        <v>20.114942528735632</v>
      </c>
      <c r="BC92" s="68">
        <f>'O.G.Chem Results'!BC92/'O.G.Chem Results'!BC$142</f>
        <v>13.596193065941538</v>
      </c>
      <c r="BD92" s="68">
        <f>'O.G.Chem Results'!BD92/'O.G.Chem Results'!BD$142</f>
        <v>8.5714285714285712</v>
      </c>
      <c r="BE92" s="68">
        <f>'O.G.Chem Results'!BE92/'O.G.Chem Results'!BE$142</f>
        <v>7.9545454545454541</v>
      </c>
      <c r="BF92" s="68">
        <f>'O.G.Chem Results'!BF92/'O.G.Chem Results'!BF$142</f>
        <v>5.5096418732782375</v>
      </c>
      <c r="BG92" s="68">
        <f>'O.G.Chem Results'!BG92/'O.G.Chem Results'!BG$142</f>
        <v>5.7684384013184999</v>
      </c>
      <c r="BH92" s="68">
        <f>'O.G.Chem Results'!BH92/'O.G.Chem Results'!BH$142</f>
        <v>5.3956834532374094</v>
      </c>
      <c r="BI92" s="68">
        <f>'O.G.Chem Results'!BI92/'O.G.Chem Results'!BI$142</f>
        <v>5.0346129641283826</v>
      </c>
      <c r="BJ92" s="68">
        <f>'O.G.Chem Results'!BJ92/'O.G.Chem Results'!BJ$142</f>
        <v>5.3719008264462813</v>
      </c>
      <c r="BK92" s="68">
        <f>'O.G.Chem Results'!BK92/'O.G.Chem Results'!BK$142</f>
        <v>6.7692307692307692</v>
      </c>
      <c r="BL92" s="68">
        <f>'O.G.Chem Results'!BL92/'O.G.Chem Results'!BL$142</f>
        <v>7.8189300411522629</v>
      </c>
      <c r="BM92" s="75">
        <v>3.5</v>
      </c>
      <c r="BN92" s="75">
        <v>0.3</v>
      </c>
      <c r="BO92" s="75">
        <v>0</v>
      </c>
      <c r="BP92" s="75">
        <v>0</v>
      </c>
      <c r="BQ92" s="75">
        <v>23</v>
      </c>
      <c r="BR92" s="75">
        <v>3.8</v>
      </c>
      <c r="BS92" s="75">
        <v>1.4</v>
      </c>
      <c r="BT92" s="76">
        <f t="shared" si="32"/>
        <v>0.56618360962278402</v>
      </c>
      <c r="BU92" s="281">
        <f t="shared" si="33"/>
        <v>197.42606974533783</v>
      </c>
      <c r="BV92" s="77">
        <f t="shared" si="34"/>
        <v>188</v>
      </c>
      <c r="BW92" s="78">
        <f t="shared" si="30"/>
        <v>98.258823529411785</v>
      </c>
      <c r="BX92" s="69">
        <f t="shared" si="36"/>
        <v>1.6426087147935764</v>
      </c>
      <c r="BY92" s="76">
        <v>12.25</v>
      </c>
      <c r="BZ92" s="76">
        <v>0</v>
      </c>
      <c r="CA92" s="76">
        <v>29.88</v>
      </c>
      <c r="CB92" s="76">
        <v>0</v>
      </c>
      <c r="CC92" s="76">
        <v>0</v>
      </c>
      <c r="CD92" s="76">
        <v>0</v>
      </c>
      <c r="CE92" s="76">
        <v>0</v>
      </c>
      <c r="CF92" s="76">
        <v>0</v>
      </c>
      <c r="CG92" s="76">
        <v>0</v>
      </c>
      <c r="CH92" s="76">
        <v>8.48</v>
      </c>
      <c r="CI92" s="76">
        <v>8.52</v>
      </c>
      <c r="CJ92" s="76">
        <v>0</v>
      </c>
      <c r="CK92" s="76">
        <v>16.850000000000001</v>
      </c>
      <c r="CL92" s="76">
        <v>17.010000000000002</v>
      </c>
      <c r="CM92" s="76">
        <v>0</v>
      </c>
      <c r="CN92" s="76">
        <v>0</v>
      </c>
      <c r="CO92" s="76">
        <v>3.79</v>
      </c>
      <c r="CP92" s="76">
        <v>3.21</v>
      </c>
      <c r="CQ92" s="76">
        <v>0</v>
      </c>
      <c r="CR92" s="76">
        <v>0</v>
      </c>
      <c r="CS92" s="76">
        <v>0</v>
      </c>
      <c r="CT92" s="76">
        <v>0</v>
      </c>
      <c r="CU92" s="76">
        <v>0</v>
      </c>
      <c r="CV92" s="76">
        <v>0</v>
      </c>
      <c r="CW92" s="76">
        <v>0</v>
      </c>
      <c r="CX92" s="76">
        <v>0</v>
      </c>
      <c r="CY92" s="281">
        <v>99.99</v>
      </c>
      <c r="CZ92" s="285">
        <v>0.34055162981536358</v>
      </c>
      <c r="DA92" s="285">
        <v>0</v>
      </c>
      <c r="DB92" s="285">
        <v>0</v>
      </c>
      <c r="DC92" s="285">
        <v>0</v>
      </c>
      <c r="DD92" s="285">
        <v>0</v>
      </c>
      <c r="DE92" s="285">
        <v>0</v>
      </c>
      <c r="DF92" s="285">
        <v>0</v>
      </c>
      <c r="DG92" s="285">
        <v>9.6649190790973338E-2</v>
      </c>
      <c r="DH92" s="285">
        <v>9.710508320036472E-2</v>
      </c>
      <c r="DI92" s="285">
        <v>0</v>
      </c>
      <c r="DJ92" s="285">
        <v>0.19204467745612039</v>
      </c>
      <c r="DK92" s="285">
        <v>0.19386824709368591</v>
      </c>
      <c r="DL92" s="285">
        <v>0</v>
      </c>
      <c r="DM92" s="285">
        <v>0</v>
      </c>
      <c r="DN92" s="285">
        <v>4.3195805789833605E-2</v>
      </c>
      <c r="DO92" s="285">
        <v>3.6585365853658541E-2</v>
      </c>
      <c r="DP92" s="285">
        <v>0</v>
      </c>
      <c r="DQ92" s="285">
        <v>0</v>
      </c>
      <c r="DR92" s="285">
        <v>0</v>
      </c>
      <c r="DS92" s="285">
        <v>0</v>
      </c>
      <c r="DT92" s="285">
        <v>0</v>
      </c>
      <c r="DU92" s="285">
        <v>0</v>
      </c>
      <c r="DV92" s="285">
        <v>0</v>
      </c>
      <c r="DW92" s="285">
        <v>0</v>
      </c>
      <c r="DX92" s="76">
        <v>1</v>
      </c>
      <c r="DY92" s="78">
        <v>55.644819484354876</v>
      </c>
      <c r="DZ92" s="78">
        <v>23.959019060986801</v>
      </c>
      <c r="EA92" s="78">
        <v>8.3751513919773757</v>
      </c>
      <c r="EB92" s="78">
        <v>0.83633730841660325</v>
      </c>
      <c r="EC92" s="78">
        <v>0</v>
      </c>
      <c r="ED92" s="78">
        <v>0.33039313518293861</v>
      </c>
      <c r="EE92" s="78">
        <v>5.9511583897668393E-3</v>
      </c>
      <c r="EF92" s="78">
        <v>0</v>
      </c>
      <c r="EG92" s="78">
        <v>0.65971277187772326</v>
      </c>
      <c r="EH92" s="78">
        <v>9.3271391789401817E-2</v>
      </c>
      <c r="EI92" s="78">
        <v>0</v>
      </c>
      <c r="EJ92" s="78">
        <v>10.095344297024527</v>
      </c>
      <c r="EK92" s="78">
        <v>0</v>
      </c>
      <c r="EL92" s="78">
        <v>100.00000000000003</v>
      </c>
      <c r="EM92" s="76">
        <v>97.296761422252999</v>
      </c>
      <c r="EN92" s="76" t="s">
        <v>121</v>
      </c>
      <c r="EO92" s="289">
        <v>9.2867590581514725E-2</v>
      </c>
      <c r="EP92" s="257">
        <f t="shared" si="37"/>
        <v>9.286759058151473</v>
      </c>
      <c r="EQ92" s="257">
        <f t="shared" si="38"/>
        <v>87.901832008295884</v>
      </c>
      <c r="ER92" s="324">
        <f t="shared" si="39"/>
        <v>0.79546495014824936</v>
      </c>
      <c r="ES92" s="257">
        <f t="shared" si="40"/>
        <v>1.5112137273512569</v>
      </c>
      <c r="ET92">
        <f t="shared" si="35"/>
        <v>188</v>
      </c>
      <c r="EU92" s="324">
        <f t="shared" si="41"/>
        <v>0.52637488381109476</v>
      </c>
      <c r="EV92" s="39">
        <f t="shared" si="42"/>
        <v>160.82</v>
      </c>
      <c r="EW92"/>
      <c r="EX92">
        <f t="shared" si="43"/>
        <v>0.59401709401709402</v>
      </c>
      <c r="EY92"/>
      <c r="EZ92"/>
      <c r="FA92"/>
      <c r="FB92"/>
      <c r="FC92"/>
      <c r="FD92"/>
    </row>
    <row r="93" spans="1:160" s="77" customFormat="1" ht="13" customHeight="1" x14ac:dyDescent="0.2">
      <c r="A93" s="72" t="s">
        <v>122</v>
      </c>
      <c r="B93" s="73" t="s">
        <v>462</v>
      </c>
      <c r="C93" s="276">
        <f t="shared" si="45"/>
        <v>159.94999999999999</v>
      </c>
      <c r="D93" s="74">
        <v>250</v>
      </c>
      <c r="E93" s="74">
        <v>300</v>
      </c>
      <c r="F93" s="75">
        <f t="shared" si="31"/>
        <v>275</v>
      </c>
      <c r="G93" s="73" t="s">
        <v>518</v>
      </c>
      <c r="H93" s="84">
        <v>2.5</v>
      </c>
      <c r="I93" s="85">
        <v>4</v>
      </c>
      <c r="J93" s="85">
        <v>8</v>
      </c>
      <c r="K93" s="89">
        <f t="shared" si="46"/>
        <v>1.25</v>
      </c>
      <c r="L93" s="75">
        <v>150</v>
      </c>
      <c r="M93" s="75">
        <v>75</v>
      </c>
      <c r="N93" s="75">
        <v>38</v>
      </c>
      <c r="O93" s="75">
        <v>55.96</v>
      </c>
      <c r="P93" s="75">
        <v>21.53</v>
      </c>
      <c r="Q93" s="75">
        <v>9.7799999999999994</v>
      </c>
      <c r="R93" s="75">
        <v>4.2000000000000003E-2</v>
      </c>
      <c r="S93" s="75">
        <v>0.34</v>
      </c>
      <c r="T93" s="75">
        <v>0.05</v>
      </c>
      <c r="U93" s="75">
        <v>0.09</v>
      </c>
      <c r="V93" s="75">
        <v>0.64</v>
      </c>
      <c r="W93" s="75">
        <v>0.73699999999999999</v>
      </c>
      <c r="X93" s="75">
        <v>0.12</v>
      </c>
      <c r="Y93" s="75">
        <v>10.41</v>
      </c>
      <c r="Z93" s="75">
        <v>99.69</v>
      </c>
      <c r="AA93" s="75">
        <v>31</v>
      </c>
      <c r="AB93" s="75">
        <v>2</v>
      </c>
      <c r="AC93" s="75">
        <v>168</v>
      </c>
      <c r="AD93" s="75">
        <v>20</v>
      </c>
      <c r="AE93" s="75">
        <v>7</v>
      </c>
      <c r="AF93" s="75">
        <v>0</v>
      </c>
      <c r="AG93" s="75">
        <v>50</v>
      </c>
      <c r="AH93" s="75">
        <v>50</v>
      </c>
      <c r="AI93" s="75">
        <v>22</v>
      </c>
      <c r="AJ93" s="75">
        <v>1</v>
      </c>
      <c r="AK93" s="75">
        <v>0</v>
      </c>
      <c r="AL93" s="75">
        <v>33</v>
      </c>
      <c r="AM93" s="75">
        <v>3</v>
      </c>
      <c r="AN93" s="68">
        <f>'O.G.Chem Results'!AN93/'O.G.Chem Results'!$AN$142</f>
        <v>5.7692307692307692</v>
      </c>
      <c r="AO93" s="75">
        <v>132</v>
      </c>
      <c r="AP93" s="75">
        <v>4</v>
      </c>
      <c r="AQ93" s="75" t="s">
        <v>72</v>
      </c>
      <c r="AR93" s="75">
        <v>1.4</v>
      </c>
      <c r="AS93" s="75" t="s">
        <v>73</v>
      </c>
      <c r="AT93" s="75">
        <v>1</v>
      </c>
      <c r="AU93" s="75" t="s">
        <v>74</v>
      </c>
      <c r="AV93" s="75">
        <v>1.5</v>
      </c>
      <c r="AW93" s="75">
        <v>68</v>
      </c>
      <c r="AX93" s="75" t="s">
        <v>75</v>
      </c>
      <c r="AY93" s="68">
        <f>'O.G.Chem Results'!AY93/'O.G.Chem Results'!AY$142</f>
        <v>41.276595744680847</v>
      </c>
      <c r="AZ93" s="68">
        <f>'O.G.Chem Results'!AZ93/'O.G.Chem Results'!AZ$142</f>
        <v>41.114058355437663</v>
      </c>
      <c r="BA93" s="68">
        <f>'O.G.Chem Results'!BA93/'O.G.Chem Results'!BA$142</f>
        <v>31.76206509539843</v>
      </c>
      <c r="BB93" s="68">
        <f>'O.G.Chem Results'!BB93/'O.G.Chem Results'!BB$142</f>
        <v>24.75685234305924</v>
      </c>
      <c r="BC93" s="68">
        <f>'O.G.Chem Results'!BC93/'O.G.Chem Results'!BC$142</f>
        <v>16.315431679129844</v>
      </c>
      <c r="BD93" s="68">
        <f>'O.G.Chem Results'!BD93/'O.G.Chem Results'!BD$142</f>
        <v>11.785714285714286</v>
      </c>
      <c r="BE93" s="68">
        <f>'O.G.Chem Results'!BE93/'O.G.Chem Results'!BE$142</f>
        <v>10.795454545454545</v>
      </c>
      <c r="BF93" s="68">
        <f>'O.G.Chem Results'!BF93/'O.G.Chem Results'!BF$142</f>
        <v>8.2644628099173545</v>
      </c>
      <c r="BG93" s="68">
        <f>'O.G.Chem Results'!BG93/'O.G.Chem Results'!BG$142</f>
        <v>7.8285949732179638</v>
      </c>
      <c r="BH93" s="68">
        <f>'O.G.Chem Results'!BH93/'O.G.Chem Results'!BH$142</f>
        <v>7.1942446043165464</v>
      </c>
      <c r="BI93" s="68">
        <f>'O.G.Chem Results'!BI93/'O.G.Chem Results'!BI$142</f>
        <v>7.5519194461925734</v>
      </c>
      <c r="BJ93" s="68">
        <f>'O.G.Chem Results'!BJ93/'O.G.Chem Results'!BJ$142</f>
        <v>7.4380165289256199</v>
      </c>
      <c r="BK93" s="68">
        <f>'O.G.Chem Results'!BK93/'O.G.Chem Results'!BK$142</f>
        <v>8</v>
      </c>
      <c r="BL93" s="68">
        <f>'O.G.Chem Results'!BL93/'O.G.Chem Results'!BL$142</f>
        <v>9.05349794238683</v>
      </c>
      <c r="BM93" s="75">
        <v>3.1</v>
      </c>
      <c r="BN93" s="75">
        <v>0.3</v>
      </c>
      <c r="BO93" s="75">
        <v>0</v>
      </c>
      <c r="BP93" s="75">
        <v>0.2</v>
      </c>
      <c r="BQ93" s="75">
        <v>10</v>
      </c>
      <c r="BR93" s="75">
        <v>3.8</v>
      </c>
      <c r="BS93" s="75">
        <v>1.8</v>
      </c>
      <c r="BT93" s="76">
        <f t="shared" si="32"/>
        <v>0.49901361755760748</v>
      </c>
      <c r="BU93" s="281">
        <f t="shared" si="33"/>
        <v>233.13690835383176</v>
      </c>
      <c r="BV93" s="77">
        <f t="shared" si="34"/>
        <v>275</v>
      </c>
      <c r="BW93" s="78">
        <f t="shared" si="30"/>
        <v>96.503809950694745</v>
      </c>
      <c r="BX93" s="69">
        <f t="shared" si="36"/>
        <v>1.2944390810846274</v>
      </c>
      <c r="BY93" s="76">
        <v>12.48</v>
      </c>
      <c r="BZ93" s="76">
        <v>0.28999999999999998</v>
      </c>
      <c r="CA93" s="76">
        <v>30.63</v>
      </c>
      <c r="CB93" s="76">
        <v>0</v>
      </c>
      <c r="CC93" s="76">
        <v>0</v>
      </c>
      <c r="CD93" s="76">
        <v>0</v>
      </c>
      <c r="CE93" s="76">
        <v>0</v>
      </c>
      <c r="CF93" s="76">
        <v>0</v>
      </c>
      <c r="CG93" s="76">
        <v>0</v>
      </c>
      <c r="CH93" s="76">
        <v>6.97</v>
      </c>
      <c r="CI93" s="76">
        <v>6.8</v>
      </c>
      <c r="CJ93" s="76">
        <v>0</v>
      </c>
      <c r="CK93" s="76">
        <v>17.78</v>
      </c>
      <c r="CL93" s="76">
        <v>18.18</v>
      </c>
      <c r="CM93" s="76">
        <v>0</v>
      </c>
      <c r="CN93" s="76">
        <v>0</v>
      </c>
      <c r="CO93" s="76">
        <v>2.94</v>
      </c>
      <c r="CP93" s="76">
        <v>3.94</v>
      </c>
      <c r="CQ93" s="76">
        <v>0</v>
      </c>
      <c r="CR93" s="76">
        <v>0</v>
      </c>
      <c r="CS93" s="76">
        <v>0</v>
      </c>
      <c r="CT93" s="76">
        <v>0</v>
      </c>
      <c r="CU93" s="76">
        <v>0</v>
      </c>
      <c r="CV93" s="76">
        <v>0</v>
      </c>
      <c r="CW93" s="76">
        <v>0</v>
      </c>
      <c r="CX93" s="76">
        <v>0</v>
      </c>
      <c r="CY93" s="281">
        <v>100.00999999999999</v>
      </c>
      <c r="CZ93" s="285">
        <v>0.35110041265474556</v>
      </c>
      <c r="DA93" s="285">
        <v>0</v>
      </c>
      <c r="DB93" s="285">
        <v>0</v>
      </c>
      <c r="DC93" s="285">
        <v>0</v>
      </c>
      <c r="DD93" s="285">
        <v>0</v>
      </c>
      <c r="DE93" s="285">
        <v>0</v>
      </c>
      <c r="DF93" s="285">
        <v>0</v>
      </c>
      <c r="DG93" s="285">
        <v>7.9894543787253552E-2</v>
      </c>
      <c r="DH93" s="285">
        <v>7.7945896377808341E-2</v>
      </c>
      <c r="DI93" s="285">
        <v>0</v>
      </c>
      <c r="DJ93" s="285">
        <v>0.2038055937643283</v>
      </c>
      <c r="DK93" s="285">
        <v>0.20839064649243466</v>
      </c>
      <c r="DL93" s="285">
        <v>0</v>
      </c>
      <c r="DM93" s="285">
        <v>0</v>
      </c>
      <c r="DN93" s="285">
        <v>3.3700137551581848E-2</v>
      </c>
      <c r="DO93" s="285">
        <v>4.516276937184778E-2</v>
      </c>
      <c r="DP93" s="285">
        <v>0</v>
      </c>
      <c r="DQ93" s="285">
        <v>0</v>
      </c>
      <c r="DR93" s="285">
        <v>0</v>
      </c>
      <c r="DS93" s="285">
        <v>0</v>
      </c>
      <c r="DT93" s="285">
        <v>0</v>
      </c>
      <c r="DU93" s="285">
        <v>0</v>
      </c>
      <c r="DV93" s="285">
        <v>0</v>
      </c>
      <c r="DW93" s="285">
        <v>0</v>
      </c>
      <c r="DX93" s="76">
        <v>1</v>
      </c>
      <c r="DY93" s="78">
        <v>57.972077389412235</v>
      </c>
      <c r="DZ93" s="78">
        <v>23.60567663974291</v>
      </c>
      <c r="EA93" s="78">
        <v>6.9925814688775105</v>
      </c>
      <c r="EB93" s="78">
        <v>0.72707777705130183</v>
      </c>
      <c r="EC93" s="78">
        <v>0</v>
      </c>
      <c r="ED93" s="78">
        <v>0.29905488678794123</v>
      </c>
      <c r="EE93" s="78">
        <v>4.642924299228946E-3</v>
      </c>
      <c r="EF93" s="78">
        <v>0</v>
      </c>
      <c r="EG93" s="78">
        <v>0.70768366900625279</v>
      </c>
      <c r="EH93" s="78">
        <v>7.2767683701136274E-2</v>
      </c>
      <c r="EI93" s="78">
        <v>0</v>
      </c>
      <c r="EJ93" s="78">
        <v>9.618437561121473</v>
      </c>
      <c r="EK93" s="78">
        <v>0</v>
      </c>
      <c r="EL93" s="78">
        <v>99.999999999999986</v>
      </c>
      <c r="EM93" s="76">
        <v>97.070785020961651</v>
      </c>
      <c r="EN93" s="76" t="s">
        <v>122</v>
      </c>
      <c r="EO93" s="289">
        <v>7.7850962458634293E-2</v>
      </c>
      <c r="EP93" s="257">
        <f t="shared" si="37"/>
        <v>7.7850962458634294</v>
      </c>
      <c r="EQ93" s="257">
        <f t="shared" si="38"/>
        <v>87.846670199611367</v>
      </c>
      <c r="ER93" s="324">
        <f t="shared" si="39"/>
        <v>0.86944515115311105</v>
      </c>
      <c r="ES93" s="257">
        <f t="shared" si="40"/>
        <v>1.1494000995743547</v>
      </c>
      <c r="ET93">
        <f t="shared" si="35"/>
        <v>275</v>
      </c>
      <c r="EU93" s="324">
        <f t="shared" si="41"/>
        <v>0.7564338575184425</v>
      </c>
      <c r="EV93" s="39">
        <f t="shared" si="42"/>
        <v>159.94999999999999</v>
      </c>
      <c r="EW93"/>
      <c r="EX93">
        <f t="shared" si="43"/>
        <v>0.80192307692307696</v>
      </c>
      <c r="EY93"/>
      <c r="EZ93"/>
      <c r="FA93"/>
      <c r="FB93"/>
      <c r="FC93"/>
      <c r="FD93"/>
    </row>
    <row r="94" spans="1:160" s="77" customFormat="1" ht="13" customHeight="1" x14ac:dyDescent="0.2">
      <c r="A94" s="72" t="s">
        <v>123</v>
      </c>
      <c r="B94" s="73" t="s">
        <v>462</v>
      </c>
      <c r="C94" s="276">
        <f t="shared" si="45"/>
        <v>159.19999999999999</v>
      </c>
      <c r="D94" s="74">
        <v>300</v>
      </c>
      <c r="E94" s="74">
        <v>400</v>
      </c>
      <c r="F94" s="75">
        <f t="shared" si="31"/>
        <v>350</v>
      </c>
      <c r="G94" s="73" t="s">
        <v>507</v>
      </c>
      <c r="H94" s="84">
        <v>2.5</v>
      </c>
      <c r="I94" s="85">
        <v>4</v>
      </c>
      <c r="J94" s="85">
        <v>6</v>
      </c>
      <c r="K94" s="89">
        <f t="shared" si="46"/>
        <v>1.6666666666666667</v>
      </c>
      <c r="L94" s="75">
        <v>140</v>
      </c>
      <c r="M94" s="75">
        <v>81</v>
      </c>
      <c r="N94" s="75">
        <v>54</v>
      </c>
      <c r="O94" s="75">
        <v>54.92</v>
      </c>
      <c r="P94" s="75">
        <v>22.65</v>
      </c>
      <c r="Q94" s="75">
        <v>10.01</v>
      </c>
      <c r="R94" s="75">
        <v>0.107</v>
      </c>
      <c r="S94" s="75">
        <v>0.46</v>
      </c>
      <c r="T94" s="75">
        <v>0.01</v>
      </c>
      <c r="U94" s="75">
        <v>0.05</v>
      </c>
      <c r="V94" s="75">
        <v>0.67</v>
      </c>
      <c r="W94" s="75">
        <v>0.71</v>
      </c>
      <c r="X94" s="75">
        <v>0.08</v>
      </c>
      <c r="Y94" s="75">
        <v>10.72</v>
      </c>
      <c r="Z94" s="75">
        <v>100.4</v>
      </c>
      <c r="AA94" s="75">
        <v>31</v>
      </c>
      <c r="AB94" s="75">
        <v>2</v>
      </c>
      <c r="AC94" s="75">
        <v>153</v>
      </c>
      <c r="AD94" s="75">
        <v>50</v>
      </c>
      <c r="AE94" s="75">
        <v>21</v>
      </c>
      <c r="AF94" s="75">
        <v>0</v>
      </c>
      <c r="AG94" s="75">
        <v>60</v>
      </c>
      <c r="AH94" s="75">
        <v>50</v>
      </c>
      <c r="AI94" s="75">
        <v>20</v>
      </c>
      <c r="AJ94" s="75">
        <v>1</v>
      </c>
      <c r="AK94" s="75">
        <v>0</v>
      </c>
      <c r="AL94" s="75">
        <v>31</v>
      </c>
      <c r="AM94" s="75">
        <v>5</v>
      </c>
      <c r="AN94" s="68">
        <f>'O.G.Chem Results'!AN94/'O.G.Chem Results'!$AN$142</f>
        <v>5.7692307692307692</v>
      </c>
      <c r="AO94" s="75">
        <v>141</v>
      </c>
      <c r="AP94" s="75">
        <v>4</v>
      </c>
      <c r="AQ94" s="75" t="s">
        <v>72</v>
      </c>
      <c r="AR94" s="75">
        <v>1.2</v>
      </c>
      <c r="AS94" s="75" t="s">
        <v>73</v>
      </c>
      <c r="AT94" s="75">
        <v>1</v>
      </c>
      <c r="AU94" s="75" t="s">
        <v>74</v>
      </c>
      <c r="AV94" s="75">
        <v>1.4</v>
      </c>
      <c r="AW94" s="75">
        <v>108</v>
      </c>
      <c r="AX94" s="75" t="s">
        <v>75</v>
      </c>
      <c r="AY94" s="68">
        <f>'O.G.Chem Results'!AY94/'O.G.Chem Results'!AY$142</f>
        <v>45.957446808510646</v>
      </c>
      <c r="AZ94" s="68">
        <f>'O.G.Chem Results'!AZ94/'O.G.Chem Results'!AZ$142</f>
        <v>64.820954907161806</v>
      </c>
      <c r="BA94" s="68">
        <f>'O.G.Chem Results'!BA94/'O.G.Chem Results'!BA$142</f>
        <v>34.118967452300787</v>
      </c>
      <c r="BB94" s="68">
        <f>'O.G.Chem Results'!BB94/'O.G.Chem Results'!BB$142</f>
        <v>27.851458885941646</v>
      </c>
      <c r="BC94" s="68">
        <f>'O.G.Chem Results'!BC94/'O.G.Chem Results'!BC$142</f>
        <v>18.354860639021076</v>
      </c>
      <c r="BD94" s="68">
        <f>'O.G.Chem Results'!BD94/'O.G.Chem Results'!BD$142</f>
        <v>13.571428571428571</v>
      </c>
      <c r="BE94" s="68">
        <f>'O.G.Chem Results'!BE94/'O.G.Chem Results'!BE$142</f>
        <v>13.068181818181818</v>
      </c>
      <c r="BF94" s="68">
        <f>'O.G.Chem Results'!BF94/'O.G.Chem Results'!BF$142</f>
        <v>11.019283746556475</v>
      </c>
      <c r="BG94" s="68">
        <f>'O.G.Chem Results'!BG94/'O.G.Chem Results'!BG$142</f>
        <v>9.476720230737536</v>
      </c>
      <c r="BH94" s="68">
        <f>'O.G.Chem Results'!BH94/'O.G.Chem Results'!BH$142</f>
        <v>8.9928057553956826</v>
      </c>
      <c r="BI94" s="68">
        <f>'O.G.Chem Results'!BI94/'O.G.Chem Results'!BI$142</f>
        <v>9.4398993077407169</v>
      </c>
      <c r="BJ94" s="68">
        <f>'O.G.Chem Results'!BJ94/'O.G.Chem Results'!BJ$142</f>
        <v>9.9173553719008272</v>
      </c>
      <c r="BK94" s="68">
        <f>'O.G.Chem Results'!BK94/'O.G.Chem Results'!BK$142</f>
        <v>11.076923076923077</v>
      </c>
      <c r="BL94" s="68">
        <f>'O.G.Chem Results'!BL94/'O.G.Chem Results'!BL$142</f>
        <v>12.345679012345677</v>
      </c>
      <c r="BM94" s="75">
        <v>3.4</v>
      </c>
      <c r="BN94" s="75">
        <v>0.2</v>
      </c>
      <c r="BO94" s="75">
        <v>0</v>
      </c>
      <c r="BP94" s="75">
        <v>0</v>
      </c>
      <c r="BQ94" s="75">
        <v>10</v>
      </c>
      <c r="BR94" s="75">
        <v>3.1</v>
      </c>
      <c r="BS94" s="75">
        <v>1.9</v>
      </c>
      <c r="BT94" s="76">
        <f t="shared" si="32"/>
        <v>0.58514073053277504</v>
      </c>
      <c r="BU94" s="281">
        <f t="shared" si="33"/>
        <v>290.01196558414637</v>
      </c>
      <c r="BV94" s="77">
        <f t="shared" si="34"/>
        <v>350</v>
      </c>
      <c r="BW94" s="78">
        <f t="shared" si="30"/>
        <v>96.877673224978608</v>
      </c>
      <c r="BX94" s="69">
        <f t="shared" si="36"/>
        <v>1.8998510138908278</v>
      </c>
      <c r="BY94" s="76">
        <v>11.49</v>
      </c>
      <c r="BZ94" s="76">
        <v>1.44</v>
      </c>
      <c r="CA94" s="76">
        <v>31.15</v>
      </c>
      <c r="CB94" s="76">
        <v>0</v>
      </c>
      <c r="CC94" s="76">
        <v>0</v>
      </c>
      <c r="CD94" s="76">
        <v>0</v>
      </c>
      <c r="CE94" s="76">
        <v>0</v>
      </c>
      <c r="CF94" s="76">
        <v>0</v>
      </c>
      <c r="CG94" s="76">
        <v>0</v>
      </c>
      <c r="CH94" s="76">
        <v>6.24</v>
      </c>
      <c r="CI94" s="76">
        <v>6.75</v>
      </c>
      <c r="CJ94" s="76">
        <v>0</v>
      </c>
      <c r="CK94" s="76">
        <v>17.93</v>
      </c>
      <c r="CL94" s="76">
        <v>18.39</v>
      </c>
      <c r="CM94" s="76">
        <v>0</v>
      </c>
      <c r="CN94" s="76">
        <v>0</v>
      </c>
      <c r="CO94" s="76">
        <v>2.39</v>
      </c>
      <c r="CP94" s="76">
        <v>4.22</v>
      </c>
      <c r="CQ94" s="76">
        <v>0</v>
      </c>
      <c r="CR94" s="76">
        <v>0</v>
      </c>
      <c r="CS94" s="76">
        <v>0</v>
      </c>
      <c r="CT94" s="76">
        <v>0</v>
      </c>
      <c r="CU94" s="76">
        <v>0</v>
      </c>
      <c r="CV94" s="76">
        <v>0</v>
      </c>
      <c r="CW94" s="76">
        <v>0</v>
      </c>
      <c r="CX94" s="76">
        <v>0</v>
      </c>
      <c r="CY94" s="281">
        <v>100</v>
      </c>
      <c r="CZ94" s="285">
        <v>0.35775812564603188</v>
      </c>
      <c r="DA94" s="285">
        <v>0</v>
      </c>
      <c r="DB94" s="285">
        <v>0</v>
      </c>
      <c r="DC94" s="285">
        <v>0</v>
      </c>
      <c r="DD94" s="285">
        <v>0</v>
      </c>
      <c r="DE94" s="285">
        <v>0</v>
      </c>
      <c r="DF94" s="285">
        <v>0</v>
      </c>
      <c r="DG94" s="285">
        <v>7.1666475249799008E-2</v>
      </c>
      <c r="DH94" s="285">
        <v>7.7523831400022961E-2</v>
      </c>
      <c r="DI94" s="285">
        <v>0</v>
      </c>
      <c r="DJ94" s="285">
        <v>0.20592626622257951</v>
      </c>
      <c r="DK94" s="285">
        <v>0.21120937176984034</v>
      </c>
      <c r="DL94" s="285">
        <v>0</v>
      </c>
      <c r="DM94" s="285">
        <v>0</v>
      </c>
      <c r="DN94" s="285">
        <v>2.7449178821637762E-2</v>
      </c>
      <c r="DO94" s="285">
        <v>4.8466750890088429E-2</v>
      </c>
      <c r="DP94" s="285">
        <v>0</v>
      </c>
      <c r="DQ94" s="285">
        <v>0</v>
      </c>
      <c r="DR94" s="285">
        <v>0</v>
      </c>
      <c r="DS94" s="285">
        <v>0</v>
      </c>
      <c r="DT94" s="285">
        <v>0</v>
      </c>
      <c r="DU94" s="285">
        <v>0</v>
      </c>
      <c r="DV94" s="285">
        <v>0</v>
      </c>
      <c r="DW94" s="285">
        <v>0</v>
      </c>
      <c r="DX94" s="76">
        <v>0.99999999999999989</v>
      </c>
      <c r="DY94" s="78">
        <v>58.780182935627778</v>
      </c>
      <c r="DZ94" s="78">
        <v>23.646031452733759</v>
      </c>
      <c r="EA94" s="78">
        <v>6.3079901508124205</v>
      </c>
      <c r="EB94" s="78">
        <v>0.64463944907175774</v>
      </c>
      <c r="EC94" s="78">
        <v>0</v>
      </c>
      <c r="ED94" s="78">
        <v>0.27260522230545042</v>
      </c>
      <c r="EE94" s="78">
        <v>3.7817192630087764E-3</v>
      </c>
      <c r="EF94" s="78">
        <v>0</v>
      </c>
      <c r="EG94" s="78">
        <v>0.71206115886519561</v>
      </c>
      <c r="EH94" s="78">
        <v>5.9270178327658164E-2</v>
      </c>
      <c r="EI94" s="78">
        <v>0</v>
      </c>
      <c r="EJ94" s="78">
        <v>9.5734377329929501</v>
      </c>
      <c r="EK94" s="78">
        <v>0</v>
      </c>
      <c r="EL94" s="78">
        <v>99.999999999999972</v>
      </c>
      <c r="EM94" s="76">
        <v>97.061626423294683</v>
      </c>
      <c r="EN94" s="76" t="s">
        <v>123</v>
      </c>
      <c r="EO94" s="289">
        <v>7.0106471503006362E-2</v>
      </c>
      <c r="EP94" s="257">
        <f t="shared" si="37"/>
        <v>7.0106471503006365</v>
      </c>
      <c r="EQ94" s="257">
        <f t="shared" si="38"/>
        <v>88.179542203147349</v>
      </c>
      <c r="ER94" s="324">
        <f t="shared" si="39"/>
        <v>0.86378832284699292</v>
      </c>
      <c r="ES94" s="257">
        <f t="shared" si="40"/>
        <v>1.6236852893777032</v>
      </c>
      <c r="ET94">
        <f t="shared" si="35"/>
        <v>350</v>
      </c>
      <c r="EU94" s="324">
        <f t="shared" si="41"/>
        <v>0.53199245475584134</v>
      </c>
      <c r="EV94" s="39">
        <f t="shared" si="42"/>
        <v>159.19999999999999</v>
      </c>
      <c r="EW94"/>
      <c r="EX94">
        <f t="shared" si="43"/>
        <v>0.64153846153846161</v>
      </c>
      <c r="EY94"/>
      <c r="EZ94"/>
      <c r="FA94"/>
      <c r="FB94"/>
      <c r="FC94"/>
      <c r="FD94"/>
    </row>
    <row r="95" spans="1:160" s="77" customFormat="1" ht="13" customHeight="1" x14ac:dyDescent="0.2">
      <c r="A95" s="72" t="s">
        <v>124</v>
      </c>
      <c r="B95" s="73" t="s">
        <v>462</v>
      </c>
      <c r="C95" s="276">
        <f t="shared" si="45"/>
        <v>158.19999999999999</v>
      </c>
      <c r="D95" s="74">
        <v>400</v>
      </c>
      <c r="E95" s="74">
        <v>500</v>
      </c>
      <c r="F95" s="75">
        <f t="shared" si="31"/>
        <v>450</v>
      </c>
      <c r="G95" s="73" t="s">
        <v>517</v>
      </c>
      <c r="H95" s="84">
        <v>5</v>
      </c>
      <c r="I95" s="85">
        <v>5</v>
      </c>
      <c r="J95" s="85">
        <v>6</v>
      </c>
      <c r="K95" s="89">
        <f t="shared" si="46"/>
        <v>4.166666666666667</v>
      </c>
      <c r="L95" s="75">
        <v>164</v>
      </c>
      <c r="M95" s="75">
        <v>109</v>
      </c>
      <c r="N95" s="75">
        <v>70</v>
      </c>
      <c r="O95" s="75">
        <v>57.19</v>
      </c>
      <c r="P95" s="75">
        <v>20.93</v>
      </c>
      <c r="Q95" s="75">
        <v>8.94</v>
      </c>
      <c r="R95" s="75">
        <v>0.16800000000000001</v>
      </c>
      <c r="S95" s="75">
        <v>0.62</v>
      </c>
      <c r="T95" s="75">
        <v>0</v>
      </c>
      <c r="U95" s="75">
        <v>0.06</v>
      </c>
      <c r="V95" s="75">
        <v>0.76</v>
      </c>
      <c r="W95" s="75">
        <v>0.67900000000000005</v>
      </c>
      <c r="X95" s="75">
        <v>0.06</v>
      </c>
      <c r="Y95" s="75">
        <v>9.8699999999999992</v>
      </c>
      <c r="Z95" s="75">
        <v>99.3</v>
      </c>
      <c r="AA95" s="75">
        <v>29</v>
      </c>
      <c r="AB95" s="75">
        <v>2</v>
      </c>
      <c r="AC95" s="75">
        <v>118</v>
      </c>
      <c r="AD95" s="75">
        <v>0</v>
      </c>
      <c r="AE95" s="75">
        <v>35</v>
      </c>
      <c r="AF95" s="75">
        <v>0</v>
      </c>
      <c r="AG95" s="75">
        <v>50</v>
      </c>
      <c r="AH95" s="75">
        <v>60</v>
      </c>
      <c r="AI95" s="75">
        <v>20</v>
      </c>
      <c r="AJ95" s="75">
        <v>1</v>
      </c>
      <c r="AK95" s="75">
        <v>0</v>
      </c>
      <c r="AL95" s="75">
        <v>35</v>
      </c>
      <c r="AM95" s="75">
        <v>4</v>
      </c>
      <c r="AN95" s="68">
        <f>'O.G.Chem Results'!AN95/'O.G.Chem Results'!$AN$142</f>
        <v>7.0512820512820511</v>
      </c>
      <c r="AO95" s="75">
        <v>128</v>
      </c>
      <c r="AP95" s="75">
        <v>3</v>
      </c>
      <c r="AQ95" s="75" t="s">
        <v>72</v>
      </c>
      <c r="AR95" s="75">
        <v>0.9</v>
      </c>
      <c r="AS95" s="75" t="s">
        <v>73</v>
      </c>
      <c r="AT95" s="75">
        <v>0</v>
      </c>
      <c r="AU95" s="75" t="s">
        <v>74</v>
      </c>
      <c r="AV95" s="75">
        <v>2.2999999999999998</v>
      </c>
      <c r="AW95" s="75">
        <v>161</v>
      </c>
      <c r="AX95" s="75" t="s">
        <v>75</v>
      </c>
      <c r="AY95" s="68">
        <f>'O.G.Chem Results'!AY95/'O.G.Chem Results'!AY$142</f>
        <v>44.255319148936174</v>
      </c>
      <c r="AZ95" s="68">
        <f>'O.G.Chem Results'!AZ95/'O.G.Chem Results'!AZ$142</f>
        <v>52.055702917771875</v>
      </c>
      <c r="BA95" s="68">
        <f>'O.G.Chem Results'!BA95/'O.G.Chem Results'!BA$142</f>
        <v>33.557800224466895</v>
      </c>
      <c r="BB95" s="68">
        <f>'O.G.Chem Results'!BB95/'O.G.Chem Results'!BB$142</f>
        <v>26.967285587975244</v>
      </c>
      <c r="BC95" s="68">
        <f>'O.G.Chem Results'!BC95/'O.G.Chem Results'!BC$142</f>
        <v>18.354860639021076</v>
      </c>
      <c r="BD95" s="68">
        <f>'O.G.Chem Results'!BD95/'O.G.Chem Results'!BD$142</f>
        <v>14.285714285714286</v>
      </c>
      <c r="BE95" s="68">
        <f>'O.G.Chem Results'!BE95/'O.G.Chem Results'!BE$142</f>
        <v>14.772727272727273</v>
      </c>
      <c r="BF95" s="68">
        <f>'O.G.Chem Results'!BF95/'O.G.Chem Results'!BF$142</f>
        <v>11.019283746556475</v>
      </c>
      <c r="BG95" s="68">
        <f>'O.G.Chem Results'!BG95/'O.G.Chem Results'!BG$142</f>
        <v>10.712814173877215</v>
      </c>
      <c r="BH95" s="68">
        <f>'O.G.Chem Results'!BH95/'O.G.Chem Results'!BH$142</f>
        <v>10.791366906474819</v>
      </c>
      <c r="BI95" s="68">
        <f>'O.G.Chem Results'!BI95/'O.G.Chem Results'!BI$142</f>
        <v>10.698552548772811</v>
      </c>
      <c r="BJ95" s="68">
        <f>'O.G.Chem Results'!BJ95/'O.G.Chem Results'!BJ$142</f>
        <v>10.743801652892563</v>
      </c>
      <c r="BK95" s="68">
        <f>'O.G.Chem Results'!BK95/'O.G.Chem Results'!BK$142</f>
        <v>11.076923076923077</v>
      </c>
      <c r="BL95" s="68">
        <f>'O.G.Chem Results'!BL95/'O.G.Chem Results'!BL$142</f>
        <v>11.934156378600822</v>
      </c>
      <c r="BM95" s="75">
        <v>3</v>
      </c>
      <c r="BN95" s="75">
        <v>0.2</v>
      </c>
      <c r="BO95" s="75">
        <v>2</v>
      </c>
      <c r="BP95" s="75">
        <v>0</v>
      </c>
      <c r="BQ95" s="75">
        <v>9</v>
      </c>
      <c r="BR95" s="75">
        <v>2.6</v>
      </c>
      <c r="BS95" s="75">
        <v>1.2</v>
      </c>
      <c r="BT95" s="76">
        <f t="shared" si="32"/>
        <v>0.54049579996894281</v>
      </c>
      <c r="BU95" s="281">
        <f t="shared" si="33"/>
        <v>281.22630856071066</v>
      </c>
      <c r="BV95" s="77">
        <f t="shared" si="34"/>
        <v>450</v>
      </c>
      <c r="BW95" s="78">
        <f t="shared" si="30"/>
        <v>96.229885057471265</v>
      </c>
      <c r="BX95" s="69">
        <f t="shared" si="36"/>
        <v>1.5512251270814292</v>
      </c>
      <c r="BY95" s="76">
        <v>13.41</v>
      </c>
      <c r="BZ95" s="76">
        <v>0</v>
      </c>
      <c r="CA95" s="76">
        <v>30.72</v>
      </c>
      <c r="CB95" s="76">
        <v>0</v>
      </c>
      <c r="CC95" s="76">
        <v>0</v>
      </c>
      <c r="CD95" s="76">
        <v>0</v>
      </c>
      <c r="CE95" s="76">
        <v>0</v>
      </c>
      <c r="CF95" s="76">
        <v>0</v>
      </c>
      <c r="CG95" s="76">
        <v>0</v>
      </c>
      <c r="CH95" s="76">
        <v>5.48</v>
      </c>
      <c r="CI95" s="76">
        <v>5.97</v>
      </c>
      <c r="CJ95" s="76">
        <v>0</v>
      </c>
      <c r="CK95" s="76">
        <v>17.46</v>
      </c>
      <c r="CL95" s="76">
        <v>17.809999999999999</v>
      </c>
      <c r="CM95" s="76">
        <v>0</v>
      </c>
      <c r="CN95" s="76">
        <v>0</v>
      </c>
      <c r="CO95" s="76">
        <v>7.86</v>
      </c>
      <c r="CP95" s="76">
        <v>1.27</v>
      </c>
      <c r="CQ95" s="76">
        <v>0</v>
      </c>
      <c r="CR95" s="76">
        <v>0</v>
      </c>
      <c r="CS95" s="76">
        <v>0</v>
      </c>
      <c r="CT95" s="76">
        <v>0</v>
      </c>
      <c r="CU95" s="76">
        <v>0</v>
      </c>
      <c r="CV95" s="76">
        <v>0</v>
      </c>
      <c r="CW95" s="76">
        <v>0</v>
      </c>
      <c r="CX95" s="76">
        <v>0</v>
      </c>
      <c r="CY95" s="281">
        <v>99.97999999999999</v>
      </c>
      <c r="CZ95" s="285">
        <v>0.35485734088021254</v>
      </c>
      <c r="DA95" s="285">
        <v>0</v>
      </c>
      <c r="DB95" s="285">
        <v>0</v>
      </c>
      <c r="DC95" s="285">
        <v>0</v>
      </c>
      <c r="DD95" s="285">
        <v>0</v>
      </c>
      <c r="DE95" s="285">
        <v>0</v>
      </c>
      <c r="DF95" s="285">
        <v>0</v>
      </c>
      <c r="DG95" s="285">
        <v>6.3301374610142097E-2</v>
      </c>
      <c r="DH95" s="285">
        <v>6.8961534018713189E-2</v>
      </c>
      <c r="DI95" s="285">
        <v>0</v>
      </c>
      <c r="DJ95" s="285">
        <v>0.20168649647683959</v>
      </c>
      <c r="DK95" s="285">
        <v>0.20572946748296175</v>
      </c>
      <c r="DL95" s="285">
        <v>0</v>
      </c>
      <c r="DM95" s="285">
        <v>0</v>
      </c>
      <c r="DN95" s="285">
        <v>9.0793577451773147E-2</v>
      </c>
      <c r="DO95" s="285">
        <v>1.4670209079357746E-2</v>
      </c>
      <c r="DP95" s="285">
        <v>0</v>
      </c>
      <c r="DQ95" s="285">
        <v>0</v>
      </c>
      <c r="DR95" s="285">
        <v>0</v>
      </c>
      <c r="DS95" s="285">
        <v>0</v>
      </c>
      <c r="DT95" s="285">
        <v>0</v>
      </c>
      <c r="DU95" s="285">
        <v>0</v>
      </c>
      <c r="DV95" s="285">
        <v>0</v>
      </c>
      <c r="DW95" s="285">
        <v>0</v>
      </c>
      <c r="DX95" s="76">
        <v>1</v>
      </c>
      <c r="DY95" s="78">
        <v>58.903918670097532</v>
      </c>
      <c r="DZ95" s="78">
        <v>23.418573922988514</v>
      </c>
      <c r="EA95" s="78">
        <v>5.6021586258694898</v>
      </c>
      <c r="EB95" s="78">
        <v>1.4786164079063957</v>
      </c>
      <c r="EC95" s="78">
        <v>0</v>
      </c>
      <c r="ED95" s="78">
        <v>0.5398503979233501</v>
      </c>
      <c r="EE95" s="78">
        <v>1.2508782978097247E-2</v>
      </c>
      <c r="EF95" s="78">
        <v>0</v>
      </c>
      <c r="EG95" s="78">
        <v>0.66403819190158153</v>
      </c>
      <c r="EH95" s="78">
        <v>0.19604781481953118</v>
      </c>
      <c r="EI95" s="78">
        <v>0</v>
      </c>
      <c r="EJ95" s="78">
        <v>9.1842871855155099</v>
      </c>
      <c r="EK95" s="78">
        <v>0</v>
      </c>
      <c r="EL95" s="78">
        <v>100</v>
      </c>
      <c r="EM95" s="76">
        <v>97.19218269230791</v>
      </c>
      <c r="EN95" s="76" t="s">
        <v>124</v>
      </c>
      <c r="EO95" s="289">
        <v>7.2138505104874615E-2</v>
      </c>
      <c r="EP95" s="257">
        <f t="shared" si="37"/>
        <v>7.2138505104874611</v>
      </c>
      <c r="EQ95" s="257">
        <f t="shared" si="38"/>
        <v>83.652641002685769</v>
      </c>
      <c r="ER95" s="324">
        <f t="shared" si="39"/>
        <v>0.86246631199176493</v>
      </c>
      <c r="ES95" s="257">
        <f t="shared" si="40"/>
        <v>1.3523546622442761</v>
      </c>
      <c r="ET95">
        <f t="shared" si="35"/>
        <v>450</v>
      </c>
      <c r="EU95" s="324">
        <f t="shared" si="41"/>
        <v>0.63775157218038814</v>
      </c>
      <c r="EV95" s="39">
        <f t="shared" si="42"/>
        <v>158.19999999999999</v>
      </c>
      <c r="EW95"/>
      <c r="EX95">
        <f t="shared" si="43"/>
        <v>0.65341880341880354</v>
      </c>
      <c r="EY95"/>
      <c r="EZ95"/>
      <c r="FA95"/>
      <c r="FB95"/>
      <c r="FC95"/>
      <c r="FD95"/>
    </row>
    <row r="96" spans="1:160" s="77" customFormat="1" ht="13" customHeight="1" x14ac:dyDescent="0.2">
      <c r="A96" s="72" t="s">
        <v>125</v>
      </c>
      <c r="B96" s="73" t="s">
        <v>462</v>
      </c>
      <c r="C96" s="276">
        <f t="shared" si="45"/>
        <v>157.19999999999999</v>
      </c>
      <c r="D96" s="74">
        <v>500</v>
      </c>
      <c r="E96" s="74">
        <v>600</v>
      </c>
      <c r="F96" s="75">
        <f t="shared" si="31"/>
        <v>550</v>
      </c>
      <c r="G96" s="73" t="s">
        <v>524</v>
      </c>
      <c r="H96" s="84">
        <v>7.5</v>
      </c>
      <c r="I96" s="85">
        <v>5</v>
      </c>
      <c r="J96" s="85">
        <v>4</v>
      </c>
      <c r="K96" s="89">
        <f t="shared" si="46"/>
        <v>9.375</v>
      </c>
      <c r="L96" s="75">
        <v>150</v>
      </c>
      <c r="M96" s="75">
        <v>115</v>
      </c>
      <c r="N96" s="75">
        <v>84</v>
      </c>
      <c r="O96" s="75">
        <v>57.81</v>
      </c>
      <c r="P96" s="75">
        <v>20.46</v>
      </c>
      <c r="Q96" s="75">
        <v>9.19</v>
      </c>
      <c r="R96" s="75">
        <v>0.17100000000000001</v>
      </c>
      <c r="S96" s="75">
        <v>1.1299999999999999</v>
      </c>
      <c r="T96" s="75">
        <v>0.02</v>
      </c>
      <c r="U96" s="75">
        <v>0.08</v>
      </c>
      <c r="V96" s="75">
        <v>0.97</v>
      </c>
      <c r="W96" s="75">
        <v>0.70699999999999996</v>
      </c>
      <c r="X96" s="75">
        <v>0.05</v>
      </c>
      <c r="Y96" s="75">
        <v>9.5500000000000007</v>
      </c>
      <c r="Z96" s="75">
        <v>100.1</v>
      </c>
      <c r="AA96" s="75">
        <v>28</v>
      </c>
      <c r="AB96" s="75">
        <v>2</v>
      </c>
      <c r="AC96" s="75">
        <v>118</v>
      </c>
      <c r="AD96" s="75">
        <v>0</v>
      </c>
      <c r="AE96" s="75">
        <v>39</v>
      </c>
      <c r="AF96" s="75">
        <v>0</v>
      </c>
      <c r="AG96" s="75">
        <v>60</v>
      </c>
      <c r="AH96" s="75">
        <v>80</v>
      </c>
      <c r="AI96" s="75">
        <v>20</v>
      </c>
      <c r="AJ96" s="75">
        <v>1</v>
      </c>
      <c r="AK96" s="75">
        <v>0</v>
      </c>
      <c r="AL96" s="75">
        <v>58</v>
      </c>
      <c r="AM96" s="75">
        <v>3</v>
      </c>
      <c r="AN96" s="68">
        <f>'O.G.Chem Results'!AN96/'O.G.Chem Results'!$AN$142</f>
        <v>7.0512820512820511</v>
      </c>
      <c r="AO96" s="75">
        <v>145</v>
      </c>
      <c r="AP96" s="75">
        <v>4</v>
      </c>
      <c r="AQ96" s="75" t="s">
        <v>72</v>
      </c>
      <c r="AR96" s="75">
        <v>1</v>
      </c>
      <c r="AS96" s="75" t="s">
        <v>73</v>
      </c>
      <c r="AT96" s="75">
        <v>0</v>
      </c>
      <c r="AU96" s="75" t="s">
        <v>74</v>
      </c>
      <c r="AV96" s="75">
        <v>3.9</v>
      </c>
      <c r="AW96" s="75">
        <v>262</v>
      </c>
      <c r="AX96" s="75" t="s">
        <v>75</v>
      </c>
      <c r="AY96" s="68">
        <f>'O.G.Chem Results'!AY96/'O.G.Chem Results'!AY$142</f>
        <v>38.297872340425535</v>
      </c>
      <c r="AZ96" s="68">
        <f>'O.G.Chem Results'!AZ96/'O.G.Chem Results'!AZ$142</f>
        <v>43.269230769230766</v>
      </c>
      <c r="BA96" s="68">
        <f>'O.G.Chem Results'!BA96/'O.G.Chem Results'!BA$142</f>
        <v>29.741863075196409</v>
      </c>
      <c r="BB96" s="68">
        <f>'O.G.Chem Results'!BB96/'O.G.Chem Results'!BB$142</f>
        <v>24.53580901856764</v>
      </c>
      <c r="BC96" s="68">
        <f>'O.G.Chem Results'!BC96/'O.G.Chem Results'!BC$142</f>
        <v>16.995241332426922</v>
      </c>
      <c r="BD96" s="68">
        <f>'O.G.Chem Results'!BD96/'O.G.Chem Results'!BD$142</f>
        <v>13.214285714285714</v>
      </c>
      <c r="BE96" s="68">
        <f>'O.G.Chem Results'!BE96/'O.G.Chem Results'!BE$142</f>
        <v>13.636363636363637</v>
      </c>
      <c r="BF96" s="68">
        <f>'O.G.Chem Results'!BF96/'O.G.Chem Results'!BF$142</f>
        <v>11.019283746556475</v>
      </c>
      <c r="BG96" s="68">
        <f>'O.G.Chem Results'!BG96/'O.G.Chem Results'!BG$142</f>
        <v>9.476720230737536</v>
      </c>
      <c r="BH96" s="68">
        <f>'O.G.Chem Results'!BH96/'O.G.Chem Results'!BH$142</f>
        <v>8.9928057553956826</v>
      </c>
      <c r="BI96" s="68">
        <f>'O.G.Chem Results'!BI96/'O.G.Chem Results'!BI$142</f>
        <v>9.4398993077407169</v>
      </c>
      <c r="BJ96" s="68">
        <f>'O.G.Chem Results'!BJ96/'O.G.Chem Results'!BJ$142</f>
        <v>9.5041322314049594</v>
      </c>
      <c r="BK96" s="68">
        <f>'O.G.Chem Results'!BK96/'O.G.Chem Results'!BK$142</f>
        <v>9.8461538461538467</v>
      </c>
      <c r="BL96" s="68">
        <f>'O.G.Chem Results'!BL96/'O.G.Chem Results'!BL$142</f>
        <v>11.522633744855968</v>
      </c>
      <c r="BM96" s="75">
        <v>3.4</v>
      </c>
      <c r="BN96" s="75">
        <v>0.2</v>
      </c>
      <c r="BO96" s="75">
        <v>0</v>
      </c>
      <c r="BP96" s="75">
        <v>0</v>
      </c>
      <c r="BQ96" s="75">
        <v>9</v>
      </c>
      <c r="BR96" s="75">
        <v>2.8</v>
      </c>
      <c r="BS96" s="75">
        <v>1</v>
      </c>
      <c r="BT96" s="76">
        <f t="shared" si="32"/>
        <v>0.53047404063205417</v>
      </c>
      <c r="BU96" s="281">
        <f t="shared" si="33"/>
        <v>249.4922947493418</v>
      </c>
      <c r="BV96" s="77">
        <f t="shared" si="34"/>
        <v>550</v>
      </c>
      <c r="BW96" s="78">
        <f t="shared" si="30"/>
        <v>95.030190431955418</v>
      </c>
      <c r="BX96" s="69">
        <f t="shared" si="36"/>
        <v>1.4548258345428156</v>
      </c>
      <c r="BY96" s="76">
        <v>10.52</v>
      </c>
      <c r="BZ96" s="76">
        <v>0</v>
      </c>
      <c r="CA96" s="76">
        <v>31.06</v>
      </c>
      <c r="CB96" s="76">
        <v>0</v>
      </c>
      <c r="CC96" s="76">
        <v>0</v>
      </c>
      <c r="CD96" s="76">
        <v>0</v>
      </c>
      <c r="CE96" s="76">
        <v>0</v>
      </c>
      <c r="CF96" s="76">
        <v>0</v>
      </c>
      <c r="CG96" s="76">
        <v>0</v>
      </c>
      <c r="CH96" s="76">
        <v>5.96</v>
      </c>
      <c r="CI96" s="76">
        <v>6.69</v>
      </c>
      <c r="CJ96" s="76">
        <v>0</v>
      </c>
      <c r="CK96" s="76">
        <v>16.68</v>
      </c>
      <c r="CL96" s="76">
        <v>16.809999999999999</v>
      </c>
      <c r="CM96" s="76">
        <v>0</v>
      </c>
      <c r="CN96" s="76">
        <v>0</v>
      </c>
      <c r="CO96" s="76">
        <v>12.03</v>
      </c>
      <c r="CP96" s="76">
        <v>0.36</v>
      </c>
      <c r="CQ96" s="76">
        <v>0</v>
      </c>
      <c r="CR96" s="76">
        <v>0</v>
      </c>
      <c r="CS96" s="76">
        <v>0</v>
      </c>
      <c r="CT96" s="76">
        <v>0</v>
      </c>
      <c r="CU96" s="76">
        <v>0</v>
      </c>
      <c r="CV96" s="76">
        <v>0</v>
      </c>
      <c r="CW96" s="76">
        <v>0</v>
      </c>
      <c r="CX96" s="76">
        <v>0</v>
      </c>
      <c r="CY96" s="281">
        <v>100.11</v>
      </c>
      <c r="CZ96" s="285">
        <v>0.34669047884808574</v>
      </c>
      <c r="DA96" s="285">
        <v>0</v>
      </c>
      <c r="DB96" s="285">
        <v>0</v>
      </c>
      <c r="DC96" s="285">
        <v>0</v>
      </c>
      <c r="DD96" s="285">
        <v>0</v>
      </c>
      <c r="DE96" s="285">
        <v>0</v>
      </c>
      <c r="DF96" s="285">
        <v>0</v>
      </c>
      <c r="DG96" s="285">
        <v>6.6525281839491024E-2</v>
      </c>
      <c r="DH96" s="285">
        <v>7.467351266882466E-2</v>
      </c>
      <c r="DI96" s="285">
        <v>0</v>
      </c>
      <c r="DJ96" s="285">
        <v>0.1861814934702534</v>
      </c>
      <c r="DK96" s="285">
        <v>0.18763254827547718</v>
      </c>
      <c r="DL96" s="285">
        <v>0</v>
      </c>
      <c r="DM96" s="285">
        <v>0</v>
      </c>
      <c r="DN96" s="285">
        <v>0.13427837928340217</v>
      </c>
      <c r="DO96" s="285">
        <v>4.0183056144659007E-3</v>
      </c>
      <c r="DP96" s="285">
        <v>0</v>
      </c>
      <c r="DQ96" s="285">
        <v>0</v>
      </c>
      <c r="DR96" s="285">
        <v>0</v>
      </c>
      <c r="DS96" s="285">
        <v>0</v>
      </c>
      <c r="DT96" s="285">
        <v>0</v>
      </c>
      <c r="DU96" s="285">
        <v>0</v>
      </c>
      <c r="DV96" s="285">
        <v>0</v>
      </c>
      <c r="DW96" s="285">
        <v>0</v>
      </c>
      <c r="DX96" s="76">
        <v>1</v>
      </c>
      <c r="DY96" s="78">
        <v>57.771761898911244</v>
      </c>
      <c r="DZ96" s="78">
        <v>23.339959885587628</v>
      </c>
      <c r="EA96" s="78">
        <v>5.8478202158786798</v>
      </c>
      <c r="EB96" s="78">
        <v>2.1074466609647384</v>
      </c>
      <c r="EC96" s="78">
        <v>0</v>
      </c>
      <c r="ED96" s="78">
        <v>0.75448655107479023</v>
      </c>
      <c r="EE96" s="78">
        <v>1.8499756835761782E-2</v>
      </c>
      <c r="EF96" s="78">
        <v>0</v>
      </c>
      <c r="EG96" s="78">
        <v>0.77679133563947089</v>
      </c>
      <c r="EH96" s="78">
        <v>0.28994322698653713</v>
      </c>
      <c r="EI96" s="78">
        <v>0</v>
      </c>
      <c r="EJ96" s="78">
        <v>9.0932904681211593</v>
      </c>
      <c r="EK96" s="78">
        <v>0</v>
      </c>
      <c r="EL96" s="78">
        <v>100.00000000000003</v>
      </c>
      <c r="EM96" s="76">
        <v>96.704856754139016</v>
      </c>
      <c r="EN96" s="76" t="s">
        <v>125</v>
      </c>
      <c r="EO96" s="289">
        <v>8.1449370763302442E-2</v>
      </c>
      <c r="EP96" s="257">
        <f t="shared" si="37"/>
        <v>8.144937076330244</v>
      </c>
      <c r="EQ96" s="257">
        <f t="shared" si="38"/>
        <v>78.831368528959516</v>
      </c>
      <c r="ER96" s="324">
        <f t="shared" si="39"/>
        <v>0.86278768139960504</v>
      </c>
      <c r="ES96" s="257">
        <f t="shared" si="40"/>
        <v>1.2835528335053989</v>
      </c>
      <c r="ET96">
        <f t="shared" si="35"/>
        <v>550</v>
      </c>
      <c r="EU96" s="324">
        <f t="shared" si="41"/>
        <v>0.67218711912568574</v>
      </c>
      <c r="EV96" s="39">
        <f t="shared" si="42"/>
        <v>157.19999999999999</v>
      </c>
      <c r="EW96"/>
      <c r="EX96">
        <f t="shared" si="43"/>
        <v>0.78410256410256418</v>
      </c>
      <c r="EY96"/>
      <c r="EZ96"/>
      <c r="FA96"/>
      <c r="FB96"/>
      <c r="FC96"/>
      <c r="FD96"/>
    </row>
    <row r="97" spans="1:160" s="77" customFormat="1" ht="13" customHeight="1" x14ac:dyDescent="0.2">
      <c r="A97" s="72" t="s">
        <v>126</v>
      </c>
      <c r="B97" s="73" t="s">
        <v>462</v>
      </c>
      <c r="C97" s="276">
        <f t="shared" si="45"/>
        <v>156.19999999999999</v>
      </c>
      <c r="D97" s="74">
        <v>600</v>
      </c>
      <c r="E97" s="74">
        <v>700</v>
      </c>
      <c r="F97" s="75">
        <f t="shared" si="31"/>
        <v>650</v>
      </c>
      <c r="G97" s="73" t="s">
        <v>508</v>
      </c>
      <c r="H97" s="84">
        <v>7.5</v>
      </c>
      <c r="I97" s="85">
        <v>5</v>
      </c>
      <c r="J97" s="85">
        <v>6</v>
      </c>
      <c r="K97" s="89">
        <f t="shared" si="46"/>
        <v>6.25</v>
      </c>
      <c r="L97" s="75">
        <v>161</v>
      </c>
      <c r="M97" s="75">
        <v>111</v>
      </c>
      <c r="N97" s="75">
        <v>63</v>
      </c>
      <c r="O97" s="75">
        <v>56.82</v>
      </c>
      <c r="P97" s="75">
        <v>20.99</v>
      </c>
      <c r="Q97" s="75">
        <v>9.94</v>
      </c>
      <c r="R97" s="75">
        <v>0.18</v>
      </c>
      <c r="S97" s="75">
        <v>0.99</v>
      </c>
      <c r="T97" s="75">
        <v>0.01</v>
      </c>
      <c r="U97" s="75">
        <v>0.05</v>
      </c>
      <c r="V97" s="75">
        <v>0.84</v>
      </c>
      <c r="W97" s="75">
        <v>0.749</v>
      </c>
      <c r="X97" s="75">
        <v>0.06</v>
      </c>
      <c r="Y97" s="75">
        <v>10.119999999999999</v>
      </c>
      <c r="Z97" s="75">
        <v>100.8</v>
      </c>
      <c r="AA97" s="75">
        <v>32</v>
      </c>
      <c r="AB97" s="75">
        <v>3</v>
      </c>
      <c r="AC97" s="75">
        <v>139</v>
      </c>
      <c r="AD97" s="75">
        <v>30</v>
      </c>
      <c r="AE97" s="75">
        <v>31</v>
      </c>
      <c r="AF97" s="75">
        <v>0</v>
      </c>
      <c r="AG97" s="75">
        <v>70</v>
      </c>
      <c r="AH97" s="75">
        <v>80</v>
      </c>
      <c r="AI97" s="75">
        <v>20</v>
      </c>
      <c r="AJ97" s="75">
        <v>1</v>
      </c>
      <c r="AK97" s="75">
        <v>0</v>
      </c>
      <c r="AL97" s="75">
        <v>48</v>
      </c>
      <c r="AM97" s="75">
        <v>4</v>
      </c>
      <c r="AN97" s="68">
        <f>'O.G.Chem Results'!AN97/'O.G.Chem Results'!$AN$142</f>
        <v>7.6923076923076916</v>
      </c>
      <c r="AO97" s="75">
        <v>119</v>
      </c>
      <c r="AP97" s="75">
        <v>3</v>
      </c>
      <c r="AQ97" s="75" t="s">
        <v>72</v>
      </c>
      <c r="AR97" s="75">
        <v>0.8</v>
      </c>
      <c r="AS97" s="75" t="s">
        <v>73</v>
      </c>
      <c r="AT97" s="75">
        <v>1</v>
      </c>
      <c r="AU97" s="75" t="s">
        <v>74</v>
      </c>
      <c r="AV97" s="75">
        <v>2.4</v>
      </c>
      <c r="AW97" s="75">
        <v>244</v>
      </c>
      <c r="AX97" s="75" t="s">
        <v>75</v>
      </c>
      <c r="AY97" s="68">
        <f>'O.G.Chem Results'!AY97/'O.G.Chem Results'!AY$142</f>
        <v>40.425531914893618</v>
      </c>
      <c r="AZ97" s="68">
        <f>'O.G.Chem Results'!AZ97/'O.G.Chem Results'!AZ$142</f>
        <v>46.087533156498672</v>
      </c>
      <c r="BA97" s="68">
        <f>'O.G.Chem Results'!BA97/'O.G.Chem Results'!BA$142</f>
        <v>31.537598204264871</v>
      </c>
      <c r="BB97" s="68">
        <f>'O.G.Chem Results'!BB97/'O.G.Chem Results'!BB$142</f>
        <v>25.862068965517242</v>
      </c>
      <c r="BC97" s="68">
        <f>'O.G.Chem Results'!BC97/'O.G.Chem Results'!BC$142</f>
        <v>18.354860639021076</v>
      </c>
      <c r="BD97" s="68">
        <f>'O.G.Chem Results'!BD97/'O.G.Chem Results'!BD$142</f>
        <v>15.714285714285714</v>
      </c>
      <c r="BE97" s="68">
        <f>'O.G.Chem Results'!BE97/'O.G.Chem Results'!BE$142</f>
        <v>15.340909090909093</v>
      </c>
      <c r="BF97" s="68">
        <f>'O.G.Chem Results'!BF97/'O.G.Chem Results'!BF$142</f>
        <v>11.019283746556475</v>
      </c>
      <c r="BG97" s="68">
        <f>'O.G.Chem Results'!BG97/'O.G.Chem Results'!BG$142</f>
        <v>11.536876802637</v>
      </c>
      <c r="BH97" s="68">
        <f>'O.G.Chem Results'!BH97/'O.G.Chem Results'!BH$142</f>
        <v>10.791366906474819</v>
      </c>
      <c r="BI97" s="68">
        <f>'O.G.Chem Results'!BI97/'O.G.Chem Results'!BI$142</f>
        <v>10.698552548772811</v>
      </c>
      <c r="BJ97" s="68">
        <f>'O.G.Chem Results'!BJ97/'O.G.Chem Results'!BJ$142</f>
        <v>10.330578512396695</v>
      </c>
      <c r="BK97" s="68">
        <f>'O.G.Chem Results'!BK97/'O.G.Chem Results'!BK$142</f>
        <v>11.076923076923077</v>
      </c>
      <c r="BL97" s="68">
        <f>'O.G.Chem Results'!BL97/'O.G.Chem Results'!BL$142</f>
        <v>11.934156378600822</v>
      </c>
      <c r="BM97" s="75">
        <v>3</v>
      </c>
      <c r="BN97" s="75">
        <v>0.2</v>
      </c>
      <c r="BO97" s="75">
        <v>0</v>
      </c>
      <c r="BP97" s="75">
        <v>0</v>
      </c>
      <c r="BQ97" s="75">
        <v>10</v>
      </c>
      <c r="BR97" s="75">
        <v>3.1</v>
      </c>
      <c r="BS97" s="75">
        <v>1</v>
      </c>
      <c r="BT97" s="76">
        <f t="shared" si="32"/>
        <v>0.53272338829362165</v>
      </c>
      <c r="BU97" s="281">
        <f t="shared" si="33"/>
        <v>270.71052565775204</v>
      </c>
      <c r="BV97" s="77">
        <f t="shared" si="34"/>
        <v>650</v>
      </c>
      <c r="BW97" s="78">
        <f t="shared" si="30"/>
        <v>95.888533576975789</v>
      </c>
      <c r="BX97" s="69">
        <f t="shared" si="36"/>
        <v>1.4613520299800824</v>
      </c>
      <c r="BY97" s="76">
        <v>9.7799999999999994</v>
      </c>
      <c r="BZ97" s="76">
        <v>0</v>
      </c>
      <c r="CA97" s="76">
        <v>32.630000000000003</v>
      </c>
      <c r="CB97" s="76">
        <v>0</v>
      </c>
      <c r="CC97" s="76">
        <v>0</v>
      </c>
      <c r="CD97" s="76">
        <v>0</v>
      </c>
      <c r="CE97" s="76">
        <v>0</v>
      </c>
      <c r="CF97" s="76">
        <v>0</v>
      </c>
      <c r="CG97" s="76">
        <v>0</v>
      </c>
      <c r="CH97" s="76">
        <v>0</v>
      </c>
      <c r="CI97" s="76">
        <v>5.16</v>
      </c>
      <c r="CJ97" s="76">
        <v>0</v>
      </c>
      <c r="CK97" s="76">
        <v>16.63</v>
      </c>
      <c r="CL97" s="76">
        <v>16.84</v>
      </c>
      <c r="CM97" s="76">
        <v>0</v>
      </c>
      <c r="CN97" s="76">
        <v>0</v>
      </c>
      <c r="CO97" s="76">
        <v>17.39</v>
      </c>
      <c r="CP97" s="76">
        <v>1.53</v>
      </c>
      <c r="CQ97" s="76">
        <v>0</v>
      </c>
      <c r="CR97" s="76">
        <v>0</v>
      </c>
      <c r="CS97" s="76">
        <v>0</v>
      </c>
      <c r="CT97" s="76">
        <v>0</v>
      </c>
      <c r="CU97" s="76">
        <v>0</v>
      </c>
      <c r="CV97" s="76">
        <v>0</v>
      </c>
      <c r="CW97" s="76">
        <v>0</v>
      </c>
      <c r="CX97" s="76">
        <v>0</v>
      </c>
      <c r="CY97" s="281">
        <v>99.960000000000008</v>
      </c>
      <c r="CZ97" s="285">
        <v>0.36183189177201153</v>
      </c>
      <c r="DA97" s="285">
        <v>0</v>
      </c>
      <c r="DB97" s="285">
        <v>0</v>
      </c>
      <c r="DC97" s="285">
        <v>0</v>
      </c>
      <c r="DD97" s="285">
        <v>0</v>
      </c>
      <c r="DE97" s="285">
        <v>0</v>
      </c>
      <c r="DF97" s="285">
        <v>0</v>
      </c>
      <c r="DG97" s="285">
        <v>0</v>
      </c>
      <c r="DH97" s="285">
        <v>5.7218895542248835E-2</v>
      </c>
      <c r="DI97" s="285">
        <v>0</v>
      </c>
      <c r="DJ97" s="285">
        <v>0.18440895985806163</v>
      </c>
      <c r="DK97" s="285">
        <v>0.18673763583943223</v>
      </c>
      <c r="DL97" s="285">
        <v>0</v>
      </c>
      <c r="DM97" s="285">
        <v>0</v>
      </c>
      <c r="DN97" s="285">
        <v>0.19283654912397427</v>
      </c>
      <c r="DO97" s="285">
        <v>1.6966067864271458E-2</v>
      </c>
      <c r="DP97" s="285">
        <v>0</v>
      </c>
      <c r="DQ97" s="285">
        <v>0</v>
      </c>
      <c r="DR97" s="285">
        <v>0</v>
      </c>
      <c r="DS97" s="285">
        <v>0</v>
      </c>
      <c r="DT97" s="285">
        <v>0</v>
      </c>
      <c r="DU97" s="285">
        <v>0</v>
      </c>
      <c r="DV97" s="285">
        <v>0</v>
      </c>
      <c r="DW97" s="285">
        <v>0</v>
      </c>
      <c r="DX97" s="76">
        <v>1</v>
      </c>
      <c r="DY97" s="78">
        <v>62.252237699190637</v>
      </c>
      <c r="DZ97" s="78">
        <v>23.515641466890866</v>
      </c>
      <c r="EA97" s="78">
        <v>0.28368411910139424</v>
      </c>
      <c r="EB97" s="78">
        <v>3.0767399117229548</v>
      </c>
      <c r="EC97" s="78">
        <v>0</v>
      </c>
      <c r="ED97" s="78">
        <v>1.1113291563104315</v>
      </c>
      <c r="EE97" s="78">
        <v>2.6567413807636841E-2</v>
      </c>
      <c r="EF97" s="78">
        <v>0</v>
      </c>
      <c r="EG97" s="78">
        <v>1.245550156380252</v>
      </c>
      <c r="EH97" s="78">
        <v>0.41638610498826673</v>
      </c>
      <c r="EI97" s="78">
        <v>0</v>
      </c>
      <c r="EJ97" s="78">
        <v>8.0718639716075575</v>
      </c>
      <c r="EK97" s="78">
        <v>0</v>
      </c>
      <c r="EL97" s="78">
        <v>100</v>
      </c>
      <c r="EM97" s="76">
        <v>94.86796055954477</v>
      </c>
      <c r="EN97" s="76" t="s">
        <v>126</v>
      </c>
      <c r="EO97" s="289">
        <v>3.6373306228794151E-2</v>
      </c>
      <c r="EP97" s="257">
        <f t="shared" si="37"/>
        <v>3.6373306228794151</v>
      </c>
      <c r="EQ97" s="257">
        <f t="shared" si="38"/>
        <v>67.12423979148565</v>
      </c>
      <c r="ER97" s="324">
        <f t="shared" si="39"/>
        <v>0.93271563998892981</v>
      </c>
      <c r="ES97" s="257">
        <f t="shared" si="40"/>
        <v>1.2956474601369754</v>
      </c>
      <c r="ET97">
        <f t="shared" si="35"/>
        <v>650</v>
      </c>
      <c r="EU97" s="324">
        <f t="shared" si="41"/>
        <v>0.71988381769399168</v>
      </c>
      <c r="EV97" s="39">
        <f t="shared" si="42"/>
        <v>156.19999999999999</v>
      </c>
      <c r="EW97"/>
      <c r="EX97">
        <f t="shared" si="43"/>
        <v>0.71282051282051284</v>
      </c>
      <c r="EY97"/>
      <c r="EZ97"/>
      <c r="FA97"/>
      <c r="FB97"/>
      <c r="FC97"/>
      <c r="FD97"/>
    </row>
    <row r="98" spans="1:160" s="77" customFormat="1" ht="13" customHeight="1" x14ac:dyDescent="0.2">
      <c r="A98" s="72" t="s">
        <v>127</v>
      </c>
      <c r="B98" s="73" t="s">
        <v>462</v>
      </c>
      <c r="C98" s="276">
        <f t="shared" si="45"/>
        <v>155.19999999999999</v>
      </c>
      <c r="D98" s="74">
        <v>700</v>
      </c>
      <c r="E98" s="74">
        <v>800</v>
      </c>
      <c r="F98" s="75">
        <f t="shared" si="31"/>
        <v>750</v>
      </c>
      <c r="G98" s="73" t="s">
        <v>508</v>
      </c>
      <c r="H98" s="84">
        <v>7.5</v>
      </c>
      <c r="I98" s="85">
        <v>5</v>
      </c>
      <c r="J98" s="85">
        <v>6</v>
      </c>
      <c r="K98" s="89">
        <f t="shared" si="46"/>
        <v>6.25</v>
      </c>
      <c r="L98" s="75">
        <v>161</v>
      </c>
      <c r="M98" s="75">
        <v>111</v>
      </c>
      <c r="N98" s="75">
        <v>63</v>
      </c>
      <c r="O98" s="75">
        <v>57.67</v>
      </c>
      <c r="P98" s="75">
        <v>19.829999999999998</v>
      </c>
      <c r="Q98" s="75">
        <v>8.9600000000000009</v>
      </c>
      <c r="R98" s="75">
        <v>0.16800000000000001</v>
      </c>
      <c r="S98" s="75">
        <v>1.25</v>
      </c>
      <c r="T98" s="75">
        <v>0.03</v>
      </c>
      <c r="U98" s="75">
        <v>0.06</v>
      </c>
      <c r="V98" s="75">
        <v>1.01</v>
      </c>
      <c r="W98" s="75">
        <v>0.74</v>
      </c>
      <c r="X98" s="75">
        <v>0.05</v>
      </c>
      <c r="Y98" s="75">
        <v>9.59</v>
      </c>
      <c r="Z98" s="75">
        <v>99.36</v>
      </c>
      <c r="AA98" s="75">
        <v>26</v>
      </c>
      <c r="AB98" s="75">
        <v>3</v>
      </c>
      <c r="AC98" s="75">
        <v>120</v>
      </c>
      <c r="AD98" s="75">
        <v>20</v>
      </c>
      <c r="AE98" s="75">
        <v>27</v>
      </c>
      <c r="AF98" s="75">
        <v>0</v>
      </c>
      <c r="AG98" s="75">
        <v>50</v>
      </c>
      <c r="AH98" s="75">
        <v>90</v>
      </c>
      <c r="AI98" s="75">
        <v>20</v>
      </c>
      <c r="AJ98" s="75">
        <v>1</v>
      </c>
      <c r="AK98" s="75">
        <v>0</v>
      </c>
      <c r="AL98" s="75">
        <v>61</v>
      </c>
      <c r="AM98" s="75">
        <v>8</v>
      </c>
      <c r="AN98" s="68">
        <f>'O.G.Chem Results'!AN98/'O.G.Chem Results'!$AN$142</f>
        <v>8.9743589743589745</v>
      </c>
      <c r="AO98" s="75">
        <v>148</v>
      </c>
      <c r="AP98" s="75">
        <v>4</v>
      </c>
      <c r="AQ98" s="75" t="s">
        <v>72</v>
      </c>
      <c r="AR98" s="75">
        <v>0.7</v>
      </c>
      <c r="AS98" s="75" t="s">
        <v>73</v>
      </c>
      <c r="AT98" s="75">
        <v>1</v>
      </c>
      <c r="AU98" s="75" t="s">
        <v>74</v>
      </c>
      <c r="AV98" s="75">
        <v>2</v>
      </c>
      <c r="AW98" s="75">
        <v>285</v>
      </c>
      <c r="AX98" s="75" t="s">
        <v>75</v>
      </c>
      <c r="AY98" s="68">
        <f>'O.G.Chem Results'!AY98/'O.G.Chem Results'!AY$142</f>
        <v>44.255319148936174</v>
      </c>
      <c r="AZ98" s="68">
        <f>'O.G.Chem Results'!AZ98/'O.G.Chem Results'!AZ$142</f>
        <v>40.616710875331563</v>
      </c>
      <c r="BA98" s="68">
        <f>'O.G.Chem Results'!BA98/'O.G.Chem Results'!BA$142</f>
        <v>31.425364758698091</v>
      </c>
      <c r="BB98" s="68">
        <f>'O.G.Chem Results'!BB98/'O.G.Chem Results'!BB$142</f>
        <v>25.862068965517242</v>
      </c>
      <c r="BC98" s="68">
        <f>'O.G.Chem Results'!BC98/'O.G.Chem Results'!BC$142</f>
        <v>19.034670292318154</v>
      </c>
      <c r="BD98" s="68">
        <f>'O.G.Chem Results'!BD98/'O.G.Chem Results'!BD$142</f>
        <v>16.071428571428573</v>
      </c>
      <c r="BE98" s="68">
        <f>'O.G.Chem Results'!BE98/'O.G.Chem Results'!BE$142</f>
        <v>15.909090909090908</v>
      </c>
      <c r="BF98" s="68">
        <f>'O.G.Chem Results'!BF98/'O.G.Chem Results'!BF$142</f>
        <v>13.774104683195592</v>
      </c>
      <c r="BG98" s="68">
        <f>'O.G.Chem Results'!BG98/'O.G.Chem Results'!BG$142</f>
        <v>12.360939431396787</v>
      </c>
      <c r="BH98" s="68">
        <f>'O.G.Chem Results'!BH98/'O.G.Chem Results'!BH$142</f>
        <v>10.791366906474819</v>
      </c>
      <c r="BI98" s="68">
        <f>'O.G.Chem Results'!BI98/'O.G.Chem Results'!BI$142</f>
        <v>10.698552548772811</v>
      </c>
      <c r="BJ98" s="68">
        <f>'O.G.Chem Results'!BJ98/'O.G.Chem Results'!BJ$142</f>
        <v>10.743801652892563</v>
      </c>
      <c r="BK98" s="68">
        <f>'O.G.Chem Results'!BK98/'O.G.Chem Results'!BK$142</f>
        <v>11.076923076923077</v>
      </c>
      <c r="BL98" s="68">
        <f>'O.G.Chem Results'!BL98/'O.G.Chem Results'!BL$142</f>
        <v>12.345679012345677</v>
      </c>
      <c r="BM98" s="75">
        <v>3.6</v>
      </c>
      <c r="BN98" s="75">
        <v>0.3</v>
      </c>
      <c r="BO98" s="75">
        <v>0</v>
      </c>
      <c r="BP98" s="75">
        <v>0.1</v>
      </c>
      <c r="BQ98" s="75">
        <v>9</v>
      </c>
      <c r="BR98" s="75">
        <v>2.9</v>
      </c>
      <c r="BS98" s="75">
        <v>0.9</v>
      </c>
      <c r="BT98" s="76">
        <f t="shared" si="32"/>
        <v>0.47856414962288396</v>
      </c>
      <c r="BU98" s="281">
        <f t="shared" si="33"/>
        <v>274.96602083332203</v>
      </c>
      <c r="BV98" s="77">
        <f t="shared" si="34"/>
        <v>750</v>
      </c>
      <c r="BW98" s="78">
        <f t="shared" si="30"/>
        <v>94.744386048733858</v>
      </c>
      <c r="BX98" s="69">
        <f t="shared" si="36"/>
        <v>1.2924817639257293</v>
      </c>
      <c r="BY98" s="76">
        <v>9.8699999999999992</v>
      </c>
      <c r="BZ98" s="76">
        <v>0</v>
      </c>
      <c r="CA98" s="76">
        <v>32.58</v>
      </c>
      <c r="CB98" s="76">
        <v>0</v>
      </c>
      <c r="CC98" s="76">
        <v>0</v>
      </c>
      <c r="CD98" s="76">
        <v>0</v>
      </c>
      <c r="CE98" s="76">
        <v>0</v>
      </c>
      <c r="CF98" s="76">
        <v>0</v>
      </c>
      <c r="CG98" s="76">
        <v>0</v>
      </c>
      <c r="CH98" s="76">
        <v>0</v>
      </c>
      <c r="CI98" s="76">
        <v>4.6100000000000003</v>
      </c>
      <c r="CJ98" s="76">
        <v>0</v>
      </c>
      <c r="CK98" s="76">
        <v>17.010000000000002</v>
      </c>
      <c r="CL98" s="76">
        <v>17.37</v>
      </c>
      <c r="CM98" s="76">
        <v>0</v>
      </c>
      <c r="CN98" s="76">
        <v>0</v>
      </c>
      <c r="CO98" s="76">
        <v>16.87</v>
      </c>
      <c r="CP98" s="76">
        <v>1.69</v>
      </c>
      <c r="CQ98" s="76">
        <v>0</v>
      </c>
      <c r="CR98" s="76">
        <v>0</v>
      </c>
      <c r="CS98" s="76">
        <v>0</v>
      </c>
      <c r="CT98" s="76">
        <v>0</v>
      </c>
      <c r="CU98" s="76">
        <v>0</v>
      </c>
      <c r="CV98" s="76">
        <v>0</v>
      </c>
      <c r="CW98" s="76">
        <v>0</v>
      </c>
      <c r="CX98" s="76">
        <v>0</v>
      </c>
      <c r="CY98" s="281">
        <v>100</v>
      </c>
      <c r="CZ98" s="285">
        <v>0.36147786530566955</v>
      </c>
      <c r="DA98" s="285">
        <v>0</v>
      </c>
      <c r="DB98" s="285">
        <v>0</v>
      </c>
      <c r="DC98" s="285">
        <v>0</v>
      </c>
      <c r="DD98" s="285">
        <v>0</v>
      </c>
      <c r="DE98" s="285">
        <v>0</v>
      </c>
      <c r="DF98" s="285">
        <v>0</v>
      </c>
      <c r="DG98" s="285">
        <v>0</v>
      </c>
      <c r="DH98" s="285">
        <v>5.1148341284810828E-2</v>
      </c>
      <c r="DI98" s="285">
        <v>0</v>
      </c>
      <c r="DJ98" s="285">
        <v>0.1887273937645623</v>
      </c>
      <c r="DK98" s="285">
        <v>0.19272162432042605</v>
      </c>
      <c r="DL98" s="285">
        <v>0</v>
      </c>
      <c r="DM98" s="285">
        <v>0</v>
      </c>
      <c r="DN98" s="285">
        <v>0.18717408188172638</v>
      </c>
      <c r="DO98" s="285">
        <v>1.8750693442804833E-2</v>
      </c>
      <c r="DP98" s="285">
        <v>0</v>
      </c>
      <c r="DQ98" s="285">
        <v>0</v>
      </c>
      <c r="DR98" s="285">
        <v>0</v>
      </c>
      <c r="DS98" s="285">
        <v>0</v>
      </c>
      <c r="DT98" s="285">
        <v>0</v>
      </c>
      <c r="DU98" s="285">
        <v>0</v>
      </c>
      <c r="DV98" s="285">
        <v>0</v>
      </c>
      <c r="DW98" s="285">
        <v>0</v>
      </c>
      <c r="DX98" s="76">
        <v>1</v>
      </c>
      <c r="DY98" s="78">
        <v>62.553737860387685</v>
      </c>
      <c r="DZ98" s="78">
        <v>23.421537930761573</v>
      </c>
      <c r="EA98" s="78">
        <v>0.29032734901606949</v>
      </c>
      <c r="EB98" s="78">
        <v>2.9966397217352072</v>
      </c>
      <c r="EC98" s="78">
        <v>0</v>
      </c>
      <c r="ED98" s="78">
        <v>1.0843675828637305</v>
      </c>
      <c r="EE98" s="78">
        <v>2.5787286227671322E-2</v>
      </c>
      <c r="EF98" s="78">
        <v>0</v>
      </c>
      <c r="EG98" s="78">
        <v>1.235484387154681</v>
      </c>
      <c r="EH98" s="78">
        <v>0.40415931141446421</v>
      </c>
      <c r="EI98" s="78">
        <v>0</v>
      </c>
      <c r="EJ98" s="78">
        <v>7.9879585704389271</v>
      </c>
      <c r="EK98" s="78">
        <v>0</v>
      </c>
      <c r="EL98" s="78">
        <v>100.00000000000003</v>
      </c>
      <c r="EM98" s="76">
        <v>94.89008061233595</v>
      </c>
      <c r="EN98" s="76" t="s">
        <v>127</v>
      </c>
      <c r="EO98" s="289">
        <v>3.5566646457074455E-2</v>
      </c>
      <c r="EP98" s="257">
        <f t="shared" si="37"/>
        <v>3.5566646457074453</v>
      </c>
      <c r="EQ98" s="257">
        <f t="shared" si="38"/>
        <v>67.749782797567335</v>
      </c>
      <c r="ER98" s="324">
        <f t="shared" si="39"/>
        <v>0.91984537547609579</v>
      </c>
      <c r="ES98" s="257">
        <f t="shared" si="40"/>
        <v>1.0653777071603743</v>
      </c>
      <c r="ET98">
        <f t="shared" si="35"/>
        <v>750</v>
      </c>
      <c r="EU98" s="324">
        <f t="shared" si="41"/>
        <v>0.86339836969915962</v>
      </c>
      <c r="EV98" s="39">
        <f t="shared" si="42"/>
        <v>155.19999999999999</v>
      </c>
      <c r="EW98"/>
      <c r="EX98">
        <f t="shared" si="43"/>
        <v>0.83162393162393178</v>
      </c>
      <c r="EY98"/>
      <c r="EZ98"/>
      <c r="FA98"/>
      <c r="FB98"/>
      <c r="FC98"/>
      <c r="FD98"/>
    </row>
    <row r="99" spans="1:160" ht="13" customHeight="1" x14ac:dyDescent="0.2">
      <c r="A99" s="30" t="s">
        <v>482</v>
      </c>
      <c r="B99" s="31" t="s">
        <v>461</v>
      </c>
      <c r="C99" s="86">
        <f>166.4-F99/100</f>
        <v>166.32500000000002</v>
      </c>
      <c r="D99" s="32">
        <v>0</v>
      </c>
      <c r="E99" s="32">
        <v>15</v>
      </c>
      <c r="F99" s="33">
        <f t="shared" si="31"/>
        <v>7.5</v>
      </c>
      <c r="G99" s="31" t="s">
        <v>506</v>
      </c>
      <c r="H99" s="84">
        <v>5</v>
      </c>
      <c r="I99" s="85">
        <v>4</v>
      </c>
      <c r="J99" s="85">
        <v>6</v>
      </c>
      <c r="K99" s="89">
        <f t="shared" si="46"/>
        <v>3.3333333333333335</v>
      </c>
      <c r="L99" s="33">
        <v>136</v>
      </c>
      <c r="M99" s="33">
        <v>83</v>
      </c>
      <c r="N99" s="33">
        <v>47</v>
      </c>
      <c r="O99" s="33">
        <v>67.97</v>
      </c>
      <c r="P99" s="33">
        <v>13.64</v>
      </c>
      <c r="Q99" s="33">
        <v>4.79</v>
      </c>
      <c r="R99" s="33">
        <v>7.8E-2</v>
      </c>
      <c r="S99" s="33">
        <v>0.9</v>
      </c>
      <c r="T99" s="33">
        <v>0.34</v>
      </c>
      <c r="U99" s="33">
        <v>0.81</v>
      </c>
      <c r="V99" s="33">
        <v>2.0299999999999998</v>
      </c>
      <c r="W99" s="33">
        <v>0.92800000000000005</v>
      </c>
      <c r="X99" s="33">
        <v>0.05</v>
      </c>
      <c r="Y99" s="33">
        <v>7.47</v>
      </c>
      <c r="Z99" s="33">
        <v>99.01</v>
      </c>
      <c r="AA99" s="33">
        <v>8</v>
      </c>
      <c r="AB99" s="33">
        <v>1</v>
      </c>
      <c r="AC99" s="33">
        <v>86</v>
      </c>
      <c r="AD99" s="33">
        <v>0</v>
      </c>
      <c r="AE99" s="33">
        <v>15</v>
      </c>
      <c r="AF99" s="33">
        <v>0</v>
      </c>
      <c r="AG99" s="33">
        <v>40</v>
      </c>
      <c r="AH99" s="33">
        <v>60</v>
      </c>
      <c r="AI99" s="33">
        <v>17</v>
      </c>
      <c r="AJ99" s="33">
        <v>1</v>
      </c>
      <c r="AK99" s="33">
        <v>0</v>
      </c>
      <c r="AL99" s="33">
        <v>92</v>
      </c>
      <c r="AM99" s="33">
        <v>154</v>
      </c>
      <c r="AN99" s="68">
        <f>'O.G.Chem Results'!AN99/'O.G.Chem Results'!$AN$142</f>
        <v>7.0512820512820511</v>
      </c>
      <c r="AO99" s="33">
        <v>680</v>
      </c>
      <c r="AP99" s="33">
        <v>11</v>
      </c>
      <c r="AQ99" s="33" t="s">
        <v>72</v>
      </c>
      <c r="AR99" s="33">
        <v>1.7</v>
      </c>
      <c r="AS99" s="33" t="s">
        <v>73</v>
      </c>
      <c r="AT99" s="33">
        <v>1</v>
      </c>
      <c r="AU99" s="33" t="s">
        <v>74</v>
      </c>
      <c r="AV99" s="33">
        <v>3.1</v>
      </c>
      <c r="AW99" s="33">
        <v>796</v>
      </c>
      <c r="AX99" s="33" t="s">
        <v>75</v>
      </c>
      <c r="AY99" s="68">
        <f>'O.G.Chem Results'!AY99/'O.G.Chem Results'!AY$142</f>
        <v>117.02127659574468</v>
      </c>
      <c r="AZ99" s="68">
        <f>'O.G.Chem Results'!AZ99/'O.G.Chem Results'!AZ$142</f>
        <v>90.848806366047725</v>
      </c>
      <c r="BA99" s="68">
        <f>'O.G.Chem Results'!BA99/'O.G.Chem Results'!BA$142</f>
        <v>62.289562289562291</v>
      </c>
      <c r="BB99" s="68">
        <f>'O.G.Chem Results'!BB99/'O.G.Chem Results'!BB$142</f>
        <v>40.671971706454464</v>
      </c>
      <c r="BC99" s="68">
        <f>'O.G.Chem Results'!BC99/'O.G.Chem Results'!BC$142</f>
        <v>21.753908905506464</v>
      </c>
      <c r="BD99" s="68">
        <f>'O.G.Chem Results'!BD99/'O.G.Chem Results'!BD$142</f>
        <v>13.928571428571429</v>
      </c>
      <c r="BE99" s="68">
        <f>'O.G.Chem Results'!BE99/'O.G.Chem Results'!BE$142</f>
        <v>14.772727272727273</v>
      </c>
      <c r="BF99" s="68">
        <f>'O.G.Chem Results'!BF99/'O.G.Chem Results'!BF$142</f>
        <v>11.019283746556475</v>
      </c>
      <c r="BG99" s="68">
        <f>'O.G.Chem Results'!BG99/'O.G.Chem Results'!BG$142</f>
        <v>9.0646889163576443</v>
      </c>
      <c r="BH99" s="68">
        <f>'O.G.Chem Results'!BH99/'O.G.Chem Results'!BH$142</f>
        <v>7.1942446043165464</v>
      </c>
      <c r="BI99" s="68">
        <f>'O.G.Chem Results'!BI99/'O.G.Chem Results'!BI$142</f>
        <v>8.8105726872246688</v>
      </c>
      <c r="BJ99" s="68">
        <f>'O.G.Chem Results'!BJ99/'O.G.Chem Results'!BJ$142</f>
        <v>9.0909090909090917</v>
      </c>
      <c r="BK99" s="68">
        <f>'O.G.Chem Results'!BK99/'O.G.Chem Results'!BK$142</f>
        <v>9.8461538461538467</v>
      </c>
      <c r="BL99" s="68">
        <f>'O.G.Chem Results'!BL99/'O.G.Chem Results'!BL$142</f>
        <v>12.345679012345677</v>
      </c>
      <c r="BM99" s="33">
        <v>15.6</v>
      </c>
      <c r="BN99" s="33">
        <v>0.8</v>
      </c>
      <c r="BO99" s="33">
        <v>13</v>
      </c>
      <c r="BP99" s="33">
        <v>0.5</v>
      </c>
      <c r="BQ99" s="33">
        <v>20</v>
      </c>
      <c r="BR99" s="33">
        <v>9.6</v>
      </c>
      <c r="BS99" s="33">
        <v>2.6</v>
      </c>
      <c r="BT99" s="34">
        <f t="shared" si="32"/>
        <v>0.43704608701554326</v>
      </c>
      <c r="BU99" s="282">
        <f t="shared" si="33"/>
        <v>428.6583564684783</v>
      </c>
      <c r="BV99" s="35">
        <f t="shared" si="34"/>
        <v>7.5</v>
      </c>
      <c r="BW99" s="79">
        <f t="shared" si="30"/>
        <v>81.093935790725325</v>
      </c>
      <c r="BX99" s="69">
        <f t="shared" si="36"/>
        <v>1.4584916481468202</v>
      </c>
      <c r="BY99" s="34">
        <v>8.4600000000000009</v>
      </c>
      <c r="BZ99" s="34">
        <v>1.68</v>
      </c>
      <c r="CA99" s="34">
        <v>44.12</v>
      </c>
      <c r="CB99" s="34">
        <v>0</v>
      </c>
      <c r="CC99" s="34">
        <v>2.46</v>
      </c>
      <c r="CD99" s="34">
        <v>0</v>
      </c>
      <c r="CE99" s="34">
        <v>0</v>
      </c>
      <c r="CF99" s="34">
        <v>0</v>
      </c>
      <c r="CG99" s="34">
        <v>0</v>
      </c>
      <c r="CH99" s="34">
        <v>0.56999999999999995</v>
      </c>
      <c r="CI99" s="34">
        <v>0.16</v>
      </c>
      <c r="CJ99" s="34">
        <v>0</v>
      </c>
      <c r="CK99" s="34">
        <v>15.72</v>
      </c>
      <c r="CL99" s="34">
        <v>15.57</v>
      </c>
      <c r="CM99" s="34">
        <v>0</v>
      </c>
      <c r="CN99" s="34">
        <v>7.13</v>
      </c>
      <c r="CO99" s="34">
        <v>0</v>
      </c>
      <c r="CP99" s="34">
        <v>3.52</v>
      </c>
      <c r="CQ99" s="34">
        <v>0</v>
      </c>
      <c r="CR99" s="34">
        <v>0</v>
      </c>
      <c r="CS99" s="34">
        <v>0.3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282">
        <v>99.69</v>
      </c>
      <c r="CZ99" s="286">
        <v>0.36147786530566955</v>
      </c>
      <c r="DA99" s="286">
        <v>0</v>
      </c>
      <c r="DB99" s="286">
        <v>0</v>
      </c>
      <c r="DC99" s="286">
        <v>0</v>
      </c>
      <c r="DD99" s="286">
        <v>0</v>
      </c>
      <c r="DE99" s="286">
        <v>0</v>
      </c>
      <c r="DF99" s="286">
        <v>0</v>
      </c>
      <c r="DG99" s="286">
        <v>0</v>
      </c>
      <c r="DH99" s="286">
        <v>5.1148341284810828E-2</v>
      </c>
      <c r="DI99" s="286">
        <v>0</v>
      </c>
      <c r="DJ99" s="286">
        <v>0.1887273937645623</v>
      </c>
      <c r="DK99" s="286">
        <v>0.19272162432042605</v>
      </c>
      <c r="DL99" s="286">
        <v>0</v>
      </c>
      <c r="DM99" s="286">
        <v>0</v>
      </c>
      <c r="DN99" s="286">
        <v>0.18717408188172638</v>
      </c>
      <c r="DO99" s="286">
        <v>1.8750693442804833E-2</v>
      </c>
      <c r="DP99" s="286">
        <v>0</v>
      </c>
      <c r="DQ99" s="286">
        <v>0</v>
      </c>
      <c r="DR99" s="286">
        <v>0</v>
      </c>
      <c r="DS99" s="286">
        <v>0</v>
      </c>
      <c r="DT99" s="286">
        <v>0</v>
      </c>
      <c r="DU99" s="286">
        <v>0</v>
      </c>
      <c r="DV99" s="286">
        <v>0</v>
      </c>
      <c r="DW99" s="286">
        <v>0</v>
      </c>
      <c r="DX99" s="34">
        <v>1</v>
      </c>
      <c r="DY99" s="79">
        <v>62.553737860387685</v>
      </c>
      <c r="DZ99" s="79">
        <v>23.421537930761573</v>
      </c>
      <c r="EA99" s="79">
        <v>0.29032734901606949</v>
      </c>
      <c r="EB99" s="79">
        <v>2.9966397217352072</v>
      </c>
      <c r="EC99" s="79">
        <v>0</v>
      </c>
      <c r="ED99" s="79">
        <v>1.0843675828637305</v>
      </c>
      <c r="EE99" s="79">
        <v>2.5787286227671322E-2</v>
      </c>
      <c r="EF99" s="79">
        <v>0</v>
      </c>
      <c r="EG99" s="79">
        <v>1.235484387154681</v>
      </c>
      <c r="EH99" s="79">
        <v>0.40415931141446421</v>
      </c>
      <c r="EI99" s="79">
        <v>0</v>
      </c>
      <c r="EJ99" s="79">
        <v>7.9879585704389271</v>
      </c>
      <c r="EK99" s="79">
        <v>0</v>
      </c>
      <c r="EL99" s="79">
        <v>100.00000000000003</v>
      </c>
      <c r="EM99" s="34">
        <v>94.89008061233595</v>
      </c>
      <c r="EN99" s="34" t="s">
        <v>482</v>
      </c>
      <c r="EO99" s="290">
        <v>3.5566646457074455E-2</v>
      </c>
      <c r="EP99" s="257">
        <f t="shared" si="37"/>
        <v>3.5566646457074453</v>
      </c>
      <c r="EQ99" s="257">
        <f t="shared" si="38"/>
        <v>67.749782797567335</v>
      </c>
      <c r="ER99" s="324">
        <f t="shared" si="39"/>
        <v>0.76265284109964004</v>
      </c>
      <c r="ES99" s="257">
        <f t="shared" si="40"/>
        <v>0.99210778607135508</v>
      </c>
      <c r="ET99">
        <f t="shared" si="35"/>
        <v>7.5</v>
      </c>
      <c r="EU99" s="324">
        <f t="shared" si="41"/>
        <v>0.76871974175272528</v>
      </c>
      <c r="EV99" s="39">
        <f t="shared" si="42"/>
        <v>166.32500000000002</v>
      </c>
      <c r="EX99">
        <f t="shared" si="43"/>
        <v>0.9801282051282052</v>
      </c>
      <c r="EZ99" s="324">
        <f>AVERAGE(ER99:ER111)</f>
        <v>0.79386147140649987</v>
      </c>
      <c r="FA99" s="260" t="s">
        <v>668</v>
      </c>
    </row>
    <row r="100" spans="1:160" ht="13" customHeight="1" x14ac:dyDescent="0.2">
      <c r="A100" s="30" t="s">
        <v>483</v>
      </c>
      <c r="B100" s="31" t="s">
        <v>461</v>
      </c>
      <c r="C100" s="86">
        <f t="shared" ref="C100:C111" si="47">166.4-F100/100</f>
        <v>166.19499999999999</v>
      </c>
      <c r="D100" s="32">
        <v>15</v>
      </c>
      <c r="E100" s="32">
        <v>26</v>
      </c>
      <c r="F100" s="33">
        <f t="shared" si="31"/>
        <v>20.5</v>
      </c>
      <c r="G100" s="31" t="s">
        <v>518</v>
      </c>
      <c r="H100" s="84">
        <v>2.5</v>
      </c>
      <c r="I100" s="85">
        <v>4</v>
      </c>
      <c r="J100" s="85">
        <v>8</v>
      </c>
      <c r="K100" s="89">
        <f t="shared" si="46"/>
        <v>1.25</v>
      </c>
      <c r="L100" s="33">
        <v>150</v>
      </c>
      <c r="M100" s="33">
        <v>75</v>
      </c>
      <c r="N100" s="33">
        <v>38</v>
      </c>
      <c r="O100" s="33">
        <v>52.27</v>
      </c>
      <c r="P100" s="33">
        <v>23.56</v>
      </c>
      <c r="Q100" s="33">
        <v>8.35</v>
      </c>
      <c r="R100" s="33">
        <v>5.1999999999999998E-2</v>
      </c>
      <c r="S100" s="33">
        <v>1.26</v>
      </c>
      <c r="T100" s="33">
        <v>0.16</v>
      </c>
      <c r="U100" s="33">
        <v>0.34</v>
      </c>
      <c r="V100" s="33">
        <v>1.42</v>
      </c>
      <c r="W100" s="33">
        <v>1.1599999999999999</v>
      </c>
      <c r="X100" s="33">
        <v>0.05</v>
      </c>
      <c r="Y100" s="33">
        <v>11.89</v>
      </c>
      <c r="Z100" s="33">
        <v>100.5</v>
      </c>
      <c r="AA100" s="33">
        <v>14</v>
      </c>
      <c r="AB100" s="33">
        <v>1</v>
      </c>
      <c r="AC100" s="33">
        <v>145</v>
      </c>
      <c r="AD100" s="33">
        <v>20</v>
      </c>
      <c r="AE100" s="33">
        <v>11</v>
      </c>
      <c r="AF100" s="33">
        <v>0</v>
      </c>
      <c r="AG100" s="33">
        <v>50</v>
      </c>
      <c r="AH100" s="33">
        <v>80</v>
      </c>
      <c r="AI100" s="33">
        <v>29</v>
      </c>
      <c r="AJ100" s="33">
        <v>2</v>
      </c>
      <c r="AK100" s="33">
        <v>0</v>
      </c>
      <c r="AL100" s="33">
        <v>95</v>
      </c>
      <c r="AM100" s="33">
        <v>79</v>
      </c>
      <c r="AN100" s="68">
        <f>'O.G.Chem Results'!AN100/'O.G.Chem Results'!$AN$142</f>
        <v>3.2051282051282048</v>
      </c>
      <c r="AO100" s="33">
        <v>313</v>
      </c>
      <c r="AP100" s="33">
        <v>17</v>
      </c>
      <c r="AQ100" s="33" t="s">
        <v>72</v>
      </c>
      <c r="AR100" s="33">
        <v>0.7</v>
      </c>
      <c r="AS100" s="33" t="s">
        <v>73</v>
      </c>
      <c r="AT100" s="33">
        <v>2</v>
      </c>
      <c r="AU100" s="33" t="s">
        <v>74</v>
      </c>
      <c r="AV100" s="33">
        <v>4.2</v>
      </c>
      <c r="AW100" s="33">
        <v>380</v>
      </c>
      <c r="AX100" s="33" t="s">
        <v>75</v>
      </c>
      <c r="AY100" s="68">
        <f>'O.G.Chem Results'!AY100/'O.G.Chem Results'!AY$142</f>
        <v>84.255319148936181</v>
      </c>
      <c r="AZ100" s="68">
        <f>'O.G.Chem Results'!AZ100/'O.G.Chem Results'!AZ$142</f>
        <v>55.371352785145881</v>
      </c>
      <c r="BA100" s="68">
        <f>'O.G.Chem Results'!BA100/'O.G.Chem Results'!BA$142</f>
        <v>40.9652076318743</v>
      </c>
      <c r="BB100" s="68">
        <f>'O.G.Chem Results'!BB100/'O.G.Chem Results'!BB$142</f>
        <v>28.735632183908049</v>
      </c>
      <c r="BC100" s="68">
        <f>'O.G.Chem Results'!BC100/'O.G.Chem Results'!BC$142</f>
        <v>14.276002719238615</v>
      </c>
      <c r="BD100" s="68">
        <f>'O.G.Chem Results'!BD100/'O.G.Chem Results'!BD$142</f>
        <v>9.8214285714285712</v>
      </c>
      <c r="BE100" s="68">
        <f>'O.G.Chem Results'!BE100/'O.G.Chem Results'!BE$142</f>
        <v>8.5227272727272734</v>
      </c>
      <c r="BF100" s="68">
        <f>'O.G.Chem Results'!BF100/'O.G.Chem Results'!BF$142</f>
        <v>5.5096418732782375</v>
      </c>
      <c r="BG100" s="68">
        <f>'O.G.Chem Results'!BG100/'O.G.Chem Results'!BG$142</f>
        <v>5.3564070869386073</v>
      </c>
      <c r="BH100" s="68">
        <f>'O.G.Chem Results'!BH100/'O.G.Chem Results'!BH$142</f>
        <v>5.3956834532374094</v>
      </c>
      <c r="BI100" s="68">
        <f>'O.G.Chem Results'!BI100/'O.G.Chem Results'!BI$142</f>
        <v>4.4052863436123344</v>
      </c>
      <c r="BJ100" s="68">
        <f>'O.G.Chem Results'!BJ100/'O.G.Chem Results'!BJ$142</f>
        <v>4.9586776859504136</v>
      </c>
      <c r="BK100" s="68">
        <f>'O.G.Chem Results'!BK100/'O.G.Chem Results'!BK$142</f>
        <v>4.9230769230769234</v>
      </c>
      <c r="BL100" s="68">
        <f>'O.G.Chem Results'!BL100/'O.G.Chem Results'!BL$142</f>
        <v>5.3497942386831276</v>
      </c>
      <c r="BM100" s="33">
        <v>7.9</v>
      </c>
      <c r="BN100" s="33">
        <v>0.8</v>
      </c>
      <c r="BO100" s="33">
        <v>0</v>
      </c>
      <c r="BP100" s="33">
        <v>0.6</v>
      </c>
      <c r="BQ100" s="33">
        <v>21</v>
      </c>
      <c r="BR100" s="33">
        <v>19.7</v>
      </c>
      <c r="BS100" s="33">
        <v>2.2999999999999998</v>
      </c>
      <c r="BT100" s="34">
        <f t="shared" si="32"/>
        <v>0.39656716025779642</v>
      </c>
      <c r="BU100" s="282">
        <f t="shared" si="33"/>
        <v>277.84623791803591</v>
      </c>
      <c r="BV100" s="35">
        <f t="shared" si="34"/>
        <v>20.5</v>
      </c>
      <c r="BW100" s="79">
        <f t="shared" ref="BW100:BW123" si="48">100*P100/(P100+T100+U100+V100)</f>
        <v>92.464678178963908</v>
      </c>
      <c r="BX100" s="69">
        <f t="shared" si="36"/>
        <v>1.35166781730315</v>
      </c>
      <c r="BY100" s="34">
        <v>9.9499999999999993</v>
      </c>
      <c r="BZ100" s="34">
        <v>1.1299999999999999</v>
      </c>
      <c r="CA100" s="34">
        <v>22.52</v>
      </c>
      <c r="CB100" s="34">
        <v>0</v>
      </c>
      <c r="CC100" s="34">
        <v>1.42</v>
      </c>
      <c r="CD100" s="34">
        <v>0</v>
      </c>
      <c r="CE100" s="34">
        <v>0</v>
      </c>
      <c r="CF100" s="34">
        <v>0</v>
      </c>
      <c r="CG100" s="34">
        <v>0</v>
      </c>
      <c r="CH100" s="34">
        <v>4.57</v>
      </c>
      <c r="CI100" s="34">
        <v>3.92</v>
      </c>
      <c r="CJ100" s="34">
        <v>0</v>
      </c>
      <c r="CK100" s="34">
        <v>15.97</v>
      </c>
      <c r="CL100" s="34">
        <v>15.82</v>
      </c>
      <c r="CM100" s="34">
        <v>0.09</v>
      </c>
      <c r="CN100" s="34">
        <v>15.21</v>
      </c>
      <c r="CO100" s="34">
        <v>0</v>
      </c>
      <c r="CP100" s="34">
        <v>9.16</v>
      </c>
      <c r="CQ100" s="34">
        <v>0</v>
      </c>
      <c r="CR100" s="34">
        <v>0</v>
      </c>
      <c r="CS100" s="34">
        <v>0.25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282">
        <v>99.69</v>
      </c>
      <c r="CZ100" s="286">
        <v>0.49268565047459528</v>
      </c>
      <c r="DA100" s="286">
        <v>0</v>
      </c>
      <c r="DB100" s="286">
        <v>2.7470686767169183E-2</v>
      </c>
      <c r="DC100" s="286">
        <v>0</v>
      </c>
      <c r="DD100" s="286">
        <v>0</v>
      </c>
      <c r="DE100" s="286">
        <v>0</v>
      </c>
      <c r="DF100" s="286">
        <v>0</v>
      </c>
      <c r="DG100" s="286">
        <v>6.3651591289782252E-3</v>
      </c>
      <c r="DH100" s="286">
        <v>1.7867113344500283E-3</v>
      </c>
      <c r="DI100" s="286">
        <v>0</v>
      </c>
      <c r="DJ100" s="286">
        <v>0.17554438860971527</v>
      </c>
      <c r="DK100" s="286">
        <v>0.17386934673366838</v>
      </c>
      <c r="DL100" s="286">
        <v>0</v>
      </c>
      <c r="DM100" s="286">
        <v>7.9620323841429377E-2</v>
      </c>
      <c r="DN100" s="286">
        <v>0</v>
      </c>
      <c r="DO100" s="286">
        <v>3.9307649357900619E-2</v>
      </c>
      <c r="DP100" s="286">
        <v>0</v>
      </c>
      <c r="DQ100" s="286">
        <v>0</v>
      </c>
      <c r="DR100" s="286">
        <v>3.3500837520938028E-3</v>
      </c>
      <c r="DS100" s="286">
        <v>0</v>
      </c>
      <c r="DT100" s="286">
        <v>0</v>
      </c>
      <c r="DU100" s="286">
        <v>0</v>
      </c>
      <c r="DV100" s="286">
        <v>0</v>
      </c>
      <c r="DW100" s="286">
        <v>0</v>
      </c>
      <c r="DX100" s="34">
        <v>1.0000000000000002</v>
      </c>
      <c r="DY100" s="79">
        <v>73.336179580280415</v>
      </c>
      <c r="DZ100" s="79">
        <v>17.713844194112088</v>
      </c>
      <c r="EA100" s="79">
        <v>0.80216470398591888</v>
      </c>
      <c r="EB100" s="79">
        <v>0.68200750795210729</v>
      </c>
      <c r="EC100" s="79">
        <v>0</v>
      </c>
      <c r="ED100" s="79">
        <v>0.26271672572099647</v>
      </c>
      <c r="EE100" s="79">
        <v>0</v>
      </c>
      <c r="EF100" s="79">
        <v>0.32476884863028765</v>
      </c>
      <c r="EG100" s="79">
        <v>1.3517079257172553</v>
      </c>
      <c r="EH100" s="79">
        <v>4.2684720529113228E-2</v>
      </c>
      <c r="EI100" s="79">
        <v>0</v>
      </c>
      <c r="EJ100" s="79">
        <v>5.4839257930718404</v>
      </c>
      <c r="EK100" s="79">
        <v>0</v>
      </c>
      <c r="EL100" s="79">
        <v>100.00000000000004</v>
      </c>
      <c r="EM100" s="34">
        <v>91.35405351425328</v>
      </c>
      <c r="EN100" s="34" t="s">
        <v>483</v>
      </c>
      <c r="EO100" s="290">
        <v>1.5455528876537158E-2</v>
      </c>
      <c r="EP100" s="257">
        <f t="shared" si="37"/>
        <v>1.5455528876537159</v>
      </c>
      <c r="EQ100" s="257">
        <f t="shared" si="38"/>
        <v>70.482060312568791</v>
      </c>
      <c r="ER100" s="324">
        <f t="shared" si="39"/>
        <v>0.8615768136987958</v>
      </c>
      <c r="ES100" s="257">
        <f t="shared" si="40"/>
        <v>0.8421657755540759</v>
      </c>
      <c r="ET100">
        <f t="shared" si="35"/>
        <v>20.5</v>
      </c>
      <c r="EU100" s="324">
        <f t="shared" si="41"/>
        <v>1.0230489515344519</v>
      </c>
      <c r="EV100" s="39">
        <f t="shared" si="42"/>
        <v>166.19499999999999</v>
      </c>
      <c r="EX100">
        <f t="shared" si="43"/>
        <v>0.59401709401709402</v>
      </c>
    </row>
    <row r="101" spans="1:160" ht="13" customHeight="1" x14ac:dyDescent="0.2">
      <c r="A101" s="30" t="s">
        <v>484</v>
      </c>
      <c r="B101" s="31" t="s">
        <v>461</v>
      </c>
      <c r="C101" s="86">
        <f t="shared" si="47"/>
        <v>165.88500000000002</v>
      </c>
      <c r="D101" s="32">
        <v>26</v>
      </c>
      <c r="E101" s="32">
        <v>77</v>
      </c>
      <c r="F101" s="33">
        <f t="shared" si="31"/>
        <v>51.5</v>
      </c>
      <c r="G101" s="31" t="s">
        <v>528</v>
      </c>
      <c r="H101" s="84">
        <v>2.5</v>
      </c>
      <c r="I101" s="85">
        <v>3</v>
      </c>
      <c r="J101" s="85">
        <v>6</v>
      </c>
      <c r="K101" s="89">
        <f t="shared" si="46"/>
        <v>1.25</v>
      </c>
      <c r="L101" s="33">
        <v>113</v>
      </c>
      <c r="M101" s="33">
        <v>56</v>
      </c>
      <c r="N101" s="33">
        <v>32</v>
      </c>
      <c r="O101" s="33">
        <v>51.37</v>
      </c>
      <c r="P101" s="33">
        <v>24.75</v>
      </c>
      <c r="Q101" s="33">
        <v>8.1199999999999992</v>
      </c>
      <c r="R101" s="33">
        <v>5.3999999999999999E-2</v>
      </c>
      <c r="S101" s="33">
        <v>1.45</v>
      </c>
      <c r="T101" s="33">
        <v>0.19</v>
      </c>
      <c r="U101" s="33">
        <v>0.45</v>
      </c>
      <c r="V101" s="33">
        <v>1.4</v>
      </c>
      <c r="W101" s="33">
        <v>1.1240000000000001</v>
      </c>
      <c r="X101" s="33">
        <v>0.04</v>
      </c>
      <c r="Y101" s="33">
        <v>11.26</v>
      </c>
      <c r="Z101" s="33">
        <v>100.2</v>
      </c>
      <c r="AA101" s="33">
        <v>17</v>
      </c>
      <c r="AB101" s="33">
        <v>1</v>
      </c>
      <c r="AC101" s="33">
        <v>144</v>
      </c>
      <c r="AD101" s="33">
        <v>0</v>
      </c>
      <c r="AE101" s="33">
        <v>11</v>
      </c>
      <c r="AF101" s="33">
        <v>0</v>
      </c>
      <c r="AG101" s="33">
        <v>40</v>
      </c>
      <c r="AH101" s="33">
        <v>80</v>
      </c>
      <c r="AI101" s="33">
        <v>30</v>
      </c>
      <c r="AJ101" s="33">
        <v>2</v>
      </c>
      <c r="AK101" s="33">
        <v>0</v>
      </c>
      <c r="AL101" s="33">
        <v>84</v>
      </c>
      <c r="AM101" s="33">
        <v>69</v>
      </c>
      <c r="AN101" s="68">
        <f>'O.G.Chem Results'!AN101/'O.G.Chem Results'!$AN$142</f>
        <v>3.8461538461538458</v>
      </c>
      <c r="AO101" s="33">
        <v>262</v>
      </c>
      <c r="AP101" s="33">
        <v>15</v>
      </c>
      <c r="AQ101" s="33" t="s">
        <v>72</v>
      </c>
      <c r="AR101" s="33">
        <v>0.9</v>
      </c>
      <c r="AS101" s="33" t="s">
        <v>73</v>
      </c>
      <c r="AT101" s="33">
        <v>2</v>
      </c>
      <c r="AU101" s="33" t="s">
        <v>74</v>
      </c>
      <c r="AV101" s="33">
        <v>3.6</v>
      </c>
      <c r="AW101" s="33">
        <v>288</v>
      </c>
      <c r="AX101" s="33" t="s">
        <v>75</v>
      </c>
      <c r="AY101" s="68">
        <f>'O.G.Chem Results'!AY101/'O.G.Chem Results'!AY$142</f>
        <v>79.574468085106389</v>
      </c>
      <c r="AZ101" s="68">
        <f>'O.G.Chem Results'!AZ101/'O.G.Chem Results'!AZ$142</f>
        <v>67.473474801061002</v>
      </c>
      <c r="BA101" s="68">
        <f>'O.G.Chem Results'!BA101/'O.G.Chem Results'!BA$142</f>
        <v>44.893378226711562</v>
      </c>
      <c r="BB101" s="68">
        <f>'O.G.Chem Results'!BB101/'O.G.Chem Results'!BB$142</f>
        <v>32.714412024756854</v>
      </c>
      <c r="BC101" s="68">
        <f>'O.G.Chem Results'!BC101/'O.G.Chem Results'!BC$142</f>
        <v>15.635622025832769</v>
      </c>
      <c r="BD101" s="68">
        <f>'O.G.Chem Results'!BD101/'O.G.Chem Results'!BD$142</f>
        <v>10.535714285714285</v>
      </c>
      <c r="BE101" s="68">
        <f>'O.G.Chem Results'!BE101/'O.G.Chem Results'!BE$142</f>
        <v>7.3863636363636367</v>
      </c>
      <c r="BF101" s="68">
        <f>'O.G.Chem Results'!BF101/'O.G.Chem Results'!BF$142</f>
        <v>5.5096418732782375</v>
      </c>
      <c r="BG101" s="68">
        <f>'O.G.Chem Results'!BG101/'O.G.Chem Results'!BG$142</f>
        <v>4.9443757725587139</v>
      </c>
      <c r="BH101" s="68">
        <f>'O.G.Chem Results'!BH101/'O.G.Chem Results'!BH$142</f>
        <v>3.5971223021582732</v>
      </c>
      <c r="BI101" s="68">
        <f>'O.G.Chem Results'!BI101/'O.G.Chem Results'!BI$142</f>
        <v>3.7759597230962867</v>
      </c>
      <c r="BJ101" s="68">
        <f>'O.G.Chem Results'!BJ101/'O.G.Chem Results'!BJ$142</f>
        <v>4.5454545454545459</v>
      </c>
      <c r="BK101" s="68">
        <f>'O.G.Chem Results'!BK101/'O.G.Chem Results'!BK$142</f>
        <v>4.9230769230769234</v>
      </c>
      <c r="BL101" s="68">
        <f>'O.G.Chem Results'!BL101/'O.G.Chem Results'!BL$142</f>
        <v>5.761316872427984</v>
      </c>
      <c r="BM101" s="33">
        <v>6.6</v>
      </c>
      <c r="BN101" s="33">
        <v>0.7</v>
      </c>
      <c r="BO101" s="33">
        <v>0</v>
      </c>
      <c r="BP101" s="33">
        <v>0.6</v>
      </c>
      <c r="BQ101" s="33">
        <v>27</v>
      </c>
      <c r="BR101" s="33">
        <v>16.5</v>
      </c>
      <c r="BS101" s="33">
        <v>2</v>
      </c>
      <c r="BT101" s="34">
        <f t="shared" si="32"/>
        <v>0.45885357847741876</v>
      </c>
      <c r="BU101" s="282">
        <f t="shared" si="33"/>
        <v>291.27038109759735</v>
      </c>
      <c r="BV101" s="35">
        <f t="shared" si="34"/>
        <v>51.5</v>
      </c>
      <c r="BW101" s="79">
        <f t="shared" si="48"/>
        <v>92.38521836506159</v>
      </c>
      <c r="BX101" s="69">
        <f t="shared" si="36"/>
        <v>1.5029716511936337</v>
      </c>
      <c r="BY101" s="34">
        <v>10.6</v>
      </c>
      <c r="BZ101" s="34">
        <v>1.1499999999999999</v>
      </c>
      <c r="CA101" s="34">
        <v>21.27</v>
      </c>
      <c r="CB101" s="34">
        <v>0</v>
      </c>
      <c r="CC101" s="34">
        <v>1.64</v>
      </c>
      <c r="CD101" s="34">
        <v>0</v>
      </c>
      <c r="CE101" s="34">
        <v>0</v>
      </c>
      <c r="CF101" s="34">
        <v>0</v>
      </c>
      <c r="CG101" s="34">
        <v>0</v>
      </c>
      <c r="CH101" s="34">
        <v>4.13</v>
      </c>
      <c r="CI101" s="34">
        <v>5.4</v>
      </c>
      <c r="CJ101" s="34">
        <v>0</v>
      </c>
      <c r="CK101" s="34">
        <v>16.25</v>
      </c>
      <c r="CL101" s="34">
        <v>16.100000000000001</v>
      </c>
      <c r="CM101" s="34">
        <v>0.11</v>
      </c>
      <c r="CN101" s="34">
        <v>15.58</v>
      </c>
      <c r="CO101" s="34">
        <v>0</v>
      </c>
      <c r="CP101" s="34">
        <v>7.14</v>
      </c>
      <c r="CQ101" s="34">
        <v>0</v>
      </c>
      <c r="CR101" s="34">
        <v>0</v>
      </c>
      <c r="CS101" s="34">
        <v>0.22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282">
        <v>100.00999999999999</v>
      </c>
      <c r="CZ101" s="286">
        <v>0.25323287979309567</v>
      </c>
      <c r="DA101" s="286">
        <v>0</v>
      </c>
      <c r="DB101" s="286">
        <v>1.5967614978072638E-2</v>
      </c>
      <c r="DC101" s="286">
        <v>0</v>
      </c>
      <c r="DD101" s="286">
        <v>0</v>
      </c>
      <c r="DE101" s="286">
        <v>0</v>
      </c>
      <c r="DF101" s="286">
        <v>0</v>
      </c>
      <c r="DG101" s="286">
        <v>5.1388732711121106E-2</v>
      </c>
      <c r="DH101" s="286">
        <v>4.4079613178904756E-2</v>
      </c>
      <c r="DI101" s="286">
        <v>0</v>
      </c>
      <c r="DJ101" s="286">
        <v>0.17957944450691554</v>
      </c>
      <c r="DK101" s="286">
        <v>0.1778927246148656</v>
      </c>
      <c r="DL101" s="286">
        <v>1.012031935229956E-3</v>
      </c>
      <c r="DM101" s="286">
        <v>0.17103339705386258</v>
      </c>
      <c r="DN101" s="286">
        <v>0</v>
      </c>
      <c r="DO101" s="286">
        <v>0.10300236140784887</v>
      </c>
      <c r="DP101" s="286">
        <v>0</v>
      </c>
      <c r="DQ101" s="286">
        <v>0</v>
      </c>
      <c r="DR101" s="286">
        <v>2.8111998200832113E-3</v>
      </c>
      <c r="DS101" s="286">
        <v>0</v>
      </c>
      <c r="DT101" s="286">
        <v>0</v>
      </c>
      <c r="DU101" s="286">
        <v>0</v>
      </c>
      <c r="DV101" s="286">
        <v>0</v>
      </c>
      <c r="DW101" s="286">
        <v>0</v>
      </c>
      <c r="DX101" s="34">
        <v>0.99999999999999989</v>
      </c>
      <c r="DY101" s="79">
        <v>56.541025561562307</v>
      </c>
      <c r="DZ101" s="79">
        <v>25.198808788884758</v>
      </c>
      <c r="EA101" s="79">
        <v>4.5762307815374239</v>
      </c>
      <c r="EB101" s="79">
        <v>1.5483501604519092</v>
      </c>
      <c r="EC101" s="79">
        <v>0</v>
      </c>
      <c r="ED101" s="79">
        <v>0.61213435921553661</v>
      </c>
      <c r="EE101" s="79">
        <v>9.2672507280484862E-4</v>
      </c>
      <c r="EF101" s="79">
        <v>0.18877518337102622</v>
      </c>
      <c r="EG101" s="79">
        <v>3.0489733521721867</v>
      </c>
      <c r="EH101" s="79">
        <v>9.1691573233595128E-2</v>
      </c>
      <c r="EI101" s="79">
        <v>0</v>
      </c>
      <c r="EJ101" s="79">
        <v>8.1930835144984524</v>
      </c>
      <c r="EK101" s="79">
        <v>0</v>
      </c>
      <c r="EL101" s="79">
        <v>100</v>
      </c>
      <c r="EM101" s="34">
        <v>88.611245442886258</v>
      </c>
      <c r="EN101" s="34" t="s">
        <v>484</v>
      </c>
      <c r="EO101" s="290">
        <v>6.2639324564300047E-2</v>
      </c>
      <c r="EP101" s="257">
        <f t="shared" si="37"/>
        <v>6.2639324564300045</v>
      </c>
      <c r="EQ101" s="257">
        <f t="shared" si="38"/>
        <v>60.735826296743056</v>
      </c>
      <c r="ER101" s="324">
        <f t="shared" si="39"/>
        <v>0.91527415925852218</v>
      </c>
      <c r="ES101" s="257">
        <f t="shared" si="40"/>
        <v>1.055023934000596</v>
      </c>
      <c r="ET101">
        <f t="shared" si="35"/>
        <v>51.5</v>
      </c>
      <c r="EU101" s="324">
        <f t="shared" si="41"/>
        <v>0.86753876358790272</v>
      </c>
      <c r="EV101" s="39">
        <f t="shared" si="42"/>
        <v>165.88500000000002</v>
      </c>
      <c r="EX101">
        <f t="shared" si="43"/>
        <v>1.0692307692307692</v>
      </c>
    </row>
    <row r="102" spans="1:160" ht="13" customHeight="1" x14ac:dyDescent="0.2">
      <c r="A102" s="30" t="s">
        <v>485</v>
      </c>
      <c r="B102" s="31" t="s">
        <v>461</v>
      </c>
      <c r="C102" s="86">
        <f t="shared" si="47"/>
        <v>165.37</v>
      </c>
      <c r="D102" s="32">
        <v>77</v>
      </c>
      <c r="E102" s="32">
        <v>129</v>
      </c>
      <c r="F102" s="33">
        <f t="shared" si="31"/>
        <v>103</v>
      </c>
      <c r="G102" s="31" t="s">
        <v>507</v>
      </c>
      <c r="H102" s="84">
        <v>2.5</v>
      </c>
      <c r="I102" s="85">
        <v>4</v>
      </c>
      <c r="J102" s="85">
        <v>6</v>
      </c>
      <c r="K102" s="89">
        <f t="shared" si="46"/>
        <v>1.6666666666666667</v>
      </c>
      <c r="L102" s="33">
        <v>140</v>
      </c>
      <c r="M102" s="33">
        <v>81</v>
      </c>
      <c r="N102" s="33">
        <v>54</v>
      </c>
      <c r="O102" s="33">
        <v>51.5</v>
      </c>
      <c r="P102" s="33">
        <v>23.33</v>
      </c>
      <c r="Q102" s="33">
        <v>7.93</v>
      </c>
      <c r="R102" s="33">
        <v>6.5000000000000002E-2</v>
      </c>
      <c r="S102" s="33">
        <v>1.76</v>
      </c>
      <c r="T102" s="33">
        <v>0.21</v>
      </c>
      <c r="U102" s="33">
        <v>0.42</v>
      </c>
      <c r="V102" s="33">
        <v>1.61</v>
      </c>
      <c r="W102" s="33">
        <v>1.099</v>
      </c>
      <c r="X102" s="33">
        <v>0.03</v>
      </c>
      <c r="Y102" s="33">
        <v>10.73</v>
      </c>
      <c r="Z102" s="33">
        <v>98.68</v>
      </c>
      <c r="AA102" s="33">
        <v>19</v>
      </c>
      <c r="AB102" s="33">
        <v>1</v>
      </c>
      <c r="AC102" s="33">
        <v>141</v>
      </c>
      <c r="AD102" s="33">
        <v>0</v>
      </c>
      <c r="AE102" s="33">
        <v>13</v>
      </c>
      <c r="AF102" s="33">
        <v>0</v>
      </c>
      <c r="AG102" s="33">
        <v>40</v>
      </c>
      <c r="AH102" s="33">
        <v>100</v>
      </c>
      <c r="AI102" s="33">
        <v>30</v>
      </c>
      <c r="AJ102" s="33">
        <v>2</v>
      </c>
      <c r="AK102" s="33">
        <v>0</v>
      </c>
      <c r="AL102" s="33">
        <v>102</v>
      </c>
      <c r="AM102" s="33">
        <v>77</v>
      </c>
      <c r="AN102" s="68">
        <f>'O.G.Chem Results'!AN102/'O.G.Chem Results'!$AN$142</f>
        <v>4.4871794871794872</v>
      </c>
      <c r="AO102" s="33">
        <v>226</v>
      </c>
      <c r="AP102" s="33">
        <v>17</v>
      </c>
      <c r="AQ102" s="33" t="s">
        <v>72</v>
      </c>
      <c r="AR102" s="33" t="s">
        <v>74</v>
      </c>
      <c r="AS102" s="33" t="s">
        <v>73</v>
      </c>
      <c r="AT102" s="33">
        <v>2</v>
      </c>
      <c r="AU102" s="33" t="s">
        <v>74</v>
      </c>
      <c r="AV102" s="33">
        <v>4</v>
      </c>
      <c r="AW102" s="33">
        <v>336</v>
      </c>
      <c r="AX102" s="33" t="s">
        <v>75</v>
      </c>
      <c r="AY102" s="68">
        <f>'O.G.Chem Results'!AY102/'O.G.Chem Results'!AY$142</f>
        <v>137.02127659574469</v>
      </c>
      <c r="AZ102" s="68">
        <f>'O.G.Chem Results'!AZ102/'O.G.Chem Results'!AZ$142</f>
        <v>122.51326259946948</v>
      </c>
      <c r="BA102" s="68">
        <f>'O.G.Chem Results'!BA102/'O.G.Chem Results'!BA$142</f>
        <v>88.776655443322113</v>
      </c>
      <c r="BB102" s="68">
        <f>'O.G.Chem Results'!BB102/'O.G.Chem Results'!BB$142</f>
        <v>66.091954022988503</v>
      </c>
      <c r="BC102" s="68">
        <f>'O.G.Chem Results'!BC102/'O.G.Chem Results'!BC$142</f>
        <v>30.59143439836846</v>
      </c>
      <c r="BD102" s="68">
        <f>'O.G.Chem Results'!BD102/'O.G.Chem Results'!BD$142</f>
        <v>17.857142857142858</v>
      </c>
      <c r="BE102" s="68">
        <f>'O.G.Chem Results'!BE102/'O.G.Chem Results'!BE$142</f>
        <v>15.909090909090908</v>
      </c>
      <c r="BF102" s="68">
        <f>'O.G.Chem Results'!BF102/'O.G.Chem Results'!BF$142</f>
        <v>8.2644628099173545</v>
      </c>
      <c r="BG102" s="68">
        <f>'O.G.Chem Results'!BG102/'O.G.Chem Results'!BG$142</f>
        <v>7.4165636588380721</v>
      </c>
      <c r="BH102" s="68">
        <f>'O.G.Chem Results'!BH102/'O.G.Chem Results'!BH$142</f>
        <v>5.3956834532374094</v>
      </c>
      <c r="BI102" s="68">
        <f>'O.G.Chem Results'!BI102/'O.G.Chem Results'!BI$142</f>
        <v>6.293266205160478</v>
      </c>
      <c r="BJ102" s="68">
        <f>'O.G.Chem Results'!BJ102/'O.G.Chem Results'!BJ$142</f>
        <v>6.1983471074380168</v>
      </c>
      <c r="BK102" s="68">
        <f>'O.G.Chem Results'!BK102/'O.G.Chem Results'!BK$142</f>
        <v>6.7692307692307692</v>
      </c>
      <c r="BL102" s="68">
        <f>'O.G.Chem Results'!BL102/'O.G.Chem Results'!BL$142</f>
        <v>7.4074074074074066</v>
      </c>
      <c r="BM102" s="33">
        <v>5.7</v>
      </c>
      <c r="BN102" s="33">
        <v>0.8</v>
      </c>
      <c r="BO102" s="33">
        <v>0</v>
      </c>
      <c r="BP102" s="33">
        <v>0.7</v>
      </c>
      <c r="BQ102" s="33">
        <v>28</v>
      </c>
      <c r="BR102" s="33">
        <v>15.4</v>
      </c>
      <c r="BS102" s="33">
        <v>2</v>
      </c>
      <c r="BT102" s="34">
        <f t="shared" si="32"/>
        <v>0.47204993593287653</v>
      </c>
      <c r="BU102" s="282">
        <f t="shared" si="33"/>
        <v>526.50577823735637</v>
      </c>
      <c r="BV102" s="35">
        <f t="shared" si="34"/>
        <v>103</v>
      </c>
      <c r="BW102" s="79">
        <f t="shared" si="48"/>
        <v>91.239734063355499</v>
      </c>
      <c r="BX102" s="69">
        <f t="shared" si="36"/>
        <v>1.3800166495085626</v>
      </c>
      <c r="BY102" s="34">
        <v>9.2100000000000009</v>
      </c>
      <c r="BZ102" s="34">
        <v>0</v>
      </c>
      <c r="CA102" s="34">
        <v>16.149999999999999</v>
      </c>
      <c r="CB102" s="34">
        <v>0</v>
      </c>
      <c r="CC102" s="34">
        <v>2.34</v>
      </c>
      <c r="CD102" s="34">
        <v>0</v>
      </c>
      <c r="CE102" s="34">
        <v>0</v>
      </c>
      <c r="CF102" s="34">
        <v>0</v>
      </c>
      <c r="CG102" s="34">
        <v>0</v>
      </c>
      <c r="CH102" s="34">
        <v>2.5099999999999998</v>
      </c>
      <c r="CI102" s="34">
        <v>7.49</v>
      </c>
      <c r="CJ102" s="34">
        <v>0</v>
      </c>
      <c r="CK102" s="34">
        <v>15.21</v>
      </c>
      <c r="CL102" s="34">
        <v>15.35</v>
      </c>
      <c r="CM102" s="34">
        <v>0.2</v>
      </c>
      <c r="CN102" s="34">
        <v>26.06</v>
      </c>
      <c r="CO102" s="34">
        <v>0</v>
      </c>
      <c r="CP102" s="34">
        <v>5</v>
      </c>
      <c r="CQ102" s="34">
        <v>0</v>
      </c>
      <c r="CR102" s="34">
        <v>0</v>
      </c>
      <c r="CS102" s="34">
        <v>0.26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282">
        <v>99.780000000000015</v>
      </c>
      <c r="CZ102" s="286">
        <v>0.17831511538036873</v>
      </c>
      <c r="DA102" s="286">
        <v>0</v>
      </c>
      <c r="DB102" s="286">
        <v>2.5836369658827421E-2</v>
      </c>
      <c r="DC102" s="286">
        <v>0</v>
      </c>
      <c r="DD102" s="286">
        <v>0</v>
      </c>
      <c r="DE102" s="286">
        <v>0</v>
      </c>
      <c r="DF102" s="286">
        <v>0</v>
      </c>
      <c r="DG102" s="286">
        <v>2.771337087335762E-2</v>
      </c>
      <c r="DH102" s="286">
        <v>8.2698465275477528E-2</v>
      </c>
      <c r="DI102" s="286">
        <v>0</v>
      </c>
      <c r="DJ102" s="286">
        <v>0.16793640278237826</v>
      </c>
      <c r="DK102" s="286">
        <v>0.16948216848846195</v>
      </c>
      <c r="DL102" s="286">
        <v>2.208236722976703E-3</v>
      </c>
      <c r="DM102" s="286">
        <v>0.28773324500386438</v>
      </c>
      <c r="DN102" s="286">
        <v>0</v>
      </c>
      <c r="DO102" s="286">
        <v>5.5205918074417576E-2</v>
      </c>
      <c r="DP102" s="286">
        <v>0</v>
      </c>
      <c r="DQ102" s="286">
        <v>0</v>
      </c>
      <c r="DR102" s="286">
        <v>2.8707077398697138E-3</v>
      </c>
      <c r="DS102" s="286">
        <v>0</v>
      </c>
      <c r="DT102" s="286">
        <v>0</v>
      </c>
      <c r="DU102" s="286">
        <v>0</v>
      </c>
      <c r="DV102" s="286">
        <v>0</v>
      </c>
      <c r="DW102" s="286">
        <v>0</v>
      </c>
      <c r="DX102" s="34">
        <v>0.99999999999999978</v>
      </c>
      <c r="DY102" s="79">
        <v>51.81009843544139</v>
      </c>
      <c r="DZ102" s="79">
        <v>29.329753234427475</v>
      </c>
      <c r="EA102" s="79">
        <v>2.5837756033418655</v>
      </c>
      <c r="EB102" s="79">
        <v>2.0748853221424182</v>
      </c>
      <c r="EC102" s="79">
        <v>0</v>
      </c>
      <c r="ED102" s="79">
        <v>0.73728036151322784</v>
      </c>
      <c r="EE102" s="79">
        <v>2.0220985787429047E-3</v>
      </c>
      <c r="EF102" s="79">
        <v>0.30544733366156557</v>
      </c>
      <c r="EG102" s="79">
        <v>3.7287482618303462</v>
      </c>
      <c r="EH102" s="79">
        <v>0.15425475001062655</v>
      </c>
      <c r="EI102" s="79">
        <v>0</v>
      </c>
      <c r="EJ102" s="79">
        <v>9.2737345990523323</v>
      </c>
      <c r="EK102" s="79">
        <v>0</v>
      </c>
      <c r="EL102" s="79">
        <v>99.999999999999986</v>
      </c>
      <c r="EM102" s="34">
        <v>87.903191240200684</v>
      </c>
      <c r="EN102" s="34" t="s">
        <v>485</v>
      </c>
      <c r="EO102" s="290">
        <v>4.8454006044771014E-2</v>
      </c>
      <c r="EP102" s="257">
        <f t="shared" si="37"/>
        <v>4.845400604477101</v>
      </c>
      <c r="EQ102" s="257">
        <f t="shared" si="38"/>
        <v>54.648342764753437</v>
      </c>
      <c r="ER102" s="324">
        <f t="shared" si="39"/>
        <v>0.76804047864286418</v>
      </c>
      <c r="ES102" s="257">
        <f t="shared" si="40"/>
        <v>1.0805718914213243</v>
      </c>
      <c r="ET102">
        <f t="shared" si="35"/>
        <v>103</v>
      </c>
      <c r="EU102" s="324">
        <f t="shared" si="41"/>
        <v>0.71077221676812852</v>
      </c>
      <c r="EV102" s="39">
        <f t="shared" si="42"/>
        <v>165.37</v>
      </c>
      <c r="EX102">
        <f t="shared" si="43"/>
        <v>0.83162393162393178</v>
      </c>
    </row>
    <row r="103" spans="1:160" ht="13" customHeight="1" x14ac:dyDescent="0.2">
      <c r="A103" s="30" t="s">
        <v>486</v>
      </c>
      <c r="B103" s="31" t="s">
        <v>461</v>
      </c>
      <c r="C103" s="86">
        <f t="shared" si="47"/>
        <v>164.82500000000002</v>
      </c>
      <c r="D103" s="32">
        <v>129</v>
      </c>
      <c r="E103" s="32">
        <v>186</v>
      </c>
      <c r="F103" s="33">
        <f t="shared" ref="F103:F123" si="49">AVERAGE(D103:E103)</f>
        <v>157.5</v>
      </c>
      <c r="G103" s="31" t="s">
        <v>507</v>
      </c>
      <c r="H103" s="84">
        <v>2.5</v>
      </c>
      <c r="I103" s="85">
        <v>4</v>
      </c>
      <c r="J103" s="85">
        <v>6</v>
      </c>
      <c r="K103" s="89">
        <f t="shared" si="46"/>
        <v>1.6666666666666667</v>
      </c>
      <c r="L103" s="33">
        <v>140</v>
      </c>
      <c r="M103" s="33">
        <v>81</v>
      </c>
      <c r="N103" s="33">
        <v>54</v>
      </c>
      <c r="O103" s="33">
        <v>58.2</v>
      </c>
      <c r="P103" s="33">
        <v>22.46</v>
      </c>
      <c r="Q103" s="33">
        <v>5.09</v>
      </c>
      <c r="R103" s="33">
        <v>6.5000000000000002E-2</v>
      </c>
      <c r="S103" s="33">
        <v>1.69</v>
      </c>
      <c r="T103" s="33">
        <v>0.52</v>
      </c>
      <c r="U103" s="33">
        <v>1.1200000000000001</v>
      </c>
      <c r="V103" s="33">
        <v>1.83</v>
      </c>
      <c r="W103" s="33">
        <v>0.70199999999999996</v>
      </c>
      <c r="X103" s="33">
        <v>0.03</v>
      </c>
      <c r="Y103" s="33">
        <v>8.77</v>
      </c>
      <c r="Z103" s="33">
        <v>100.5</v>
      </c>
      <c r="AA103" s="33">
        <v>14</v>
      </c>
      <c r="AB103" s="33">
        <v>2</v>
      </c>
      <c r="AC103" s="33">
        <v>92</v>
      </c>
      <c r="AD103" s="33">
        <v>0</v>
      </c>
      <c r="AE103" s="33">
        <v>10</v>
      </c>
      <c r="AF103" s="33">
        <v>0</v>
      </c>
      <c r="AG103" s="33">
        <v>20</v>
      </c>
      <c r="AH103" s="33">
        <v>60</v>
      </c>
      <c r="AI103" s="33">
        <v>27</v>
      </c>
      <c r="AJ103" s="33">
        <v>2</v>
      </c>
      <c r="AK103" s="33">
        <v>0</v>
      </c>
      <c r="AL103" s="33">
        <v>87</v>
      </c>
      <c r="AM103" s="33">
        <v>169</v>
      </c>
      <c r="AN103" s="68">
        <f>'O.G.Chem Results'!AN103/'O.G.Chem Results'!$AN$142</f>
        <v>5.1282051282051277</v>
      </c>
      <c r="AO103" s="33">
        <v>194</v>
      </c>
      <c r="AP103" s="33">
        <v>12</v>
      </c>
      <c r="AQ103" s="33" t="s">
        <v>72</v>
      </c>
      <c r="AR103" s="33" t="s">
        <v>74</v>
      </c>
      <c r="AS103" s="33" t="s">
        <v>73</v>
      </c>
      <c r="AT103" s="33">
        <v>1</v>
      </c>
      <c r="AU103" s="33" t="s">
        <v>74</v>
      </c>
      <c r="AV103" s="33">
        <v>2.6</v>
      </c>
      <c r="AW103" s="33">
        <v>395</v>
      </c>
      <c r="AX103" s="33" t="s">
        <v>75</v>
      </c>
      <c r="AY103" s="68">
        <f>'O.G.Chem Results'!AY103/'O.G.Chem Results'!AY$142</f>
        <v>148.08510638297872</v>
      </c>
      <c r="AZ103" s="68">
        <f>'O.G.Chem Results'!AZ103/'O.G.Chem Results'!AZ$142</f>
        <v>188.99204244031827</v>
      </c>
      <c r="BA103" s="68">
        <f>'O.G.Chem Results'!BA103/'O.G.Chem Results'!BA$142</f>
        <v>95.286195286195294</v>
      </c>
      <c r="BB103" s="68">
        <f>'O.G.Chem Results'!BB103/'O.G.Chem Results'!BB$142</f>
        <v>69.849690539345715</v>
      </c>
      <c r="BC103" s="68">
        <f>'O.G.Chem Results'!BC103/'O.G.Chem Results'!BC$142</f>
        <v>35.350101971447998</v>
      </c>
      <c r="BD103" s="68">
        <f>'O.G.Chem Results'!BD103/'O.G.Chem Results'!BD$142</f>
        <v>24.464285714285715</v>
      </c>
      <c r="BE103" s="68">
        <f>'O.G.Chem Results'!BE103/'O.G.Chem Results'!BE$142</f>
        <v>18.181818181818183</v>
      </c>
      <c r="BF103" s="68">
        <f>'O.G.Chem Results'!BF103/'O.G.Chem Results'!BF$142</f>
        <v>11.019283746556475</v>
      </c>
      <c r="BG103" s="68">
        <f>'O.G.Chem Results'!BG103/'O.G.Chem Results'!BG$142</f>
        <v>8.6526576019777508</v>
      </c>
      <c r="BH103" s="68">
        <f>'O.G.Chem Results'!BH103/'O.G.Chem Results'!BH$142</f>
        <v>7.1942446043165464</v>
      </c>
      <c r="BI103" s="68">
        <f>'O.G.Chem Results'!BI103/'O.G.Chem Results'!BI$142</f>
        <v>6.9225928256765261</v>
      </c>
      <c r="BJ103" s="68">
        <f>'O.G.Chem Results'!BJ103/'O.G.Chem Results'!BJ$142</f>
        <v>6.6115702479338845</v>
      </c>
      <c r="BK103" s="68">
        <f>'O.G.Chem Results'!BK103/'O.G.Chem Results'!BK$142</f>
        <v>6.1538461538461533</v>
      </c>
      <c r="BL103" s="68">
        <f>'O.G.Chem Results'!BL103/'O.G.Chem Results'!BL$142</f>
        <v>6.5843621399176948</v>
      </c>
      <c r="BM103" s="33">
        <v>5.0999999999999996</v>
      </c>
      <c r="BN103" s="33">
        <v>0.6</v>
      </c>
      <c r="BO103" s="33">
        <v>0</v>
      </c>
      <c r="BP103" s="33">
        <v>0.6</v>
      </c>
      <c r="BQ103" s="33">
        <v>29</v>
      </c>
      <c r="BR103" s="33">
        <v>13.5</v>
      </c>
      <c r="BS103" s="33">
        <v>1.6</v>
      </c>
      <c r="BT103" s="34">
        <f t="shared" si="32"/>
        <v>0.56067889235467561</v>
      </c>
      <c r="BU103" s="282">
        <f t="shared" si="33"/>
        <v>633.34779783661475</v>
      </c>
      <c r="BV103" s="35">
        <f t="shared" si="34"/>
        <v>157.5</v>
      </c>
      <c r="BW103" s="79">
        <f t="shared" si="48"/>
        <v>86.617817200154263</v>
      </c>
      <c r="BX103" s="69">
        <f t="shared" si="36"/>
        <v>1.9834147210167676</v>
      </c>
      <c r="BY103" s="34">
        <v>9.01</v>
      </c>
      <c r="BZ103" s="34">
        <v>0</v>
      </c>
      <c r="CA103" s="34">
        <v>18.739999999999998</v>
      </c>
      <c r="CB103" s="34">
        <v>0</v>
      </c>
      <c r="CC103" s="34">
        <v>5.92</v>
      </c>
      <c r="CD103" s="34">
        <v>0</v>
      </c>
      <c r="CE103" s="34">
        <v>0</v>
      </c>
      <c r="CF103" s="34">
        <v>0</v>
      </c>
      <c r="CG103" s="34">
        <v>0</v>
      </c>
      <c r="CH103" s="34">
        <v>1.05</v>
      </c>
      <c r="CI103" s="34">
        <v>5.59</v>
      </c>
      <c r="CJ103" s="34">
        <v>0</v>
      </c>
      <c r="CK103" s="34">
        <v>15.5</v>
      </c>
      <c r="CL103" s="34">
        <v>15.35</v>
      </c>
      <c r="CM103" s="34">
        <v>0.2</v>
      </c>
      <c r="CN103" s="34">
        <v>21.91</v>
      </c>
      <c r="CO103" s="34">
        <v>0</v>
      </c>
      <c r="CP103" s="34">
        <v>6.36</v>
      </c>
      <c r="CQ103" s="34">
        <v>0</v>
      </c>
      <c r="CR103" s="34">
        <v>0</v>
      </c>
      <c r="CS103" s="34">
        <v>0.37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282">
        <v>100</v>
      </c>
      <c r="CZ103" s="286">
        <v>0.13839121079416494</v>
      </c>
      <c r="DA103" s="286">
        <v>0</v>
      </c>
      <c r="DB103" s="286">
        <v>4.8638771443152824E-2</v>
      </c>
      <c r="DC103" s="286">
        <v>1.8800308744073219E-3</v>
      </c>
      <c r="DD103" s="286">
        <v>0</v>
      </c>
      <c r="DE103" s="286">
        <v>0</v>
      </c>
      <c r="DF103" s="286">
        <v>0</v>
      </c>
      <c r="DG103" s="286">
        <v>1.4628545619719938E-2</v>
      </c>
      <c r="DH103" s="286">
        <v>9.1630410275846591E-2</v>
      </c>
      <c r="DI103" s="286">
        <v>0</v>
      </c>
      <c r="DJ103" s="286">
        <v>0.16716370254897939</v>
      </c>
      <c r="DK103" s="286">
        <v>0.16716472521898013</v>
      </c>
      <c r="DL103" s="286">
        <v>1.269516972140022E-3</v>
      </c>
      <c r="DM103" s="286">
        <v>0.32519863264638033</v>
      </c>
      <c r="DN103" s="286">
        <v>0</v>
      </c>
      <c r="DO103" s="286">
        <v>3.9842456225432407E-2</v>
      </c>
      <c r="DP103" s="286">
        <v>0</v>
      </c>
      <c r="DQ103" s="286">
        <v>0</v>
      </c>
      <c r="DR103" s="286">
        <v>4.1919973807960321E-3</v>
      </c>
      <c r="DS103" s="286">
        <v>0</v>
      </c>
      <c r="DT103" s="286">
        <v>0</v>
      </c>
      <c r="DU103" s="286">
        <v>0</v>
      </c>
      <c r="DV103" s="286">
        <v>0</v>
      </c>
      <c r="DW103" s="286">
        <v>0</v>
      </c>
      <c r="DX103" s="34">
        <v>0.99999999999999989</v>
      </c>
      <c r="DY103" s="79">
        <v>50.320426975248026</v>
      </c>
      <c r="DZ103" s="79">
        <v>30.947867290206354</v>
      </c>
      <c r="EA103" s="79">
        <v>1.4850442270358302</v>
      </c>
      <c r="EB103" s="79">
        <v>2.24383981806624</v>
      </c>
      <c r="EC103" s="79">
        <v>0</v>
      </c>
      <c r="ED103" s="79">
        <v>0.77523430052315512</v>
      </c>
      <c r="EE103" s="79">
        <v>3.9064838993019581E-2</v>
      </c>
      <c r="EF103" s="79">
        <v>0.57502595163594628</v>
      </c>
      <c r="EG103" s="79">
        <v>3.9635911108727857</v>
      </c>
      <c r="EH103" s="79">
        <v>0.17434006898296114</v>
      </c>
      <c r="EI103" s="79">
        <v>0</v>
      </c>
      <c r="EJ103" s="79">
        <v>9.4755654184356768</v>
      </c>
      <c r="EK103" s="79">
        <v>0</v>
      </c>
      <c r="EL103" s="79">
        <v>100</v>
      </c>
      <c r="EM103" s="34">
        <v>87.159597748981582</v>
      </c>
      <c r="EN103" s="34" t="s">
        <v>486</v>
      </c>
      <c r="EO103" s="290">
        <v>3.9308296287280317E-2</v>
      </c>
      <c r="EP103" s="257">
        <f t="shared" si="37"/>
        <v>3.9308296287280315</v>
      </c>
      <c r="EQ103" s="257">
        <f t="shared" si="38"/>
        <v>51.210888295222297</v>
      </c>
      <c r="ER103" s="324">
        <f t="shared" si="39"/>
        <v>0.91400740508625511</v>
      </c>
      <c r="ES103" s="257">
        <f t="shared" si="40"/>
        <v>1.5490308647178423</v>
      </c>
      <c r="ET103">
        <f t="shared" si="35"/>
        <v>157.5</v>
      </c>
      <c r="EU103" s="324">
        <f t="shared" si="41"/>
        <v>0.59005112545174665</v>
      </c>
      <c r="EV103" s="39">
        <f t="shared" si="42"/>
        <v>164.82500000000002</v>
      </c>
      <c r="EX103">
        <f t="shared" si="43"/>
        <v>0.71282051282051284</v>
      </c>
    </row>
    <row r="104" spans="1:160" ht="13" customHeight="1" x14ac:dyDescent="0.2">
      <c r="A104" s="30" t="s">
        <v>487</v>
      </c>
      <c r="B104" s="31" t="s">
        <v>461</v>
      </c>
      <c r="C104" s="86">
        <f t="shared" si="47"/>
        <v>164.095</v>
      </c>
      <c r="D104" s="32">
        <v>186</v>
      </c>
      <c r="E104" s="32">
        <v>275</v>
      </c>
      <c r="F104" s="33">
        <f t="shared" si="49"/>
        <v>230.5</v>
      </c>
      <c r="G104" s="31" t="s">
        <v>506</v>
      </c>
      <c r="H104" s="84">
        <v>5</v>
      </c>
      <c r="I104" s="85">
        <v>4</v>
      </c>
      <c r="J104" s="85">
        <v>6</v>
      </c>
      <c r="K104" s="89">
        <f t="shared" si="46"/>
        <v>3.3333333333333335</v>
      </c>
      <c r="L104" s="33">
        <v>136</v>
      </c>
      <c r="M104" s="33">
        <v>83</v>
      </c>
      <c r="N104" s="33">
        <v>47</v>
      </c>
      <c r="O104" s="33">
        <v>52.51</v>
      </c>
      <c r="P104" s="33">
        <v>21.36</v>
      </c>
      <c r="Q104" s="33">
        <v>6.9</v>
      </c>
      <c r="R104" s="33">
        <v>0.123</v>
      </c>
      <c r="S104" s="33">
        <v>3.77</v>
      </c>
      <c r="T104" s="33">
        <v>0.75</v>
      </c>
      <c r="U104" s="33">
        <v>1.56</v>
      </c>
      <c r="V104" s="33">
        <v>2.94</v>
      </c>
      <c r="W104" s="33">
        <v>0.85299999999999998</v>
      </c>
      <c r="X104" s="33">
        <v>0.01</v>
      </c>
      <c r="Y104" s="33">
        <v>8.08</v>
      </c>
      <c r="Z104" s="33">
        <v>98.85</v>
      </c>
      <c r="AA104" s="33">
        <v>16</v>
      </c>
      <c r="AB104" s="33">
        <v>2</v>
      </c>
      <c r="AC104" s="33">
        <v>136</v>
      </c>
      <c r="AD104" s="33">
        <v>0</v>
      </c>
      <c r="AE104" s="33">
        <v>16</v>
      </c>
      <c r="AF104" s="33">
        <v>0</v>
      </c>
      <c r="AG104" s="33">
        <v>10</v>
      </c>
      <c r="AH104" s="33">
        <v>80</v>
      </c>
      <c r="AI104" s="33">
        <v>28</v>
      </c>
      <c r="AJ104" s="33">
        <v>2</v>
      </c>
      <c r="AK104" s="33">
        <v>0</v>
      </c>
      <c r="AL104" s="33">
        <v>162</v>
      </c>
      <c r="AM104" s="33">
        <v>183</v>
      </c>
      <c r="AN104" s="68">
        <f>'O.G.Chem Results'!AN104/'O.G.Chem Results'!$AN$142</f>
        <v>11.538461538461538</v>
      </c>
      <c r="AO104" s="33">
        <v>258</v>
      </c>
      <c r="AP104" s="33">
        <v>15</v>
      </c>
      <c r="AQ104" s="33" t="s">
        <v>72</v>
      </c>
      <c r="AR104" s="33">
        <v>0.5</v>
      </c>
      <c r="AS104" s="33" t="s">
        <v>73</v>
      </c>
      <c r="AT104" s="33">
        <v>2</v>
      </c>
      <c r="AU104" s="33" t="s">
        <v>74</v>
      </c>
      <c r="AV104" s="33">
        <v>4.5</v>
      </c>
      <c r="AW104" s="33">
        <v>369</v>
      </c>
      <c r="AX104" s="33" t="s">
        <v>75</v>
      </c>
      <c r="AY104" s="68">
        <f>'O.G.Chem Results'!AY104/'O.G.Chem Results'!AY$142</f>
        <v>389.36170212765961</v>
      </c>
      <c r="AZ104" s="68">
        <f>'O.G.Chem Results'!AZ104/'O.G.Chem Results'!AZ$142</f>
        <v>278.51458885941639</v>
      </c>
      <c r="BA104" s="68">
        <f>'O.G.Chem Results'!BA104/'O.G.Chem Results'!BA$142</f>
        <v>235.69023569023568</v>
      </c>
      <c r="BB104" s="68">
        <f>'O.G.Chem Results'!BB104/'O.G.Chem Results'!BB$142</f>
        <v>167.10875331564986</v>
      </c>
      <c r="BC104" s="68">
        <f>'O.G.Chem Results'!BC104/'O.G.Chem Results'!BC$142</f>
        <v>80.21753908905508</v>
      </c>
      <c r="BD104" s="68">
        <f>'O.G.Chem Results'!BD104/'O.G.Chem Results'!BD$142</f>
        <v>49.642857142857139</v>
      </c>
      <c r="BE104" s="68">
        <f>'O.G.Chem Results'!BE104/'O.G.Chem Results'!BE$142</f>
        <v>40.909090909090914</v>
      </c>
      <c r="BF104" s="68">
        <f>'O.G.Chem Results'!BF104/'O.G.Chem Results'!BF$142</f>
        <v>24.793388429752067</v>
      </c>
      <c r="BG104" s="68">
        <f>'O.G.Chem Results'!BG104/'O.G.Chem Results'!BG$142</f>
        <v>18.129377832715289</v>
      </c>
      <c r="BH104" s="68">
        <f>'O.G.Chem Results'!BH104/'O.G.Chem Results'!BH$142</f>
        <v>14.388489208633093</v>
      </c>
      <c r="BI104" s="68">
        <f>'O.G.Chem Results'!BI104/'O.G.Chem Results'!BI$142</f>
        <v>14.474512271869097</v>
      </c>
      <c r="BJ104" s="68">
        <f>'O.G.Chem Results'!BJ104/'O.G.Chem Results'!BJ$142</f>
        <v>13.636363636363637</v>
      </c>
      <c r="BK104" s="68">
        <f>'O.G.Chem Results'!BK104/'O.G.Chem Results'!BK$142</f>
        <v>14.769230769230768</v>
      </c>
      <c r="BL104" s="68">
        <f>'O.G.Chem Results'!BL104/'O.G.Chem Results'!BL$142</f>
        <v>15.226337448559669</v>
      </c>
      <c r="BM104" s="33">
        <v>6.5</v>
      </c>
      <c r="BN104" s="33">
        <v>0.9</v>
      </c>
      <c r="BO104" s="33">
        <v>0</v>
      </c>
      <c r="BP104" s="33">
        <v>0.9</v>
      </c>
      <c r="BQ104" s="33">
        <v>24</v>
      </c>
      <c r="BR104" s="33">
        <v>11.2</v>
      </c>
      <c r="BS104" s="33">
        <v>1.4</v>
      </c>
      <c r="BT104" s="34">
        <f t="shared" si="32"/>
        <v>0.41701523563262094</v>
      </c>
      <c r="BU104" s="282">
        <f t="shared" si="33"/>
        <v>1356.8624667310883</v>
      </c>
      <c r="BV104" s="35">
        <f t="shared" si="34"/>
        <v>230.5</v>
      </c>
      <c r="BW104" s="79">
        <f t="shared" si="48"/>
        <v>80.270574971815108</v>
      </c>
      <c r="BX104" s="69">
        <f t="shared" si="36"/>
        <v>1.1816976127320953</v>
      </c>
      <c r="BY104" s="34">
        <v>9.36</v>
      </c>
      <c r="BZ104" s="34">
        <v>0.11</v>
      </c>
      <c r="CA104" s="34">
        <v>8.93</v>
      </c>
      <c r="CB104" s="34">
        <v>0</v>
      </c>
      <c r="CC104" s="34">
        <v>6.4790000000000001</v>
      </c>
      <c r="CD104" s="34">
        <v>0.34100000000000003</v>
      </c>
      <c r="CE104" s="34">
        <v>0</v>
      </c>
      <c r="CF104" s="34">
        <v>0</v>
      </c>
      <c r="CG104" s="34">
        <v>0</v>
      </c>
      <c r="CH104" s="34">
        <v>0.14000000000000001</v>
      </c>
      <c r="CI104" s="34">
        <v>9.1199999999999992</v>
      </c>
      <c r="CJ104" s="34">
        <v>0</v>
      </c>
      <c r="CK104" s="34">
        <v>15.09</v>
      </c>
      <c r="CL104" s="34">
        <v>14.95</v>
      </c>
      <c r="CM104" s="34">
        <v>0.03</v>
      </c>
      <c r="CN104" s="34">
        <v>32.89</v>
      </c>
      <c r="CO104" s="34">
        <v>0</v>
      </c>
      <c r="CP104" s="34">
        <v>2.2200000000000002</v>
      </c>
      <c r="CQ104" s="34">
        <v>0</v>
      </c>
      <c r="CR104" s="34">
        <v>0</v>
      </c>
      <c r="CS104" s="34">
        <v>0.5</v>
      </c>
      <c r="CT104" s="34">
        <v>0</v>
      </c>
      <c r="CU104" s="34">
        <v>0</v>
      </c>
      <c r="CV104" s="34">
        <v>0</v>
      </c>
      <c r="CW104" s="34">
        <v>0</v>
      </c>
      <c r="CX104" s="34">
        <v>0</v>
      </c>
      <c r="CY104" s="282">
        <v>100.16</v>
      </c>
      <c r="CZ104" s="286">
        <v>9.846730620796118E-2</v>
      </c>
      <c r="DA104" s="286">
        <v>0</v>
      </c>
      <c r="DB104" s="286">
        <v>7.1441173227478227E-2</v>
      </c>
      <c r="DC104" s="286">
        <v>3.7600617488146438E-3</v>
      </c>
      <c r="DD104" s="286">
        <v>0</v>
      </c>
      <c r="DE104" s="286">
        <v>0</v>
      </c>
      <c r="DF104" s="286">
        <v>0</v>
      </c>
      <c r="DG104" s="286">
        <v>1.5437203660822584E-3</v>
      </c>
      <c r="DH104" s="286">
        <v>0.10056235527621567</v>
      </c>
      <c r="DI104" s="286">
        <v>0</v>
      </c>
      <c r="DJ104" s="286">
        <v>0.16639100231558054</v>
      </c>
      <c r="DK104" s="286">
        <v>0.1648472819494983</v>
      </c>
      <c r="DL104" s="286">
        <v>3.3079722130334107E-4</v>
      </c>
      <c r="DM104" s="286">
        <v>0.36266402028889627</v>
      </c>
      <c r="DN104" s="286">
        <v>0</v>
      </c>
      <c r="DO104" s="286">
        <v>2.4478994376447242E-2</v>
      </c>
      <c r="DP104" s="286">
        <v>0</v>
      </c>
      <c r="DQ104" s="286">
        <v>0</v>
      </c>
      <c r="DR104" s="286">
        <v>5.5132870217223509E-3</v>
      </c>
      <c r="DS104" s="286">
        <v>0</v>
      </c>
      <c r="DT104" s="286">
        <v>0</v>
      </c>
      <c r="DU104" s="286">
        <v>0</v>
      </c>
      <c r="DV104" s="286">
        <v>0</v>
      </c>
      <c r="DW104" s="286">
        <v>0</v>
      </c>
      <c r="DX104" s="34">
        <v>1</v>
      </c>
      <c r="DY104" s="79">
        <v>48.830755515054662</v>
      </c>
      <c r="DZ104" s="79">
        <v>32.565981345985229</v>
      </c>
      <c r="EA104" s="79">
        <v>0.3863128507297951</v>
      </c>
      <c r="EB104" s="79">
        <v>2.4127943139900618</v>
      </c>
      <c r="EC104" s="79">
        <v>0</v>
      </c>
      <c r="ED104" s="79">
        <v>0.8131882395330825</v>
      </c>
      <c r="EE104" s="79">
        <v>7.6107579407296261E-2</v>
      </c>
      <c r="EF104" s="79">
        <v>0.84460456961032693</v>
      </c>
      <c r="EG104" s="79">
        <v>4.1984339599152252</v>
      </c>
      <c r="EH104" s="79">
        <v>0.19442538795529571</v>
      </c>
      <c r="EI104" s="79">
        <v>0</v>
      </c>
      <c r="EJ104" s="79">
        <v>9.6773962378190213</v>
      </c>
      <c r="EK104" s="79">
        <v>0</v>
      </c>
      <c r="EL104" s="79">
        <v>100</v>
      </c>
      <c r="EM104" s="34">
        <v>86.416004257762495</v>
      </c>
      <c r="EN104" s="34" t="s">
        <v>487</v>
      </c>
      <c r="EO104" s="290">
        <v>3.0162586529789627E-2</v>
      </c>
      <c r="EP104" s="257">
        <f t="shared" si="37"/>
        <v>3.0162586529789626</v>
      </c>
      <c r="EQ104" s="257">
        <f t="shared" si="38"/>
        <v>48.085158448550104</v>
      </c>
      <c r="ER104" s="324">
        <f t="shared" si="39"/>
        <v>0.81968526893907623</v>
      </c>
      <c r="ES104" s="257">
        <f t="shared" si="40"/>
        <v>0.88339538880137458</v>
      </c>
      <c r="ET104">
        <f t="shared" si="35"/>
        <v>230.5</v>
      </c>
      <c r="EU104" s="324">
        <f t="shared" si="41"/>
        <v>0.92788040251291926</v>
      </c>
      <c r="EV104" s="39">
        <f t="shared" si="42"/>
        <v>164.095</v>
      </c>
      <c r="EX104">
        <f t="shared" si="43"/>
        <v>0.80192307692307696</v>
      </c>
      <c r="EZ104" s="353">
        <f>AVERAGE(EZ99,EZ112)</f>
        <v>0.82392667213966109</v>
      </c>
      <c r="FA104" s="260" t="s">
        <v>669</v>
      </c>
    </row>
    <row r="105" spans="1:160" ht="13" customHeight="1" x14ac:dyDescent="0.2">
      <c r="A105" s="30" t="s">
        <v>170</v>
      </c>
      <c r="B105" s="31" t="s">
        <v>461</v>
      </c>
      <c r="C105" s="86">
        <f t="shared" si="47"/>
        <v>162.9</v>
      </c>
      <c r="D105" s="32">
        <v>300</v>
      </c>
      <c r="E105" s="32">
        <v>400</v>
      </c>
      <c r="F105" s="33">
        <f t="shared" si="49"/>
        <v>350</v>
      </c>
      <c r="G105" s="31" t="s">
        <v>515</v>
      </c>
      <c r="H105" s="84">
        <v>10</v>
      </c>
      <c r="I105" s="85">
        <v>4</v>
      </c>
      <c r="J105" s="85">
        <v>4</v>
      </c>
      <c r="K105" s="89">
        <f t="shared" si="46"/>
        <v>10</v>
      </c>
      <c r="L105" s="33">
        <v>120</v>
      </c>
      <c r="M105" s="33">
        <v>91</v>
      </c>
      <c r="N105" s="33">
        <v>54</v>
      </c>
      <c r="O105" s="33">
        <v>58.71</v>
      </c>
      <c r="P105" s="33">
        <v>18.420000000000002</v>
      </c>
      <c r="Q105" s="33">
        <v>6.11</v>
      </c>
      <c r="R105" s="33">
        <v>0.111</v>
      </c>
      <c r="S105" s="33">
        <v>3.18</v>
      </c>
      <c r="T105" s="33">
        <v>0.91</v>
      </c>
      <c r="U105" s="33">
        <v>2.0099999999999998</v>
      </c>
      <c r="V105" s="33">
        <v>3.98</v>
      </c>
      <c r="W105" s="33">
        <v>0.88700000000000001</v>
      </c>
      <c r="X105" s="33">
        <v>0.03</v>
      </c>
      <c r="Y105" s="33">
        <v>5.2</v>
      </c>
      <c r="Z105" s="33">
        <v>99.54</v>
      </c>
      <c r="AA105" s="33">
        <v>12</v>
      </c>
      <c r="AB105" s="33">
        <v>2</v>
      </c>
      <c r="AC105" s="33">
        <v>102</v>
      </c>
      <c r="AD105" s="33">
        <v>0</v>
      </c>
      <c r="AE105" s="33">
        <v>12</v>
      </c>
      <c r="AF105" s="33">
        <v>0</v>
      </c>
      <c r="AG105" s="33">
        <v>40</v>
      </c>
      <c r="AH105" s="33">
        <v>90</v>
      </c>
      <c r="AI105" s="33">
        <v>17</v>
      </c>
      <c r="AJ105" s="33">
        <v>1</v>
      </c>
      <c r="AK105" s="33">
        <v>0</v>
      </c>
      <c r="AL105" s="33">
        <v>146</v>
      </c>
      <c r="AM105" s="33">
        <v>330</v>
      </c>
      <c r="AN105" s="68">
        <f>'O.G.Chem Results'!AN105/'O.G.Chem Results'!$AN$142</f>
        <v>12.820512820512819</v>
      </c>
      <c r="AO105" s="33">
        <v>409</v>
      </c>
      <c r="AP105" s="33">
        <v>10</v>
      </c>
      <c r="AQ105" s="33" t="s">
        <v>72</v>
      </c>
      <c r="AR105" s="33">
        <v>1.4</v>
      </c>
      <c r="AS105" s="33" t="s">
        <v>73</v>
      </c>
      <c r="AT105" s="33">
        <v>1</v>
      </c>
      <c r="AU105" s="33" t="s">
        <v>74</v>
      </c>
      <c r="AV105" s="33">
        <v>3</v>
      </c>
      <c r="AW105" s="33">
        <v>959</v>
      </c>
      <c r="AX105" s="33" t="s">
        <v>75</v>
      </c>
      <c r="AY105" s="68">
        <f>'O.G.Chem Results'!AY105/'O.G.Chem Results'!AY$142</f>
        <v>493.61702127659578</v>
      </c>
      <c r="AZ105" s="68">
        <f>'O.G.Chem Results'!AZ105/'O.G.Chem Results'!AZ$142</f>
        <v>313.32891246684346</v>
      </c>
      <c r="BA105" s="68">
        <f>'O.G.Chem Results'!BA105/'O.G.Chem Results'!BA$142</f>
        <v>263.74859708193043</v>
      </c>
      <c r="BB105" s="68">
        <f>'O.G.Chem Results'!BB105/'O.G.Chem Results'!BB$142</f>
        <v>172.63483642793989</v>
      </c>
      <c r="BC105" s="68">
        <f>'O.G.Chem Results'!BC105/'O.G.Chem Results'!BC$142</f>
        <v>75.458871515975531</v>
      </c>
      <c r="BD105" s="68">
        <f>'O.G.Chem Results'!BD105/'O.G.Chem Results'!BD$142</f>
        <v>42.142857142857139</v>
      </c>
      <c r="BE105" s="68">
        <f>'O.G.Chem Results'!BE105/'O.G.Chem Results'!BE$142</f>
        <v>37.5</v>
      </c>
      <c r="BF105" s="68">
        <f>'O.G.Chem Results'!BF105/'O.G.Chem Results'!BF$142</f>
        <v>22.03856749311295</v>
      </c>
      <c r="BG105" s="68">
        <f>'O.G.Chem Results'!BG105/'O.G.Chem Results'!BG$142</f>
        <v>17.717346518335393</v>
      </c>
      <c r="BH105" s="68">
        <f>'O.G.Chem Results'!BH105/'O.G.Chem Results'!BH$142</f>
        <v>14.388489208633093</v>
      </c>
      <c r="BI105" s="68">
        <f>'O.G.Chem Results'!BI105/'O.G.Chem Results'!BI$142</f>
        <v>14.474512271869097</v>
      </c>
      <c r="BJ105" s="68">
        <f>'O.G.Chem Results'!BJ105/'O.G.Chem Results'!BJ$142</f>
        <v>13.223140495867769</v>
      </c>
      <c r="BK105" s="68">
        <f>'O.G.Chem Results'!BK105/'O.G.Chem Results'!BK$142</f>
        <v>12.923076923076923</v>
      </c>
      <c r="BL105" s="68">
        <f>'O.G.Chem Results'!BL105/'O.G.Chem Results'!BL$142</f>
        <v>13.991769547325102</v>
      </c>
      <c r="BM105" s="33">
        <v>8.8000000000000007</v>
      </c>
      <c r="BN105" s="33">
        <v>0.5</v>
      </c>
      <c r="BO105" s="33">
        <v>0</v>
      </c>
      <c r="BP105" s="33">
        <v>0.6</v>
      </c>
      <c r="BQ105" s="33">
        <v>25</v>
      </c>
      <c r="BR105" s="33">
        <v>18.100000000000001</v>
      </c>
      <c r="BS105" s="33">
        <v>2.4</v>
      </c>
      <c r="BT105" s="34">
        <f t="shared" ref="BT105:BT111" si="50">AZ105/(AY105+AZ105)</f>
        <v>0.38828984615277012</v>
      </c>
      <c r="BU105" s="282">
        <f t="shared" ref="BU105:BU111" si="51">SUM(AY105:BL105)</f>
        <v>1507.1879983703623</v>
      </c>
      <c r="BV105" s="35">
        <f t="shared" ref="BV105:BV118" si="52">F105</f>
        <v>350</v>
      </c>
      <c r="BW105" s="79">
        <f t="shared" si="48"/>
        <v>72.748815165876778</v>
      </c>
      <c r="BX105" s="69">
        <f t="shared" si="36"/>
        <v>1.1879832383317341</v>
      </c>
      <c r="BY105" s="34">
        <v>6.76</v>
      </c>
      <c r="BZ105" s="34">
        <v>0</v>
      </c>
      <c r="CA105" s="34">
        <v>14.61</v>
      </c>
      <c r="CB105" s="34">
        <v>0</v>
      </c>
      <c r="CC105" s="34">
        <v>10.754</v>
      </c>
      <c r="CD105" s="34">
        <v>0.56600000000000006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13.31</v>
      </c>
      <c r="CL105" s="34">
        <v>0</v>
      </c>
      <c r="CM105" s="34">
        <v>5.52</v>
      </c>
      <c r="CN105" s="34">
        <v>44.91</v>
      </c>
      <c r="CO105" s="34">
        <v>0</v>
      </c>
      <c r="CP105" s="34">
        <v>2.74</v>
      </c>
      <c r="CQ105" s="34">
        <v>0</v>
      </c>
      <c r="CR105" s="34">
        <v>0</v>
      </c>
      <c r="CS105" s="34">
        <v>0.82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282">
        <v>99.989999999999981</v>
      </c>
      <c r="CZ105" s="286">
        <v>0.15670921377239089</v>
      </c>
      <c r="DA105" s="286">
        <v>0</v>
      </c>
      <c r="DB105" s="286">
        <v>0.11534913654403092</v>
      </c>
      <c r="DC105" s="286">
        <v>6.0710071865279439E-3</v>
      </c>
      <c r="DD105" s="286">
        <v>0</v>
      </c>
      <c r="DE105" s="286">
        <v>0</v>
      </c>
      <c r="DF105" s="286">
        <v>0</v>
      </c>
      <c r="DG105" s="286">
        <v>0</v>
      </c>
      <c r="DH105" s="286">
        <v>0</v>
      </c>
      <c r="DI105" s="286">
        <v>0</v>
      </c>
      <c r="DJ105" s="286">
        <v>0.14276520433336912</v>
      </c>
      <c r="DK105" s="286">
        <v>0</v>
      </c>
      <c r="DL105" s="286">
        <v>5.9208409310307852E-2</v>
      </c>
      <c r="DM105" s="286">
        <v>0.48171189531266767</v>
      </c>
      <c r="DN105" s="286">
        <v>0</v>
      </c>
      <c r="DO105" s="286">
        <v>2.9389681433015135E-2</v>
      </c>
      <c r="DP105" s="286">
        <v>0</v>
      </c>
      <c r="DQ105" s="286">
        <v>0</v>
      </c>
      <c r="DR105" s="286">
        <v>8.795452107690659E-3</v>
      </c>
      <c r="DS105" s="286">
        <v>0</v>
      </c>
      <c r="DT105" s="286">
        <v>0</v>
      </c>
      <c r="DU105" s="286">
        <v>0</v>
      </c>
      <c r="DV105" s="286">
        <v>0</v>
      </c>
      <c r="DW105" s="286">
        <v>0</v>
      </c>
      <c r="DX105" s="34">
        <v>1</v>
      </c>
      <c r="DY105" s="79">
        <v>57.360994445943291</v>
      </c>
      <c r="DZ105" s="79">
        <v>25.552667632523995</v>
      </c>
      <c r="EA105" s="79">
        <v>0.45121583302342816</v>
      </c>
      <c r="EB105" s="79">
        <v>3.1907925530249273</v>
      </c>
      <c r="EC105" s="79">
        <v>0</v>
      </c>
      <c r="ED105" s="79">
        <v>1.1690462308760772</v>
      </c>
      <c r="EE105" s="79">
        <v>0.1766120203226503</v>
      </c>
      <c r="EF105" s="79">
        <v>1.3637011183380452</v>
      </c>
      <c r="EG105" s="79">
        <v>5.7968417135260975</v>
      </c>
      <c r="EH105" s="79">
        <v>0.2582473498590776</v>
      </c>
      <c r="EI105" s="79">
        <v>0</v>
      </c>
      <c r="EJ105" s="79">
        <v>4.6798811025624154</v>
      </c>
      <c r="EK105" s="79">
        <v>0</v>
      </c>
      <c r="EL105" s="79">
        <v>100.00000000000003</v>
      </c>
      <c r="EM105" s="34">
        <v>77.691716470657283</v>
      </c>
      <c r="EN105" s="34" t="s">
        <v>170</v>
      </c>
      <c r="EO105" s="290">
        <v>3.9291797158205986E-2</v>
      </c>
      <c r="EP105" s="257">
        <f t="shared" si="37"/>
        <v>3.9291797158205988</v>
      </c>
      <c r="EQ105" s="257">
        <f t="shared" si="38"/>
        <v>18.207934336525309</v>
      </c>
      <c r="ER105" s="324">
        <f t="shared" si="39"/>
        <v>0.74616285692792117</v>
      </c>
      <c r="ES105" s="257">
        <f t="shared" si="40"/>
        <v>0.81042500099342862</v>
      </c>
      <c r="ET105">
        <f t="shared" si="35"/>
        <v>350</v>
      </c>
      <c r="EU105" s="324">
        <f t="shared" si="41"/>
        <v>0.9207056248428489</v>
      </c>
      <c r="EV105" s="39">
        <f t="shared" si="42"/>
        <v>162.9</v>
      </c>
      <c r="EX105">
        <f t="shared" si="43"/>
        <v>0.89102564102564097</v>
      </c>
    </row>
    <row r="106" spans="1:160" ht="13" customHeight="1" x14ac:dyDescent="0.2">
      <c r="A106" s="30" t="s">
        <v>171</v>
      </c>
      <c r="B106" s="31" t="s">
        <v>461</v>
      </c>
      <c r="C106" s="86">
        <f t="shared" si="47"/>
        <v>161.9</v>
      </c>
      <c r="D106" s="32">
        <v>400</v>
      </c>
      <c r="E106" s="32">
        <v>500</v>
      </c>
      <c r="F106" s="33">
        <f t="shared" si="49"/>
        <v>450</v>
      </c>
      <c r="G106" s="31" t="s">
        <v>515</v>
      </c>
      <c r="H106" s="84">
        <v>10</v>
      </c>
      <c r="I106" s="85">
        <v>4</v>
      </c>
      <c r="J106" s="85">
        <v>4</v>
      </c>
      <c r="K106" s="89">
        <f t="shared" si="46"/>
        <v>10</v>
      </c>
      <c r="L106" s="33">
        <v>120</v>
      </c>
      <c r="M106" s="33">
        <v>91</v>
      </c>
      <c r="N106" s="33">
        <v>54</v>
      </c>
      <c r="O106" s="33">
        <v>60.68</v>
      </c>
      <c r="P106" s="33">
        <v>17.47</v>
      </c>
      <c r="Q106" s="33">
        <v>5.48</v>
      </c>
      <c r="R106" s="33">
        <v>0.108</v>
      </c>
      <c r="S106" s="33">
        <v>2.89</v>
      </c>
      <c r="T106" s="33">
        <v>1.1100000000000001</v>
      </c>
      <c r="U106" s="33">
        <v>2.46</v>
      </c>
      <c r="V106" s="33">
        <v>3.94</v>
      </c>
      <c r="W106" s="33">
        <v>0.76400000000000001</v>
      </c>
      <c r="X106" s="33">
        <v>0.03</v>
      </c>
      <c r="Y106" s="33">
        <v>4.2699999999999996</v>
      </c>
      <c r="Z106" s="33">
        <v>99.21</v>
      </c>
      <c r="AA106" s="33">
        <v>11</v>
      </c>
      <c r="AB106" s="33">
        <v>2</v>
      </c>
      <c r="AC106" s="33">
        <v>93</v>
      </c>
      <c r="AD106" s="33">
        <v>0</v>
      </c>
      <c r="AE106" s="33">
        <v>10</v>
      </c>
      <c r="AF106" s="33">
        <v>0</v>
      </c>
      <c r="AG106" s="33">
        <v>30</v>
      </c>
      <c r="AH106" s="33">
        <v>70</v>
      </c>
      <c r="AI106" s="33">
        <v>15</v>
      </c>
      <c r="AJ106" s="33">
        <v>1</v>
      </c>
      <c r="AK106" s="33">
        <v>0</v>
      </c>
      <c r="AL106" s="33">
        <v>139</v>
      </c>
      <c r="AM106" s="33">
        <v>372</v>
      </c>
      <c r="AN106" s="68">
        <f>'O.G.Chem Results'!AN106/'O.G.Chem Results'!$AN$142</f>
        <v>13.461538461538462</v>
      </c>
      <c r="AO106" s="33">
        <v>337</v>
      </c>
      <c r="AP106" s="33">
        <v>9</v>
      </c>
      <c r="AQ106" s="33" t="s">
        <v>72</v>
      </c>
      <c r="AR106" s="33">
        <v>1.2</v>
      </c>
      <c r="AS106" s="33" t="s">
        <v>73</v>
      </c>
      <c r="AT106" s="33">
        <v>1</v>
      </c>
      <c r="AU106" s="33" t="s">
        <v>74</v>
      </c>
      <c r="AV106" s="33">
        <v>2.8</v>
      </c>
      <c r="AW106" s="33">
        <v>900</v>
      </c>
      <c r="AX106" s="33" t="s">
        <v>75</v>
      </c>
      <c r="AY106" s="68">
        <f>'O.G.Chem Results'!AY106/'O.G.Chem Results'!AY$142</f>
        <v>380.85106382978728</v>
      </c>
      <c r="AZ106" s="68">
        <f>'O.G.Chem Results'!AZ106/'O.G.Chem Results'!AZ$142</f>
        <v>255.30503978779839</v>
      </c>
      <c r="BA106" s="68">
        <f>'O.G.Chem Results'!BA106/'O.G.Chem Results'!BA$142</f>
        <v>198.65319865319864</v>
      </c>
      <c r="BB106" s="68">
        <f>'O.G.Chem Results'!BB106/'O.G.Chem Results'!BB$142</f>
        <v>133.73121131741823</v>
      </c>
      <c r="BC106" s="68">
        <f>'O.G.Chem Results'!BC106/'O.G.Chem Results'!BC$142</f>
        <v>59.823249490142771</v>
      </c>
      <c r="BD106" s="68">
        <f>'O.G.Chem Results'!BD106/'O.G.Chem Results'!BD$142</f>
        <v>38.75</v>
      </c>
      <c r="BE106" s="68">
        <f>'O.G.Chem Results'!BE106/'O.G.Chem Results'!BE$142</f>
        <v>34.090909090909093</v>
      </c>
      <c r="BF106" s="68">
        <f>'O.G.Chem Results'!BF106/'O.G.Chem Results'!BF$142</f>
        <v>22.03856749311295</v>
      </c>
      <c r="BG106" s="68">
        <f>'O.G.Chem Results'!BG106/'O.G.Chem Results'!BG$142</f>
        <v>17.305315203955502</v>
      </c>
      <c r="BH106" s="68">
        <f>'O.G.Chem Results'!BH106/'O.G.Chem Results'!BH$142</f>
        <v>14.388489208633093</v>
      </c>
      <c r="BI106" s="68">
        <f>'O.G.Chem Results'!BI106/'O.G.Chem Results'!BI$142</f>
        <v>14.474512271869097</v>
      </c>
      <c r="BJ106" s="68">
        <f>'O.G.Chem Results'!BJ106/'O.G.Chem Results'!BJ$142</f>
        <v>12.809917355371901</v>
      </c>
      <c r="BK106" s="68">
        <f>'O.G.Chem Results'!BK106/'O.G.Chem Results'!BK$142</f>
        <v>12.307692307692307</v>
      </c>
      <c r="BL106" s="68">
        <f>'O.G.Chem Results'!BL106/'O.G.Chem Results'!BL$142</f>
        <v>13.580246913580247</v>
      </c>
      <c r="BM106" s="33">
        <v>7.4</v>
      </c>
      <c r="BN106" s="33">
        <v>0.4</v>
      </c>
      <c r="BO106" s="33">
        <v>0</v>
      </c>
      <c r="BP106" s="33">
        <v>0.6</v>
      </c>
      <c r="BQ106" s="33">
        <v>28</v>
      </c>
      <c r="BR106" s="33">
        <v>13.1</v>
      </c>
      <c r="BS106" s="33">
        <v>1.5</v>
      </c>
      <c r="BT106" s="34">
        <f t="shared" si="50"/>
        <v>0.40132451506159034</v>
      </c>
      <c r="BU106" s="282">
        <f t="shared" si="51"/>
        <v>1208.1094129234693</v>
      </c>
      <c r="BV106" s="35">
        <f t="shared" si="52"/>
        <v>450</v>
      </c>
      <c r="BW106" s="79">
        <f t="shared" si="48"/>
        <v>69.935948759007204</v>
      </c>
      <c r="BX106" s="69">
        <f t="shared" si="36"/>
        <v>1.285179607067392</v>
      </c>
      <c r="BY106" s="34">
        <v>7.13</v>
      </c>
      <c r="BZ106" s="34">
        <v>0</v>
      </c>
      <c r="CA106" s="34">
        <v>19.010000000000002</v>
      </c>
      <c r="CB106" s="34">
        <v>0</v>
      </c>
      <c r="CC106" s="34">
        <v>15.323499999999997</v>
      </c>
      <c r="CD106" s="34">
        <v>0.80649999999999999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14.11</v>
      </c>
      <c r="CL106" s="34">
        <v>0</v>
      </c>
      <c r="CM106" s="34">
        <v>5.72</v>
      </c>
      <c r="CN106" s="34">
        <v>34.130000000000003</v>
      </c>
      <c r="CO106" s="34">
        <v>0</v>
      </c>
      <c r="CP106" s="34">
        <v>2.91</v>
      </c>
      <c r="CQ106" s="34">
        <v>0</v>
      </c>
      <c r="CR106" s="34">
        <v>0</v>
      </c>
      <c r="CS106" s="34">
        <v>0.85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282">
        <v>99.989999999999981</v>
      </c>
      <c r="CZ106" s="286">
        <v>0.20471677794529405</v>
      </c>
      <c r="DA106" s="286">
        <v>0</v>
      </c>
      <c r="DB106" s="286">
        <v>0.16501723023906956</v>
      </c>
      <c r="DC106" s="286">
        <v>8.6851173810036635E-3</v>
      </c>
      <c r="DD106" s="286">
        <v>0</v>
      </c>
      <c r="DE106" s="286">
        <v>0</v>
      </c>
      <c r="DF106" s="286">
        <v>0</v>
      </c>
      <c r="DG106" s="286">
        <v>0</v>
      </c>
      <c r="DH106" s="286">
        <v>0</v>
      </c>
      <c r="DI106" s="286">
        <v>0</v>
      </c>
      <c r="DJ106" s="286">
        <v>0.15194917079474479</v>
      </c>
      <c r="DK106" s="286">
        <v>0</v>
      </c>
      <c r="DL106" s="286">
        <v>6.1598104673702352E-2</v>
      </c>
      <c r="DM106" s="286">
        <v>0.36754253715270307</v>
      </c>
      <c r="DN106" s="286">
        <v>0</v>
      </c>
      <c r="DO106" s="286">
        <v>3.1337497307775151E-2</v>
      </c>
      <c r="DP106" s="286">
        <v>0</v>
      </c>
      <c r="DQ106" s="286">
        <v>0</v>
      </c>
      <c r="DR106" s="286">
        <v>9.1535645057075187E-3</v>
      </c>
      <c r="DS106" s="286">
        <v>0</v>
      </c>
      <c r="DT106" s="286">
        <v>0</v>
      </c>
      <c r="DU106" s="286">
        <v>0</v>
      </c>
      <c r="DV106" s="286">
        <v>0</v>
      </c>
      <c r="DW106" s="286">
        <v>0</v>
      </c>
      <c r="DX106" s="34">
        <v>1</v>
      </c>
      <c r="DY106" s="79">
        <v>61.011385985090037</v>
      </c>
      <c r="DZ106" s="79">
        <v>23.70456424474617</v>
      </c>
      <c r="EA106" s="79">
        <v>0.47469122644527401</v>
      </c>
      <c r="EB106" s="79">
        <v>2.4745544957329413</v>
      </c>
      <c r="EC106" s="79">
        <v>0</v>
      </c>
      <c r="ED106" s="79">
        <v>0.94113621562802052</v>
      </c>
      <c r="EE106" s="79">
        <v>0.23150200952071995</v>
      </c>
      <c r="EF106" s="79">
        <v>1.950896106935019</v>
      </c>
      <c r="EG106" s="79">
        <v>4.6325116027149393</v>
      </c>
      <c r="EH106" s="79">
        <v>0.19704077707808909</v>
      </c>
      <c r="EI106" s="79">
        <v>0</v>
      </c>
      <c r="EJ106" s="79">
        <v>4.381717336108804</v>
      </c>
      <c r="EK106" s="79">
        <v>0</v>
      </c>
      <c r="EL106" s="79">
        <v>100.00000000000004</v>
      </c>
      <c r="EM106" s="34">
        <v>77.670291017374865</v>
      </c>
      <c r="EN106" s="34" t="s">
        <v>171</v>
      </c>
      <c r="EO106" s="290">
        <v>3.1719556267941804E-2</v>
      </c>
      <c r="EP106" s="257">
        <f t="shared" si="37"/>
        <v>3.1719556267941802</v>
      </c>
      <c r="EQ106" s="257">
        <f t="shared" si="38"/>
        <v>20.71040657566417</v>
      </c>
      <c r="ER106" s="324">
        <f t="shared" si="39"/>
        <v>0.82522168298099852</v>
      </c>
      <c r="ES106" s="257">
        <f t="shared" si="40"/>
        <v>0.85535693839413163</v>
      </c>
      <c r="ET106">
        <f t="shared" si="35"/>
        <v>450</v>
      </c>
      <c r="EU106" s="324">
        <f t="shared" si="41"/>
        <v>0.96476879527076753</v>
      </c>
      <c r="EV106" s="39">
        <f t="shared" si="42"/>
        <v>161.9</v>
      </c>
      <c r="EX106">
        <f t="shared" si="43"/>
        <v>0.93557692307692308</v>
      </c>
    </row>
    <row r="107" spans="1:160" ht="13" customHeight="1" x14ac:dyDescent="0.2">
      <c r="A107" s="30" t="s">
        <v>172</v>
      </c>
      <c r="B107" s="31" t="s">
        <v>461</v>
      </c>
      <c r="C107" s="86">
        <f t="shared" si="47"/>
        <v>160.9</v>
      </c>
      <c r="D107" s="32">
        <v>500</v>
      </c>
      <c r="E107" s="32">
        <v>600</v>
      </c>
      <c r="F107" s="33">
        <f t="shared" si="49"/>
        <v>550</v>
      </c>
      <c r="G107" s="31" t="s">
        <v>529</v>
      </c>
      <c r="H107" s="84" t="s">
        <v>530</v>
      </c>
      <c r="I107" s="85">
        <v>5</v>
      </c>
      <c r="J107" s="85">
        <v>4</v>
      </c>
      <c r="K107" s="89">
        <f t="shared" si="46"/>
        <v>3.125</v>
      </c>
      <c r="L107" s="33">
        <v>142</v>
      </c>
      <c r="M107" s="33">
        <v>119</v>
      </c>
      <c r="N107" s="33">
        <v>75</v>
      </c>
      <c r="O107" s="33">
        <v>62.34</v>
      </c>
      <c r="P107" s="33">
        <v>18.100000000000001</v>
      </c>
      <c r="Q107" s="33">
        <v>5.56</v>
      </c>
      <c r="R107" s="33">
        <v>9.2999999999999999E-2</v>
      </c>
      <c r="S107" s="33">
        <v>1.84</v>
      </c>
      <c r="T107" s="33">
        <v>1.28</v>
      </c>
      <c r="U107" s="33">
        <v>2.58</v>
      </c>
      <c r="V107" s="33">
        <v>3.07</v>
      </c>
      <c r="W107" s="33">
        <v>0.81299999999999994</v>
      </c>
      <c r="X107" s="33">
        <v>0.05</v>
      </c>
      <c r="Y107" s="33">
        <v>4.13</v>
      </c>
      <c r="Z107" s="33">
        <v>99.85</v>
      </c>
      <c r="AA107" s="33">
        <v>9</v>
      </c>
      <c r="AB107" s="33">
        <v>2</v>
      </c>
      <c r="AC107" s="33">
        <v>72</v>
      </c>
      <c r="AD107" s="33">
        <v>0</v>
      </c>
      <c r="AE107" s="33">
        <v>7</v>
      </c>
      <c r="AF107" s="33">
        <v>0</v>
      </c>
      <c r="AG107" s="33">
        <v>20</v>
      </c>
      <c r="AH107" s="33">
        <v>70</v>
      </c>
      <c r="AI107" s="33">
        <v>16</v>
      </c>
      <c r="AJ107" s="33">
        <v>1</v>
      </c>
      <c r="AK107" s="33">
        <v>0</v>
      </c>
      <c r="AL107" s="33">
        <v>106</v>
      </c>
      <c r="AM107" s="33">
        <v>449</v>
      </c>
      <c r="AN107" s="68">
        <f>'O.G.Chem Results'!AN107/'O.G.Chem Results'!$AN$142</f>
        <v>12.179487179487179</v>
      </c>
      <c r="AO107" s="33">
        <v>410</v>
      </c>
      <c r="AP107" s="33">
        <v>9</v>
      </c>
      <c r="AQ107" s="33" t="s">
        <v>72</v>
      </c>
      <c r="AR107" s="33">
        <v>1.6</v>
      </c>
      <c r="AS107" s="33" t="s">
        <v>73</v>
      </c>
      <c r="AT107" s="33">
        <v>1</v>
      </c>
      <c r="AU107" s="33" t="s">
        <v>74</v>
      </c>
      <c r="AV107" s="33">
        <v>2.2000000000000002</v>
      </c>
      <c r="AW107" s="33">
        <v>1079</v>
      </c>
      <c r="AX107" s="33" t="s">
        <v>75</v>
      </c>
      <c r="AY107" s="68">
        <f>'O.G.Chem Results'!AY107/'O.G.Chem Results'!AY$142</f>
        <v>570.21276595744689</v>
      </c>
      <c r="AZ107" s="68">
        <f>'O.G.Chem Results'!AZ107/'O.G.Chem Results'!AZ$142</f>
        <v>396.22015915119357</v>
      </c>
      <c r="BA107" s="68">
        <f>'O.G.Chem Results'!BA107/'O.G.Chem Results'!BA$142</f>
        <v>295.17396184062852</v>
      </c>
      <c r="BB107" s="68">
        <f>'O.G.Chem Results'!BB107/'O.G.Chem Results'!BB$142</f>
        <v>196.50751547303275</v>
      </c>
      <c r="BC107" s="68">
        <f>'O.G.Chem Results'!BC107/'O.G.Chem Results'!BC$142</f>
        <v>81.577158395649235</v>
      </c>
      <c r="BD107" s="68">
        <f>'O.G.Chem Results'!BD107/'O.G.Chem Results'!BD$142</f>
        <v>43.75</v>
      </c>
      <c r="BE107" s="68">
        <f>'O.G.Chem Results'!BE107/'O.G.Chem Results'!BE$142</f>
        <v>39.772727272727273</v>
      </c>
      <c r="BF107" s="68">
        <f>'O.G.Chem Results'!BF107/'O.G.Chem Results'!BF$142</f>
        <v>24.793388429752067</v>
      </c>
      <c r="BG107" s="68">
        <f>'O.G.Chem Results'!BG107/'O.G.Chem Results'!BG$142</f>
        <v>18.54140914709518</v>
      </c>
      <c r="BH107" s="68">
        <f>'O.G.Chem Results'!BH107/'O.G.Chem Results'!BH$142</f>
        <v>14.388489208633093</v>
      </c>
      <c r="BI107" s="68">
        <f>'O.G.Chem Results'!BI107/'O.G.Chem Results'!BI$142</f>
        <v>14.474512271869097</v>
      </c>
      <c r="BJ107" s="68">
        <f>'O.G.Chem Results'!BJ107/'O.G.Chem Results'!BJ$142</f>
        <v>12.396694214876034</v>
      </c>
      <c r="BK107" s="68">
        <f>'O.G.Chem Results'!BK107/'O.G.Chem Results'!BK$142</f>
        <v>11.692307692307692</v>
      </c>
      <c r="BL107" s="68">
        <f>'O.G.Chem Results'!BL107/'O.G.Chem Results'!BL$142</f>
        <v>12.757201646090534</v>
      </c>
      <c r="BM107" s="33">
        <v>8.9</v>
      </c>
      <c r="BN107" s="33">
        <v>0.4</v>
      </c>
      <c r="BO107" s="33">
        <v>2</v>
      </c>
      <c r="BP107" s="33">
        <v>0.4</v>
      </c>
      <c r="BQ107" s="33">
        <v>24</v>
      </c>
      <c r="BR107" s="33">
        <v>28.3</v>
      </c>
      <c r="BS107" s="33">
        <v>2</v>
      </c>
      <c r="BT107" s="34">
        <f t="shared" si="50"/>
        <v>0.40998205758216788</v>
      </c>
      <c r="BU107" s="282">
        <f t="shared" si="51"/>
        <v>1732.258290701302</v>
      </c>
      <c r="BV107" s="35">
        <f t="shared" si="52"/>
        <v>550</v>
      </c>
      <c r="BW107" s="79">
        <f t="shared" si="48"/>
        <v>72.313224131042759</v>
      </c>
      <c r="BX107" s="69">
        <f t="shared" si="36"/>
        <v>1.3423276114209637</v>
      </c>
      <c r="BY107" s="34">
        <v>8.36</v>
      </c>
      <c r="BZ107" s="34">
        <v>0.4</v>
      </c>
      <c r="CA107" s="34">
        <v>22.85</v>
      </c>
      <c r="CB107" s="34">
        <v>0</v>
      </c>
      <c r="CC107" s="34">
        <v>15.855500000000001</v>
      </c>
      <c r="CD107" s="34">
        <v>0.83450000000000013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15.66</v>
      </c>
      <c r="CL107" s="34">
        <v>0</v>
      </c>
      <c r="CM107" s="34">
        <v>5.78</v>
      </c>
      <c r="CN107" s="34">
        <v>23.58</v>
      </c>
      <c r="CO107" s="34">
        <v>0</v>
      </c>
      <c r="CP107" s="34">
        <v>3.23</v>
      </c>
      <c r="CQ107" s="34">
        <v>0</v>
      </c>
      <c r="CR107" s="34">
        <v>0</v>
      </c>
      <c r="CS107" s="34">
        <v>3.43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282">
        <v>99.98</v>
      </c>
      <c r="CZ107" s="286">
        <v>0.25049331286998461</v>
      </c>
      <c r="DA107" s="286">
        <v>0</v>
      </c>
      <c r="DB107" s="286">
        <v>0.17381604911203682</v>
      </c>
      <c r="DC107" s="286">
        <v>9.1482131111598336E-3</v>
      </c>
      <c r="DD107" s="286">
        <v>0</v>
      </c>
      <c r="DE107" s="286">
        <v>0</v>
      </c>
      <c r="DF107" s="286">
        <v>0</v>
      </c>
      <c r="DG107" s="286">
        <v>0</v>
      </c>
      <c r="DH107" s="286">
        <v>0</v>
      </c>
      <c r="DI107" s="286">
        <v>0</v>
      </c>
      <c r="DJ107" s="286">
        <v>0.17167287875465903</v>
      </c>
      <c r="DK107" s="286">
        <v>0</v>
      </c>
      <c r="DL107" s="286">
        <v>6.3363297522473133E-2</v>
      </c>
      <c r="DM107" s="286">
        <v>0.25849594387195785</v>
      </c>
      <c r="DN107" s="286">
        <v>0</v>
      </c>
      <c r="DO107" s="286">
        <v>3.5408901556676163E-2</v>
      </c>
      <c r="DP107" s="286">
        <v>0</v>
      </c>
      <c r="DQ107" s="286">
        <v>0</v>
      </c>
      <c r="DR107" s="286">
        <v>3.7601403201052395E-2</v>
      </c>
      <c r="DS107" s="286">
        <v>0</v>
      </c>
      <c r="DT107" s="286">
        <v>0</v>
      </c>
      <c r="DU107" s="286">
        <v>0</v>
      </c>
      <c r="DV107" s="286">
        <v>0</v>
      </c>
      <c r="DW107" s="286">
        <v>0</v>
      </c>
      <c r="DX107" s="34">
        <v>0.99999999999999989</v>
      </c>
      <c r="DY107" s="79">
        <v>64.167564551655701</v>
      </c>
      <c r="DZ107" s="79">
        <v>22.083161225902408</v>
      </c>
      <c r="EA107" s="79">
        <v>0.51193760539774003</v>
      </c>
      <c r="EB107" s="79">
        <v>1.8003770019150143</v>
      </c>
      <c r="EC107" s="79">
        <v>0</v>
      </c>
      <c r="ED107" s="79">
        <v>0.7280946060571456</v>
      </c>
      <c r="EE107" s="79">
        <v>0.24245464378196097</v>
      </c>
      <c r="EF107" s="79">
        <v>2.0549190714462369</v>
      </c>
      <c r="EG107" s="79">
        <v>4.0197471313750857</v>
      </c>
      <c r="EH107" s="79">
        <v>0.1385805355936339</v>
      </c>
      <c r="EI107" s="79">
        <v>0</v>
      </c>
      <c r="EJ107" s="79">
        <v>4.2531636268750592</v>
      </c>
      <c r="EK107" s="79">
        <v>0</v>
      </c>
      <c r="EL107" s="79">
        <v>99.999999999999972</v>
      </c>
      <c r="EM107" s="34">
        <v>77.756837659303073</v>
      </c>
      <c r="EN107" s="34" t="s">
        <v>172</v>
      </c>
      <c r="EO107" s="290">
        <v>2.4743485374851056E-2</v>
      </c>
      <c r="EP107" s="257">
        <f t="shared" si="37"/>
        <v>2.4743485374851057</v>
      </c>
      <c r="EQ107" s="257">
        <f t="shared" si="38"/>
        <v>25.019971241412364</v>
      </c>
      <c r="ER107" s="324">
        <f t="shared" si="39"/>
        <v>0.72105547951745852</v>
      </c>
      <c r="ES107" s="257">
        <f t="shared" si="40"/>
        <v>0.88909499228548672</v>
      </c>
      <c r="ET107">
        <f t="shared" si="35"/>
        <v>550</v>
      </c>
      <c r="EU107" s="324">
        <f t="shared" si="41"/>
        <v>0.81099937101650998</v>
      </c>
      <c r="EV107" s="39">
        <f t="shared" si="42"/>
        <v>160.9</v>
      </c>
      <c r="EX107">
        <f t="shared" si="43"/>
        <v>0.84647435897435896</v>
      </c>
    </row>
    <row r="108" spans="1:160" ht="13" customHeight="1" x14ac:dyDescent="0.2">
      <c r="A108" s="30" t="s">
        <v>173</v>
      </c>
      <c r="B108" s="31" t="s">
        <v>461</v>
      </c>
      <c r="C108" s="86">
        <f t="shared" si="47"/>
        <v>159.9</v>
      </c>
      <c r="D108" s="32">
        <v>600</v>
      </c>
      <c r="E108" s="32">
        <v>700</v>
      </c>
      <c r="F108" s="33">
        <f t="shared" si="49"/>
        <v>650</v>
      </c>
      <c r="G108" s="31" t="s">
        <v>529</v>
      </c>
      <c r="H108" s="84" t="s">
        <v>530</v>
      </c>
      <c r="I108" s="85">
        <v>5</v>
      </c>
      <c r="J108" s="85">
        <v>4</v>
      </c>
      <c r="K108" s="89">
        <f t="shared" si="46"/>
        <v>3.125</v>
      </c>
      <c r="L108" s="33">
        <v>142</v>
      </c>
      <c r="M108" s="33">
        <v>119</v>
      </c>
      <c r="N108" s="33">
        <v>75</v>
      </c>
      <c r="O108" s="33">
        <v>62.91</v>
      </c>
      <c r="P108" s="33">
        <v>18.22</v>
      </c>
      <c r="Q108" s="33">
        <v>5.81</v>
      </c>
      <c r="R108" s="33">
        <v>0.107</v>
      </c>
      <c r="S108" s="33">
        <v>1.52</v>
      </c>
      <c r="T108" s="33">
        <v>1.71</v>
      </c>
      <c r="U108" s="33">
        <v>2.89</v>
      </c>
      <c r="V108" s="33">
        <v>2.33</v>
      </c>
      <c r="W108" s="33">
        <v>0.85</v>
      </c>
      <c r="X108" s="33">
        <v>0.03</v>
      </c>
      <c r="Y108" s="33">
        <v>3.92</v>
      </c>
      <c r="Z108" s="33">
        <v>100.3</v>
      </c>
      <c r="AA108" s="33">
        <v>12</v>
      </c>
      <c r="AB108" s="33">
        <v>3</v>
      </c>
      <c r="AC108" s="33">
        <v>77</v>
      </c>
      <c r="AD108" s="33">
        <v>0</v>
      </c>
      <c r="AE108" s="33">
        <v>8</v>
      </c>
      <c r="AF108" s="33">
        <v>0</v>
      </c>
      <c r="AG108" s="33">
        <v>0</v>
      </c>
      <c r="AH108" s="33">
        <v>70</v>
      </c>
      <c r="AI108" s="33">
        <v>15</v>
      </c>
      <c r="AJ108" s="33">
        <v>0</v>
      </c>
      <c r="AK108" s="33">
        <v>0</v>
      </c>
      <c r="AL108" s="33">
        <v>79</v>
      </c>
      <c r="AM108" s="33">
        <v>407</v>
      </c>
      <c r="AN108" s="68">
        <f>'O.G.Chem Results'!AN108/'O.G.Chem Results'!$AN$142</f>
        <v>10.256410256410255</v>
      </c>
      <c r="AO108" s="33">
        <v>220</v>
      </c>
      <c r="AP108" s="33">
        <v>7</v>
      </c>
      <c r="AQ108" s="33" t="s">
        <v>72</v>
      </c>
      <c r="AR108" s="33">
        <v>0.6</v>
      </c>
      <c r="AS108" s="33" t="s">
        <v>73</v>
      </c>
      <c r="AT108" s="33">
        <v>2</v>
      </c>
      <c r="AU108" s="33" t="s">
        <v>74</v>
      </c>
      <c r="AV108" s="33">
        <v>1.5</v>
      </c>
      <c r="AW108" s="33">
        <v>876</v>
      </c>
      <c r="AX108" s="33" t="s">
        <v>75</v>
      </c>
      <c r="AY108" s="68">
        <f>'O.G.Chem Results'!AY108/'O.G.Chem Results'!AY$142</f>
        <v>174.89361702127661</v>
      </c>
      <c r="AZ108" s="68">
        <f>'O.G.Chem Results'!AZ108/'O.G.Chem Results'!AZ$142</f>
        <v>135.27851458885939</v>
      </c>
      <c r="BA108" s="68">
        <f>'O.G.Chem Results'!BA108/'O.G.Chem Results'!BA$142</f>
        <v>104.48933782267116</v>
      </c>
      <c r="BB108" s="68">
        <f>'O.G.Chem Results'!BB108/'O.G.Chem Results'!BB$142</f>
        <v>76.038903625110521</v>
      </c>
      <c r="BC108" s="68">
        <f>'O.G.Chem Results'!BC108/'O.G.Chem Results'!BC$142</f>
        <v>42.148198504418772</v>
      </c>
      <c r="BD108" s="68">
        <f>'O.G.Chem Results'!BD108/'O.G.Chem Results'!BD$142</f>
        <v>27.678571428571427</v>
      </c>
      <c r="BE108" s="68">
        <f>'O.G.Chem Results'!BE108/'O.G.Chem Results'!BE$142</f>
        <v>25.56818181818182</v>
      </c>
      <c r="BF108" s="68">
        <f>'O.G.Chem Results'!BF108/'O.G.Chem Results'!BF$142</f>
        <v>16.528925619834709</v>
      </c>
      <c r="BG108" s="68">
        <f>'O.G.Chem Results'!BG108/'O.G.Chem Results'!BG$142</f>
        <v>13.185002060156572</v>
      </c>
      <c r="BH108" s="68">
        <f>'O.G.Chem Results'!BH108/'O.G.Chem Results'!BH$142</f>
        <v>10.791366906474819</v>
      </c>
      <c r="BI108" s="68">
        <f>'O.G.Chem Results'!BI108/'O.G.Chem Results'!BI$142</f>
        <v>11.957205789804908</v>
      </c>
      <c r="BJ108" s="68">
        <f>'O.G.Chem Results'!BJ108/'O.G.Chem Results'!BJ$142</f>
        <v>10.330578512396695</v>
      </c>
      <c r="BK108" s="68">
        <f>'O.G.Chem Results'!BK108/'O.G.Chem Results'!BK$142</f>
        <v>10.461538461538462</v>
      </c>
      <c r="BL108" s="68">
        <f>'O.G.Chem Results'!BL108/'O.G.Chem Results'!BL$142</f>
        <v>11.111111111111111</v>
      </c>
      <c r="BM108" s="33">
        <v>5.0999999999999996</v>
      </c>
      <c r="BN108" s="33">
        <v>0.3</v>
      </c>
      <c r="BO108" s="33">
        <v>0</v>
      </c>
      <c r="BP108" s="33">
        <v>0.3</v>
      </c>
      <c r="BQ108" s="33">
        <v>32</v>
      </c>
      <c r="BR108" s="33">
        <v>6.2</v>
      </c>
      <c r="BS108" s="33">
        <v>0.8</v>
      </c>
      <c r="BT108" s="34">
        <f t="shared" si="50"/>
        <v>0.43614013253419787</v>
      </c>
      <c r="BU108" s="282">
        <f t="shared" si="51"/>
        <v>670.46105327040686</v>
      </c>
      <c r="BV108" s="35">
        <f t="shared" si="52"/>
        <v>650</v>
      </c>
      <c r="BW108" s="79">
        <f t="shared" si="48"/>
        <v>72.445328031809154</v>
      </c>
      <c r="BX108" s="69">
        <f t="shared" si="36"/>
        <v>1.2946633351092773</v>
      </c>
      <c r="BY108" s="34">
        <v>6.65</v>
      </c>
      <c r="BZ108" s="34">
        <v>0.81</v>
      </c>
      <c r="CA108" s="34">
        <v>20.72</v>
      </c>
      <c r="CB108" s="34">
        <v>0</v>
      </c>
      <c r="CC108" s="34">
        <v>19.579499999999999</v>
      </c>
      <c r="CD108" s="34">
        <v>1.0305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14.81</v>
      </c>
      <c r="CL108" s="34">
        <v>0</v>
      </c>
      <c r="CM108" s="34">
        <v>3.79</v>
      </c>
      <c r="CN108" s="34">
        <v>26.71</v>
      </c>
      <c r="CO108" s="34">
        <v>0</v>
      </c>
      <c r="CP108" s="34">
        <v>3.05</v>
      </c>
      <c r="CQ108" s="34">
        <v>0</v>
      </c>
      <c r="CR108" s="34">
        <v>0</v>
      </c>
      <c r="CS108" s="34">
        <v>2.86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282">
        <v>100.01000000000002</v>
      </c>
      <c r="CZ108" s="286">
        <v>0.22387898433279307</v>
      </c>
      <c r="DA108" s="286">
        <v>0</v>
      </c>
      <c r="DB108" s="286">
        <v>0.21155591572123178</v>
      </c>
      <c r="DC108" s="286">
        <v>1.113452188006483E-2</v>
      </c>
      <c r="DD108" s="286">
        <v>0</v>
      </c>
      <c r="DE108" s="286">
        <v>0</v>
      </c>
      <c r="DF108" s="286">
        <v>0</v>
      </c>
      <c r="DG108" s="286">
        <v>0</v>
      </c>
      <c r="DH108" s="286">
        <v>0</v>
      </c>
      <c r="DI108" s="286">
        <v>0</v>
      </c>
      <c r="DJ108" s="286">
        <v>0.16002160994057268</v>
      </c>
      <c r="DK108" s="286">
        <v>0</v>
      </c>
      <c r="DL108" s="286">
        <v>4.095083738519719E-2</v>
      </c>
      <c r="DM108" s="286">
        <v>0.28860075634792004</v>
      </c>
      <c r="DN108" s="286">
        <v>0</v>
      </c>
      <c r="DO108" s="286">
        <v>3.295515937331172E-2</v>
      </c>
      <c r="DP108" s="286">
        <v>0</v>
      </c>
      <c r="DQ108" s="286">
        <v>0</v>
      </c>
      <c r="DR108" s="286">
        <v>3.0902215018908698E-2</v>
      </c>
      <c r="DS108" s="286">
        <v>0</v>
      </c>
      <c r="DT108" s="286">
        <v>0</v>
      </c>
      <c r="DU108" s="286">
        <v>0</v>
      </c>
      <c r="DV108" s="286">
        <v>0</v>
      </c>
      <c r="DW108" s="286">
        <v>0</v>
      </c>
      <c r="DX108" s="34">
        <v>1</v>
      </c>
      <c r="DY108" s="79">
        <v>63.598396906424917</v>
      </c>
      <c r="DZ108" s="79">
        <v>22.279330447292196</v>
      </c>
      <c r="EA108" s="79">
        <v>0.40634748493019934</v>
      </c>
      <c r="EB108" s="79">
        <v>1.9805312089694094</v>
      </c>
      <c r="EC108" s="79">
        <v>0</v>
      </c>
      <c r="ED108" s="79">
        <v>0.74753549033024169</v>
      </c>
      <c r="EE108" s="79">
        <v>0.2619763363039519</v>
      </c>
      <c r="EF108" s="79">
        <v>2.5010940480681239</v>
      </c>
      <c r="EG108" s="79">
        <v>4.1066100810260044</v>
      </c>
      <c r="EH108" s="79">
        <v>0.15471982572861281</v>
      </c>
      <c r="EI108" s="79">
        <v>0</v>
      </c>
      <c r="EJ108" s="79">
        <v>3.963458170926347</v>
      </c>
      <c r="EK108" s="79">
        <v>0</v>
      </c>
      <c r="EL108" s="79">
        <v>99.999999999999986</v>
      </c>
      <c r="EM108" s="34">
        <v>76.432543505593515</v>
      </c>
      <c r="EN108" s="34" t="s">
        <v>173</v>
      </c>
      <c r="EO108" s="290">
        <v>2.5651265027068559E-2</v>
      </c>
      <c r="EP108" s="257">
        <f t="shared" si="37"/>
        <v>2.5651265027068559</v>
      </c>
      <c r="EQ108" s="257">
        <f t="shared" si="38"/>
        <v>21.766607877718993</v>
      </c>
      <c r="ER108" s="324">
        <f t="shared" si="39"/>
        <v>0.81748526122367471</v>
      </c>
      <c r="ES108" s="257">
        <f t="shared" si="40"/>
        <v>0.95305456351134754</v>
      </c>
      <c r="ET108">
        <f t="shared" si="35"/>
        <v>650</v>
      </c>
      <c r="EU108" s="324">
        <f t="shared" si="41"/>
        <v>0.85775284282969733</v>
      </c>
      <c r="EV108" s="39">
        <f t="shared" si="42"/>
        <v>159.9</v>
      </c>
      <c r="EX108">
        <f t="shared" si="43"/>
        <v>0.95042735042735049</v>
      </c>
    </row>
    <row r="109" spans="1:160" ht="13" customHeight="1" x14ac:dyDescent="0.2">
      <c r="A109" s="30" t="s">
        <v>174</v>
      </c>
      <c r="B109" s="31" t="s">
        <v>461</v>
      </c>
      <c r="C109" s="86">
        <f t="shared" si="47"/>
        <v>158.9</v>
      </c>
      <c r="D109" s="32">
        <v>700</v>
      </c>
      <c r="E109" s="32">
        <v>800</v>
      </c>
      <c r="F109" s="33">
        <f t="shared" si="49"/>
        <v>750</v>
      </c>
      <c r="G109" s="31" t="s">
        <v>529</v>
      </c>
      <c r="H109" s="84" t="s">
        <v>530</v>
      </c>
      <c r="I109" s="85">
        <v>5</v>
      </c>
      <c r="J109" s="85">
        <v>4</v>
      </c>
      <c r="K109" s="89">
        <f t="shared" si="46"/>
        <v>3.125</v>
      </c>
      <c r="L109" s="33">
        <v>142</v>
      </c>
      <c r="M109" s="33">
        <v>119</v>
      </c>
      <c r="N109" s="33">
        <v>75</v>
      </c>
      <c r="O109" s="33">
        <v>62.34</v>
      </c>
      <c r="P109" s="33">
        <v>17.14</v>
      </c>
      <c r="Q109" s="33">
        <v>5.94</v>
      </c>
      <c r="R109" s="33">
        <v>0.114</v>
      </c>
      <c r="S109" s="33">
        <v>1.84</v>
      </c>
      <c r="T109" s="33">
        <v>1.89</v>
      </c>
      <c r="U109" s="33">
        <v>3.08</v>
      </c>
      <c r="V109" s="33">
        <v>2.09</v>
      </c>
      <c r="W109" s="33">
        <v>0.92</v>
      </c>
      <c r="X109" s="33">
        <v>0.04</v>
      </c>
      <c r="Y109" s="33">
        <v>3.85</v>
      </c>
      <c r="Z109" s="33">
        <v>99.23</v>
      </c>
      <c r="AA109" s="33">
        <v>14</v>
      </c>
      <c r="AB109" s="33">
        <v>3</v>
      </c>
      <c r="AC109" s="33">
        <v>94</v>
      </c>
      <c r="AD109" s="33">
        <v>0</v>
      </c>
      <c r="AE109" s="33">
        <v>10</v>
      </c>
      <c r="AF109" s="33">
        <v>0</v>
      </c>
      <c r="AG109" s="33">
        <v>0</v>
      </c>
      <c r="AH109" s="33">
        <v>90</v>
      </c>
      <c r="AI109" s="33">
        <v>16</v>
      </c>
      <c r="AJ109" s="33">
        <v>1</v>
      </c>
      <c r="AK109" s="33">
        <v>0</v>
      </c>
      <c r="AL109" s="33">
        <v>85</v>
      </c>
      <c r="AM109" s="33">
        <v>596</v>
      </c>
      <c r="AN109" s="68">
        <f>'O.G.Chem Results'!AN109/'O.G.Chem Results'!$AN$142</f>
        <v>14.102564102564102</v>
      </c>
      <c r="AO109" s="33">
        <v>194</v>
      </c>
      <c r="AP109" s="33">
        <v>11</v>
      </c>
      <c r="AQ109" s="33" t="s">
        <v>72</v>
      </c>
      <c r="AR109" s="33">
        <v>0.5</v>
      </c>
      <c r="AS109" s="33" t="s">
        <v>73</v>
      </c>
      <c r="AT109" s="33">
        <v>2</v>
      </c>
      <c r="AU109" s="33" t="s">
        <v>74</v>
      </c>
      <c r="AV109" s="33">
        <v>1.9</v>
      </c>
      <c r="AW109" s="33">
        <v>673</v>
      </c>
      <c r="AX109" s="33" t="s">
        <v>75</v>
      </c>
      <c r="AY109" s="68">
        <f>'O.G.Chem Results'!AY109/'O.G.Chem Results'!AY$142</f>
        <v>350.63829787234044</v>
      </c>
      <c r="AZ109" s="68">
        <f>'O.G.Chem Results'!AZ109/'O.G.Chem Results'!AZ$142</f>
        <v>263.59416445623339</v>
      </c>
      <c r="BA109" s="68">
        <f>'O.G.Chem Results'!BA109/'O.G.Chem Results'!BA$142</f>
        <v>215.48821548821547</v>
      </c>
      <c r="BB109" s="68">
        <f>'O.G.Chem Results'!BB109/'O.G.Chem Results'!BB$142</f>
        <v>156.27763041556148</v>
      </c>
      <c r="BC109" s="68">
        <f>'O.G.Chem Results'!BC109/'O.G.Chem Results'!BC$142</f>
        <v>76.8184908225697</v>
      </c>
      <c r="BD109" s="68">
        <f>'O.G.Chem Results'!BD109/'O.G.Chem Results'!BD$142</f>
        <v>43.035714285714285</v>
      </c>
      <c r="BE109" s="68">
        <f>'O.G.Chem Results'!BE109/'O.G.Chem Results'!BE$142</f>
        <v>40.909090909090914</v>
      </c>
      <c r="BF109" s="68">
        <f>'O.G.Chem Results'!BF109/'O.G.Chem Results'!BF$142</f>
        <v>24.793388429752067</v>
      </c>
      <c r="BG109" s="68">
        <f>'O.G.Chem Results'!BG109/'O.G.Chem Results'!BG$142</f>
        <v>19.777503090234855</v>
      </c>
      <c r="BH109" s="68">
        <f>'O.G.Chem Results'!BH109/'O.G.Chem Results'!BH$142</f>
        <v>16.187050359712231</v>
      </c>
      <c r="BI109" s="68">
        <f>'O.G.Chem Results'!BI109/'O.G.Chem Results'!BI$142</f>
        <v>15.733165512901195</v>
      </c>
      <c r="BJ109" s="68">
        <f>'O.G.Chem Results'!BJ109/'O.G.Chem Results'!BJ$142</f>
        <v>14.049586776859506</v>
      </c>
      <c r="BK109" s="68">
        <f>'O.G.Chem Results'!BK109/'O.G.Chem Results'!BK$142</f>
        <v>13.538461538461538</v>
      </c>
      <c r="BL109" s="68">
        <f>'O.G.Chem Results'!BL109/'O.G.Chem Results'!BL$142</f>
        <v>13.580246913580247</v>
      </c>
      <c r="BM109" s="33">
        <v>4.5999999999999996</v>
      </c>
      <c r="BN109" s="33">
        <v>0.5</v>
      </c>
      <c r="BO109" s="33">
        <v>0</v>
      </c>
      <c r="BP109" s="33">
        <v>0.3</v>
      </c>
      <c r="BQ109" s="33">
        <v>20</v>
      </c>
      <c r="BR109" s="33">
        <v>12.6</v>
      </c>
      <c r="BS109" s="33">
        <v>1.8</v>
      </c>
      <c r="BT109" s="34">
        <f t="shared" si="50"/>
        <v>0.42914398150976907</v>
      </c>
      <c r="BU109" s="282">
        <f t="shared" si="51"/>
        <v>1264.4210068712271</v>
      </c>
      <c r="BV109" s="35">
        <f t="shared" si="52"/>
        <v>750</v>
      </c>
      <c r="BW109" s="79">
        <f t="shared" si="48"/>
        <v>70.826446280991732</v>
      </c>
      <c r="BX109" s="69">
        <f t="shared" si="36"/>
        <v>1.2232416694297081</v>
      </c>
      <c r="BY109" s="34">
        <v>7.92</v>
      </c>
      <c r="BZ109" s="34">
        <v>0</v>
      </c>
      <c r="CA109" s="34">
        <v>18.13</v>
      </c>
      <c r="CB109" s="34">
        <v>0</v>
      </c>
      <c r="CC109" s="34">
        <v>18.2685</v>
      </c>
      <c r="CD109" s="34">
        <v>0.96150000000000002</v>
      </c>
      <c r="CE109" s="34">
        <v>0</v>
      </c>
      <c r="CF109" s="34">
        <v>3.21</v>
      </c>
      <c r="CG109" s="34">
        <v>0</v>
      </c>
      <c r="CH109" s="34">
        <v>0</v>
      </c>
      <c r="CI109" s="34">
        <v>0</v>
      </c>
      <c r="CJ109" s="34">
        <v>0</v>
      </c>
      <c r="CK109" s="34">
        <v>13.08</v>
      </c>
      <c r="CL109" s="34">
        <v>0</v>
      </c>
      <c r="CM109" s="34">
        <v>5.47</v>
      </c>
      <c r="CN109" s="34">
        <v>29.86</v>
      </c>
      <c r="CO109" s="34">
        <v>0</v>
      </c>
      <c r="CP109" s="34">
        <v>2.69</v>
      </c>
      <c r="CQ109" s="34">
        <v>0</v>
      </c>
      <c r="CR109" s="34">
        <v>0</v>
      </c>
      <c r="CS109" s="34">
        <v>0.41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282">
        <v>100</v>
      </c>
      <c r="CZ109" s="286">
        <v>0.19689400521285841</v>
      </c>
      <c r="DA109" s="286">
        <v>0</v>
      </c>
      <c r="DB109" s="286">
        <v>0.19839813205907908</v>
      </c>
      <c r="DC109" s="286">
        <v>1.0442006950477848E-2</v>
      </c>
      <c r="DD109" s="286">
        <v>0</v>
      </c>
      <c r="DE109" s="286">
        <v>3.4860990443092967E-2</v>
      </c>
      <c r="DF109" s="286">
        <v>0</v>
      </c>
      <c r="DG109" s="286">
        <v>0</v>
      </c>
      <c r="DH109" s="286">
        <v>0</v>
      </c>
      <c r="DI109" s="286">
        <v>0</v>
      </c>
      <c r="DJ109" s="286">
        <v>0.14205039096437883</v>
      </c>
      <c r="DK109" s="286">
        <v>0</v>
      </c>
      <c r="DL109" s="286">
        <v>5.9404865334491755E-2</v>
      </c>
      <c r="DM109" s="286">
        <v>0.32428323197219816</v>
      </c>
      <c r="DN109" s="286">
        <v>0</v>
      </c>
      <c r="DO109" s="286">
        <v>2.9213727193744574E-2</v>
      </c>
      <c r="DP109" s="286">
        <v>0</v>
      </c>
      <c r="DQ109" s="286">
        <v>0</v>
      </c>
      <c r="DR109" s="286">
        <v>4.4526498696785405E-3</v>
      </c>
      <c r="DS109" s="286">
        <v>0</v>
      </c>
      <c r="DT109" s="286">
        <v>0</v>
      </c>
      <c r="DU109" s="286">
        <v>0</v>
      </c>
      <c r="DV109" s="286">
        <v>0</v>
      </c>
      <c r="DW109" s="286">
        <v>0</v>
      </c>
      <c r="DX109" s="34">
        <v>1.0000000000000002</v>
      </c>
      <c r="DY109" s="79">
        <v>61.393824512531523</v>
      </c>
      <c r="DZ109" s="79">
        <v>22.735653809450369</v>
      </c>
      <c r="EA109" s="79">
        <v>0.45088464430380432</v>
      </c>
      <c r="EB109" s="79">
        <v>2.8035642323351797</v>
      </c>
      <c r="EC109" s="79">
        <v>0</v>
      </c>
      <c r="ED109" s="79">
        <v>1.1820440646054369</v>
      </c>
      <c r="EE109" s="79">
        <v>0.73729325339398921</v>
      </c>
      <c r="EF109" s="79">
        <v>2.3455377532181974</v>
      </c>
      <c r="EG109" s="79">
        <v>4.0640392012653122</v>
      </c>
      <c r="EH109" s="79">
        <v>0.17384931963575367</v>
      </c>
      <c r="EI109" s="79">
        <v>0</v>
      </c>
      <c r="EJ109" s="79">
        <v>4.1133092092604491</v>
      </c>
      <c r="EK109" s="79">
        <v>0</v>
      </c>
      <c r="EL109" s="79">
        <v>100.00000000000003</v>
      </c>
      <c r="EM109" s="34">
        <v>76.083445281485368</v>
      </c>
      <c r="EN109" s="34" t="s">
        <v>174</v>
      </c>
      <c r="EO109" s="290">
        <v>3.5067696575491504E-2</v>
      </c>
      <c r="EP109" s="257">
        <f t="shared" si="37"/>
        <v>3.5067696575491505</v>
      </c>
      <c r="EQ109" s="257">
        <f t="shared" si="38"/>
        <v>19.100467289719628</v>
      </c>
      <c r="ER109" s="324">
        <f t="shared" si="39"/>
        <v>0.73110674070935477</v>
      </c>
      <c r="ES109" s="257">
        <f t="shared" si="40"/>
        <v>0.92213701389996394</v>
      </c>
      <c r="ET109">
        <f t="shared" si="35"/>
        <v>750</v>
      </c>
      <c r="EU109" s="324">
        <f t="shared" si="41"/>
        <v>0.79283959941843019</v>
      </c>
      <c r="EV109" s="39">
        <f t="shared" si="42"/>
        <v>158.9</v>
      </c>
      <c r="EX109">
        <f t="shared" si="43"/>
        <v>0.8712250712250712</v>
      </c>
    </row>
    <row r="110" spans="1:160" ht="13" customHeight="1" x14ac:dyDescent="0.2">
      <c r="A110" s="30" t="s">
        <v>175</v>
      </c>
      <c r="B110" s="31" t="s">
        <v>461</v>
      </c>
      <c r="C110" s="86">
        <f t="shared" si="47"/>
        <v>157.9</v>
      </c>
      <c r="D110" s="32">
        <v>800</v>
      </c>
      <c r="E110" s="32">
        <v>900</v>
      </c>
      <c r="F110" s="33">
        <f t="shared" si="49"/>
        <v>850</v>
      </c>
      <c r="G110" s="31" t="s">
        <v>516</v>
      </c>
      <c r="H110" s="84">
        <v>10</v>
      </c>
      <c r="I110" s="85">
        <v>5</v>
      </c>
      <c r="J110" s="85">
        <v>4</v>
      </c>
      <c r="K110" s="89">
        <f t="shared" si="46"/>
        <v>12.5</v>
      </c>
      <c r="L110" s="33">
        <v>146</v>
      </c>
      <c r="M110" s="33">
        <v>116</v>
      </c>
      <c r="N110" s="33">
        <v>79</v>
      </c>
      <c r="O110" s="33">
        <v>53.2</v>
      </c>
      <c r="P110" s="33">
        <v>17.260000000000002</v>
      </c>
      <c r="Q110" s="33">
        <v>8.69</v>
      </c>
      <c r="R110" s="33">
        <v>0.14199999999999999</v>
      </c>
      <c r="S110" s="33">
        <v>3.06</v>
      </c>
      <c r="T110" s="33">
        <v>2.5299999999999998</v>
      </c>
      <c r="U110" s="33">
        <v>2.77</v>
      </c>
      <c r="V110" s="33">
        <v>4</v>
      </c>
      <c r="W110" s="33">
        <v>2.2330000000000001</v>
      </c>
      <c r="X110" s="33">
        <v>0.89</v>
      </c>
      <c r="Y110" s="33">
        <v>4.21</v>
      </c>
      <c r="Z110" s="33">
        <v>98.98</v>
      </c>
      <c r="AA110" s="33">
        <v>10</v>
      </c>
      <c r="AB110" s="33">
        <v>5</v>
      </c>
      <c r="AC110" s="33">
        <v>173</v>
      </c>
      <c r="AD110" s="33">
        <v>0</v>
      </c>
      <c r="AE110" s="33">
        <v>14</v>
      </c>
      <c r="AF110" s="33">
        <v>0</v>
      </c>
      <c r="AG110" s="33">
        <v>30</v>
      </c>
      <c r="AH110" s="33">
        <v>140</v>
      </c>
      <c r="AI110" s="33">
        <v>22</v>
      </c>
      <c r="AJ110" s="33">
        <v>1</v>
      </c>
      <c r="AK110" s="33">
        <v>0</v>
      </c>
      <c r="AL110" s="33">
        <v>159</v>
      </c>
      <c r="AM110" s="33">
        <v>1030</v>
      </c>
      <c r="AN110" s="68">
        <f>'O.G.Chem Results'!AN110/'O.G.Chem Results'!$AN$142</f>
        <v>28.205128205128204</v>
      </c>
      <c r="AO110" s="33">
        <v>451</v>
      </c>
      <c r="AP110" s="33">
        <v>32</v>
      </c>
      <c r="AQ110" s="33" t="s">
        <v>72</v>
      </c>
      <c r="AR110" s="33">
        <v>1.5</v>
      </c>
      <c r="AS110" s="33" t="s">
        <v>73</v>
      </c>
      <c r="AT110" s="33">
        <v>3</v>
      </c>
      <c r="AU110" s="33" t="s">
        <v>74</v>
      </c>
      <c r="AV110" s="33">
        <v>3.3</v>
      </c>
      <c r="AW110" s="33">
        <v>1650</v>
      </c>
      <c r="AX110" s="33" t="s">
        <v>75</v>
      </c>
      <c r="AY110" s="68">
        <f>'O.G.Chem Results'!AY110/'O.G.Chem Results'!AY$142</f>
        <v>974.468085106383</v>
      </c>
      <c r="AZ110" s="68">
        <f>'O.G.Chem Results'!AZ110/'O.G.Chem Results'!AZ$142</f>
        <v>770.88859416445609</v>
      </c>
      <c r="BA110" s="68">
        <f>'O.G.Chem Results'!BA110/'O.G.Chem Results'!BA$142</f>
        <v>592.59259259259261</v>
      </c>
      <c r="BB110" s="68">
        <f>'O.G.Chem Results'!BB110/'O.G.Chem Results'!BB$142</f>
        <v>417.77188328912467</v>
      </c>
      <c r="BC110" s="68">
        <f>'O.G.Chem Results'!BC110/'O.G.Chem Results'!BC$142</f>
        <v>189.66689326988444</v>
      </c>
      <c r="BD110" s="68">
        <f>'O.G.Chem Results'!BD110/'O.G.Chem Results'!BD$142</f>
        <v>98.392857142857139</v>
      </c>
      <c r="BE110" s="68">
        <f>'O.G.Chem Results'!BE110/'O.G.Chem Results'!BE$142</f>
        <v>87.5</v>
      </c>
      <c r="BF110" s="68">
        <f>'O.G.Chem Results'!BF110/'O.G.Chem Results'!BF$142</f>
        <v>52.341597796143247</v>
      </c>
      <c r="BG110" s="68">
        <f>'O.G.Chem Results'!BG110/'O.G.Chem Results'!BG$142</f>
        <v>39.967037494849606</v>
      </c>
      <c r="BH110" s="68">
        <f>'O.G.Chem Results'!BH110/'O.G.Chem Results'!BH$142</f>
        <v>30.57553956834532</v>
      </c>
      <c r="BI110" s="68">
        <f>'O.G.Chem Results'!BI110/'O.G.Chem Results'!BI$142</f>
        <v>28.319697923222151</v>
      </c>
      <c r="BJ110" s="68">
        <f>'O.G.Chem Results'!BJ110/'O.G.Chem Results'!BJ$142</f>
        <v>26.033057851239672</v>
      </c>
      <c r="BK110" s="68">
        <f>'O.G.Chem Results'!BK110/'O.G.Chem Results'!BK$142</f>
        <v>23.384615384615383</v>
      </c>
      <c r="BL110" s="68">
        <f>'O.G.Chem Results'!BL110/'O.G.Chem Results'!BL$142</f>
        <v>23.456790123456788</v>
      </c>
      <c r="BM110" s="33">
        <v>9.3000000000000007</v>
      </c>
      <c r="BN110" s="33">
        <v>2.2999999999999998</v>
      </c>
      <c r="BO110" s="33">
        <v>0</v>
      </c>
      <c r="BP110" s="33">
        <v>0.6</v>
      </c>
      <c r="BQ110" s="33">
        <v>29</v>
      </c>
      <c r="BR110" s="33">
        <v>30.2</v>
      </c>
      <c r="BS110" s="33">
        <v>5.3</v>
      </c>
      <c r="BT110" s="34">
        <f t="shared" si="50"/>
        <v>0.44167968835259031</v>
      </c>
      <c r="BU110" s="282">
        <f t="shared" si="51"/>
        <v>3355.3592417071704</v>
      </c>
      <c r="BV110" s="35">
        <f t="shared" si="52"/>
        <v>850</v>
      </c>
      <c r="BW110" s="79">
        <f t="shared" si="48"/>
        <v>64.984939759036152</v>
      </c>
      <c r="BX110" s="69">
        <f t="shared" si="36"/>
        <v>1.3008745026525197</v>
      </c>
      <c r="BY110" s="34">
        <v>7.08</v>
      </c>
      <c r="BZ110" s="34">
        <v>0</v>
      </c>
      <c r="CA110" s="34">
        <v>9.93</v>
      </c>
      <c r="CB110" s="34">
        <v>0</v>
      </c>
      <c r="CC110" s="34">
        <v>15.7225</v>
      </c>
      <c r="CD110" s="34">
        <v>0.82750000000000012</v>
      </c>
      <c r="CE110" s="34">
        <v>0</v>
      </c>
      <c r="CF110" s="34">
        <v>4.82</v>
      </c>
      <c r="CG110" s="34">
        <v>0</v>
      </c>
      <c r="CH110" s="34">
        <v>0</v>
      </c>
      <c r="CI110" s="34">
        <v>0</v>
      </c>
      <c r="CJ110" s="34">
        <v>0</v>
      </c>
      <c r="CK110" s="34">
        <v>14.49</v>
      </c>
      <c r="CL110" s="34">
        <v>0</v>
      </c>
      <c r="CM110" s="34">
        <v>11.24</v>
      </c>
      <c r="CN110" s="34">
        <v>32.29</v>
      </c>
      <c r="CO110" s="34">
        <v>0</v>
      </c>
      <c r="CP110" s="34">
        <v>2.99</v>
      </c>
      <c r="CQ110" s="34">
        <v>0</v>
      </c>
      <c r="CR110" s="34">
        <v>0</v>
      </c>
      <c r="CS110" s="34">
        <v>0.61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282">
        <v>100</v>
      </c>
      <c r="CZ110" s="286">
        <v>0.10686612139474819</v>
      </c>
      <c r="DA110" s="286">
        <v>0</v>
      </c>
      <c r="DB110" s="286">
        <v>0.1692046922083513</v>
      </c>
      <c r="DC110" s="286">
        <v>8.9055101162290162E-3</v>
      </c>
      <c r="DD110" s="286">
        <v>0</v>
      </c>
      <c r="DE110" s="286">
        <v>5.1872578562204057E-2</v>
      </c>
      <c r="DF110" s="286">
        <v>0</v>
      </c>
      <c r="DG110" s="286">
        <v>0</v>
      </c>
      <c r="DH110" s="286">
        <v>0</v>
      </c>
      <c r="DI110" s="286">
        <v>0</v>
      </c>
      <c r="DJ110" s="286">
        <v>0.15594059405940597</v>
      </c>
      <c r="DK110" s="286">
        <v>0</v>
      </c>
      <c r="DL110" s="286">
        <v>0.12096427034007751</v>
      </c>
      <c r="DM110" s="286">
        <v>0.34750322858372795</v>
      </c>
      <c r="DN110" s="286">
        <v>0</v>
      </c>
      <c r="DO110" s="286">
        <v>3.2178217821782186E-2</v>
      </c>
      <c r="DP110" s="286">
        <v>0</v>
      </c>
      <c r="DQ110" s="286">
        <v>0</v>
      </c>
      <c r="DR110" s="286">
        <v>6.5647869134739566E-3</v>
      </c>
      <c r="DS110" s="286">
        <v>0</v>
      </c>
      <c r="DT110" s="286">
        <v>0</v>
      </c>
      <c r="DU110" s="286">
        <v>0</v>
      </c>
      <c r="DV110" s="286">
        <v>0</v>
      </c>
      <c r="DW110" s="286">
        <v>0</v>
      </c>
      <c r="DX110" s="34">
        <v>1.0000000000000002</v>
      </c>
      <c r="DY110" s="79">
        <v>55.64235915885439</v>
      </c>
      <c r="DZ110" s="79">
        <v>25.97090131723812</v>
      </c>
      <c r="EA110" s="79">
        <v>0.7130425351267401</v>
      </c>
      <c r="EB110" s="79">
        <v>3.2635678030206416</v>
      </c>
      <c r="EC110" s="79">
        <v>0</v>
      </c>
      <c r="ED110" s="79">
        <v>1.5044778865237352</v>
      </c>
      <c r="EE110" s="79">
        <v>0.99320071165344226</v>
      </c>
      <c r="EF110" s="79">
        <v>2.0004018660728673</v>
      </c>
      <c r="EG110" s="79">
        <v>4.6213578705290308</v>
      </c>
      <c r="EH110" s="79">
        <v>0.18629763707822028</v>
      </c>
      <c r="EI110" s="79">
        <v>0</v>
      </c>
      <c r="EJ110" s="79">
        <v>5.104393213902819</v>
      </c>
      <c r="EK110" s="79">
        <v>0</v>
      </c>
      <c r="EL110" s="79">
        <v>100.00000000000003</v>
      </c>
      <c r="EM110" s="34">
        <v>77.326886826887844</v>
      </c>
      <c r="EN110" s="34" t="s">
        <v>175</v>
      </c>
      <c r="EO110" s="290">
        <v>4.2703314404192394E-2</v>
      </c>
      <c r="EP110" s="257">
        <f t="shared" si="37"/>
        <v>4.2703314404192394</v>
      </c>
      <c r="EQ110" s="257">
        <f t="shared" si="38"/>
        <v>20.195121951219512</v>
      </c>
      <c r="ER110" s="324">
        <f t="shared" si="39"/>
        <v>0.70998997017331011</v>
      </c>
      <c r="ES110" s="257">
        <f t="shared" si="40"/>
        <v>0.97716563691556324</v>
      </c>
      <c r="ET110">
        <f t="shared" si="35"/>
        <v>850</v>
      </c>
      <c r="EU110" s="324">
        <f t="shared" si="41"/>
        <v>0.72658098417623773</v>
      </c>
      <c r="EV110" s="39">
        <f t="shared" si="42"/>
        <v>157.9</v>
      </c>
      <c r="EX110">
        <f t="shared" si="43"/>
        <v>0.92247360482654606</v>
      </c>
    </row>
    <row r="111" spans="1:160" ht="13" customHeight="1" x14ac:dyDescent="0.2">
      <c r="A111" s="30" t="s">
        <v>176</v>
      </c>
      <c r="B111" s="31" t="s">
        <v>461</v>
      </c>
      <c r="C111" s="86">
        <f t="shared" si="47"/>
        <v>156.9</v>
      </c>
      <c r="D111" s="32">
        <v>900</v>
      </c>
      <c r="E111" s="32">
        <v>1000</v>
      </c>
      <c r="F111" s="33">
        <f t="shared" si="49"/>
        <v>950</v>
      </c>
      <c r="G111" s="31" t="s">
        <v>509</v>
      </c>
      <c r="H111" s="84">
        <v>10</v>
      </c>
      <c r="I111" s="85">
        <v>4</v>
      </c>
      <c r="J111" s="85">
        <v>3</v>
      </c>
      <c r="K111" s="89">
        <f t="shared" si="46"/>
        <v>13.333333333333334</v>
      </c>
      <c r="L111" s="33">
        <v>115</v>
      </c>
      <c r="M111" s="33">
        <v>92</v>
      </c>
      <c r="N111" s="33">
        <v>64</v>
      </c>
      <c r="O111" s="33">
        <v>52.63</v>
      </c>
      <c r="P111" s="33">
        <v>16.98</v>
      </c>
      <c r="Q111" s="33">
        <v>8.56</v>
      </c>
      <c r="R111" s="33">
        <v>0.13400000000000001</v>
      </c>
      <c r="S111" s="33">
        <v>3.02</v>
      </c>
      <c r="T111" s="33">
        <v>3.62</v>
      </c>
      <c r="U111" s="33">
        <v>3.22</v>
      </c>
      <c r="V111" s="33">
        <v>4.13</v>
      </c>
      <c r="W111" s="33">
        <v>1.954</v>
      </c>
      <c r="X111" s="33">
        <v>1.26</v>
      </c>
      <c r="Y111" s="33">
        <v>3.38</v>
      </c>
      <c r="Z111" s="33">
        <v>98.9</v>
      </c>
      <c r="AA111" s="33">
        <v>10</v>
      </c>
      <c r="AB111" s="33">
        <v>3</v>
      </c>
      <c r="AC111" s="33">
        <v>159</v>
      </c>
      <c r="AD111" s="33">
        <v>30</v>
      </c>
      <c r="AE111" s="33">
        <v>13</v>
      </c>
      <c r="AF111" s="33">
        <v>0</v>
      </c>
      <c r="AG111" s="33">
        <v>40</v>
      </c>
      <c r="AH111" s="33">
        <v>130</v>
      </c>
      <c r="AI111" s="33">
        <v>20</v>
      </c>
      <c r="AJ111" s="33">
        <v>1</v>
      </c>
      <c r="AK111" s="33">
        <v>0</v>
      </c>
      <c r="AL111" s="33">
        <v>141</v>
      </c>
      <c r="AM111" s="33">
        <v>1319</v>
      </c>
      <c r="AN111" s="68">
        <f>'O.G.Chem Results'!AN111/'O.G.Chem Results'!$AN$142</f>
        <v>25</v>
      </c>
      <c r="AO111" s="33">
        <v>136</v>
      </c>
      <c r="AP111" s="33">
        <v>26</v>
      </c>
      <c r="AQ111" s="33">
        <v>2</v>
      </c>
      <c r="AR111" s="33">
        <v>0.5</v>
      </c>
      <c r="AS111" s="33" t="s">
        <v>73</v>
      </c>
      <c r="AT111" s="33">
        <v>2</v>
      </c>
      <c r="AU111" s="33" t="s">
        <v>74</v>
      </c>
      <c r="AV111" s="33">
        <v>2.6</v>
      </c>
      <c r="AW111" s="33">
        <v>1724</v>
      </c>
      <c r="AX111" s="33" t="s">
        <v>75</v>
      </c>
      <c r="AY111" s="68">
        <f>'O.G.Chem Results'!AY111/'O.G.Chem Results'!AY$142</f>
        <v>1008.5106382978724</v>
      </c>
      <c r="AZ111" s="68">
        <f>'O.G.Chem Results'!AZ111/'O.G.Chem Results'!AZ$142</f>
        <v>809.01856763925718</v>
      </c>
      <c r="BA111" s="68">
        <f>'O.G.Chem Results'!BA111/'O.G.Chem Results'!BA$142</f>
        <v>631.87429854096524</v>
      </c>
      <c r="BB111" s="68">
        <f>'O.G.Chem Results'!BB111/'O.G.Chem Results'!BB$142</f>
        <v>437.66578249336874</v>
      </c>
      <c r="BC111" s="68">
        <f>'O.G.Chem Results'!BC111/'O.G.Chem Results'!BC$142</f>
        <v>190.34670292318154</v>
      </c>
      <c r="BD111" s="68">
        <f>'O.G.Chem Results'!BD111/'O.G.Chem Results'!BD$142</f>
        <v>100.71428571428571</v>
      </c>
      <c r="BE111" s="68">
        <f>'O.G.Chem Results'!BE111/'O.G.Chem Results'!BE$142</f>
        <v>86.36363636363636</v>
      </c>
      <c r="BF111" s="68">
        <f>'O.G.Chem Results'!BF111/'O.G.Chem Results'!BF$142</f>
        <v>49.586776859504134</v>
      </c>
      <c r="BG111" s="68">
        <f>'O.G.Chem Results'!BG111/'O.G.Chem Results'!BG$142</f>
        <v>35.846724351050675</v>
      </c>
      <c r="BH111" s="68">
        <f>'O.G.Chem Results'!BH111/'O.G.Chem Results'!BH$142</f>
        <v>26.978417266187048</v>
      </c>
      <c r="BI111" s="68">
        <f>'O.G.Chem Results'!BI111/'O.G.Chem Results'!BI$142</f>
        <v>25.173064820641912</v>
      </c>
      <c r="BJ111" s="68">
        <f>'O.G.Chem Results'!BJ111/'O.G.Chem Results'!BJ$142</f>
        <v>21.900826446280995</v>
      </c>
      <c r="BK111" s="68">
        <f>'O.G.Chem Results'!BK111/'O.G.Chem Results'!BK$142</f>
        <v>18.46153846153846</v>
      </c>
      <c r="BL111" s="68">
        <f>'O.G.Chem Results'!BL111/'O.G.Chem Results'!BL$142</f>
        <v>18.10699588477366</v>
      </c>
      <c r="BM111" s="33">
        <v>3.7</v>
      </c>
      <c r="BN111" s="33">
        <v>1.6</v>
      </c>
      <c r="BO111" s="33">
        <v>2</v>
      </c>
      <c r="BP111" s="33">
        <v>0.5</v>
      </c>
      <c r="BQ111" s="33">
        <v>26</v>
      </c>
      <c r="BR111" s="33">
        <v>26.3</v>
      </c>
      <c r="BS111" s="33">
        <v>3.6</v>
      </c>
      <c r="BT111" s="34">
        <f t="shared" si="50"/>
        <v>0.44511998211446735</v>
      </c>
      <c r="BU111" s="282">
        <f t="shared" si="51"/>
        <v>3460.5482560625446</v>
      </c>
      <c r="BV111" s="35">
        <f t="shared" si="52"/>
        <v>950</v>
      </c>
      <c r="BW111" s="79">
        <f t="shared" si="48"/>
        <v>60.751341681574239</v>
      </c>
      <c r="BX111" s="69">
        <f t="shared" si="36"/>
        <v>1.2803473246298012</v>
      </c>
      <c r="BY111" s="34">
        <v>7.5</v>
      </c>
      <c r="BZ111" s="34">
        <v>0</v>
      </c>
      <c r="CA111" s="34">
        <v>7.57</v>
      </c>
      <c r="CB111" s="34">
        <v>0</v>
      </c>
      <c r="CC111" s="34">
        <v>22.020999999999997</v>
      </c>
      <c r="CD111" s="34">
        <v>1.159</v>
      </c>
      <c r="CE111" s="34">
        <v>0</v>
      </c>
      <c r="CF111" s="34">
        <v>3.88</v>
      </c>
      <c r="CG111" s="34">
        <v>0</v>
      </c>
      <c r="CH111" s="34">
        <v>0</v>
      </c>
      <c r="CI111" s="34">
        <v>0</v>
      </c>
      <c r="CJ111" s="34">
        <v>0</v>
      </c>
      <c r="CK111" s="34">
        <v>14.39</v>
      </c>
      <c r="CL111" s="34">
        <v>0</v>
      </c>
      <c r="CM111" s="34">
        <v>14.95</v>
      </c>
      <c r="CN111" s="34">
        <v>24.97</v>
      </c>
      <c r="CO111" s="34">
        <v>0</v>
      </c>
      <c r="CP111" s="34">
        <v>2.97</v>
      </c>
      <c r="CQ111" s="34">
        <v>0</v>
      </c>
      <c r="CR111" s="34">
        <v>0</v>
      </c>
      <c r="CS111" s="34">
        <v>0.6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282">
        <v>100.00999999999999</v>
      </c>
      <c r="CZ111" s="286">
        <v>8.1828991460382666E-2</v>
      </c>
      <c r="DA111" s="286">
        <v>0</v>
      </c>
      <c r="DB111" s="286">
        <v>0.23803913090476705</v>
      </c>
      <c r="DC111" s="286">
        <v>1.2528375310777214E-2</v>
      </c>
      <c r="DD111" s="286">
        <v>0</v>
      </c>
      <c r="DE111" s="286">
        <v>4.1941411739271434E-2</v>
      </c>
      <c r="DF111" s="286">
        <v>0</v>
      </c>
      <c r="DG111" s="286">
        <v>0</v>
      </c>
      <c r="DH111" s="286">
        <v>0</v>
      </c>
      <c r="DI111" s="286">
        <v>0</v>
      </c>
      <c r="DJ111" s="286">
        <v>0.15555075127013299</v>
      </c>
      <c r="DK111" s="286">
        <v>0</v>
      </c>
      <c r="DL111" s="286">
        <v>0.16160415090260513</v>
      </c>
      <c r="DM111" s="286">
        <v>0.26991676575505352</v>
      </c>
      <c r="DN111" s="286">
        <v>0</v>
      </c>
      <c r="DO111" s="286">
        <v>3.210463733650417E-2</v>
      </c>
      <c r="DP111" s="286">
        <v>0</v>
      </c>
      <c r="DQ111" s="286">
        <v>0</v>
      </c>
      <c r="DR111" s="286">
        <v>6.4857853205058918E-3</v>
      </c>
      <c r="DS111" s="286">
        <v>0</v>
      </c>
      <c r="DT111" s="286">
        <v>0</v>
      </c>
      <c r="DU111" s="286">
        <v>0</v>
      </c>
      <c r="DV111" s="286">
        <v>0</v>
      </c>
      <c r="DW111" s="286">
        <v>0</v>
      </c>
      <c r="DX111" s="34">
        <v>1</v>
      </c>
      <c r="DY111" s="79">
        <v>55.492510241504625</v>
      </c>
      <c r="DZ111" s="79">
        <v>26.639684781680611</v>
      </c>
      <c r="EA111" s="79">
        <v>0.87140597372052397</v>
      </c>
      <c r="EB111" s="79">
        <v>2.5958612819439955</v>
      </c>
      <c r="EC111" s="79">
        <v>0</v>
      </c>
      <c r="ED111" s="79">
        <v>1.3136039533768598</v>
      </c>
      <c r="EE111" s="79">
        <v>0.96888252522478269</v>
      </c>
      <c r="EF111" s="79">
        <v>2.8141886341657689</v>
      </c>
      <c r="EG111" s="79">
        <v>3.9621834077766449</v>
      </c>
      <c r="EH111" s="79">
        <v>0.14470327620523457</v>
      </c>
      <c r="EI111" s="79">
        <v>0</v>
      </c>
      <c r="EJ111" s="79">
        <v>5.1969759244009701</v>
      </c>
      <c r="EK111" s="79">
        <v>0</v>
      </c>
      <c r="EL111" s="79">
        <v>100.00000000000003</v>
      </c>
      <c r="EM111" s="34">
        <v>77.474863373790626</v>
      </c>
      <c r="EN111" s="34" t="s">
        <v>176</v>
      </c>
      <c r="EO111" s="290">
        <v>3.7008947710394792E-2</v>
      </c>
      <c r="EP111" s="257">
        <f t="shared" si="37"/>
        <v>3.7008947710394793</v>
      </c>
      <c r="EQ111" s="257">
        <f t="shared" si="38"/>
        <v>20.560080011430205</v>
      </c>
      <c r="ER111" s="324">
        <f t="shared" si="39"/>
        <v>0.72794017002662537</v>
      </c>
      <c r="ES111" s="257">
        <f t="shared" si="40"/>
        <v>0.98874343021892364</v>
      </c>
      <c r="ET111">
        <f t="shared" si="35"/>
        <v>950</v>
      </c>
      <c r="EU111" s="324">
        <f t="shared" si="41"/>
        <v>0.73622756700941894</v>
      </c>
      <c r="EV111" s="39">
        <f t="shared" si="42"/>
        <v>156.9</v>
      </c>
      <c r="EX111">
        <f t="shared" si="43"/>
        <v>0.92666666666666675</v>
      </c>
    </row>
    <row r="112" spans="1:160" ht="13" customHeight="1" x14ac:dyDescent="0.2">
      <c r="A112" s="30" t="s">
        <v>479</v>
      </c>
      <c r="B112" s="31" t="s">
        <v>462</v>
      </c>
      <c r="C112" s="86">
        <f>159.9-F112/100</f>
        <v>159.80000000000001</v>
      </c>
      <c r="D112" s="35">
        <v>0</v>
      </c>
      <c r="E112" s="35">
        <v>20</v>
      </c>
      <c r="F112" s="33">
        <f t="shared" si="49"/>
        <v>10</v>
      </c>
      <c r="G112" s="31" t="s">
        <v>509</v>
      </c>
      <c r="H112" s="84">
        <v>10</v>
      </c>
      <c r="I112" s="85">
        <v>4</v>
      </c>
      <c r="J112" s="85">
        <v>3</v>
      </c>
      <c r="K112" s="89">
        <f t="shared" si="46"/>
        <v>13.333333333333334</v>
      </c>
      <c r="L112" s="33">
        <v>115</v>
      </c>
      <c r="M112" s="33">
        <v>92</v>
      </c>
      <c r="N112" s="33">
        <v>64</v>
      </c>
      <c r="O112" s="33">
        <v>76.150000000000006</v>
      </c>
      <c r="P112" s="33">
        <v>9.09</v>
      </c>
      <c r="Q112" s="33">
        <v>3.35</v>
      </c>
      <c r="R112" s="33">
        <v>6.5000000000000002E-2</v>
      </c>
      <c r="S112" s="33">
        <v>0.78</v>
      </c>
      <c r="T112" s="33">
        <v>0.96</v>
      </c>
      <c r="U112" s="33">
        <v>1.43</v>
      </c>
      <c r="V112" s="33">
        <v>1.44</v>
      </c>
      <c r="W112" s="33">
        <v>0.51700000000000002</v>
      </c>
      <c r="X112" s="33">
        <v>0.03</v>
      </c>
      <c r="Y112" s="33">
        <v>5.38</v>
      </c>
      <c r="Z112" s="33">
        <v>99.18</v>
      </c>
      <c r="AA112" s="33">
        <v>6</v>
      </c>
      <c r="AB112" s="33">
        <v>0</v>
      </c>
      <c r="AC112" s="33">
        <v>55</v>
      </c>
      <c r="AD112" s="33">
        <v>0</v>
      </c>
      <c r="AE112" s="33">
        <v>6</v>
      </c>
      <c r="AF112" s="33">
        <v>0</v>
      </c>
      <c r="AG112" s="33">
        <v>10</v>
      </c>
      <c r="AH112" s="33">
        <v>30</v>
      </c>
      <c r="AI112" s="33">
        <v>10</v>
      </c>
      <c r="AJ112" s="33">
        <v>0</v>
      </c>
      <c r="AK112" s="33">
        <v>0</v>
      </c>
      <c r="AL112" s="33">
        <v>49</v>
      </c>
      <c r="AM112" s="33">
        <v>187</v>
      </c>
      <c r="AN112" s="68">
        <f>'O.G.Chem Results'!AN112/'O.G.Chem Results'!$AN$142</f>
        <v>1.9230769230769229</v>
      </c>
      <c r="AO112" s="33">
        <v>256</v>
      </c>
      <c r="AP112" s="33">
        <v>7</v>
      </c>
      <c r="AQ112" s="33" t="s">
        <v>72</v>
      </c>
      <c r="AR112" s="33">
        <v>0.6</v>
      </c>
      <c r="AS112" s="33" t="s">
        <v>73</v>
      </c>
      <c r="AT112" s="33">
        <v>0</v>
      </c>
      <c r="AU112" s="33" t="s">
        <v>74</v>
      </c>
      <c r="AV112" s="33">
        <v>1.1000000000000001</v>
      </c>
      <c r="AW112" s="33">
        <v>628</v>
      </c>
      <c r="AX112" s="33" t="s">
        <v>75</v>
      </c>
      <c r="AY112" s="68">
        <f>'O.G.Chem Results'!AY112/'O.G.Chem Results'!AY$142</f>
        <v>25.531914893617024</v>
      </c>
      <c r="AZ112" s="68">
        <f>'O.G.Chem Results'!AZ112/'O.G.Chem Results'!AZ$142</f>
        <v>21.054376657824932</v>
      </c>
      <c r="BA112" s="68">
        <f>'O.G.Chem Results'!BA112/'O.G.Chem Results'!BA$142</f>
        <v>16.722783389450058</v>
      </c>
      <c r="BB112" s="68">
        <f>'O.G.Chem Results'!BB112/'O.G.Chem Results'!BB$142</f>
        <v>13.262599469496022</v>
      </c>
      <c r="BC112" s="68">
        <f>'O.G.Chem Results'!BC112/'O.G.Chem Results'!BC$142</f>
        <v>7.4779061862678464</v>
      </c>
      <c r="BD112" s="68">
        <f>'O.G.Chem Results'!BD112/'O.G.Chem Results'!BD$142</f>
        <v>5.3571428571428568</v>
      </c>
      <c r="BE112" s="68">
        <f>'O.G.Chem Results'!BE112/'O.G.Chem Results'!BE$142</f>
        <v>4.5454545454545459</v>
      </c>
      <c r="BF112" s="68">
        <f>'O.G.Chem Results'!BF112/'O.G.Chem Results'!BF$142</f>
        <v>2.7548209366391188</v>
      </c>
      <c r="BG112" s="68">
        <f>'O.G.Chem Results'!BG112/'O.G.Chem Results'!BG$142</f>
        <v>2.4721878862793569</v>
      </c>
      <c r="BH112" s="68">
        <f>'O.G.Chem Results'!BH112/'O.G.Chem Results'!BH$142</f>
        <v>1.7985611510791366</v>
      </c>
      <c r="BI112" s="68">
        <f>'O.G.Chem Results'!BI112/'O.G.Chem Results'!BI$142</f>
        <v>2.5173064820641913</v>
      </c>
      <c r="BJ112" s="68">
        <f>'O.G.Chem Results'!BJ112/'O.G.Chem Results'!BJ$142</f>
        <v>2.892561983471075</v>
      </c>
      <c r="BK112" s="68">
        <f>'O.G.Chem Results'!BK112/'O.G.Chem Results'!BK$142</f>
        <v>3.6923076923076921</v>
      </c>
      <c r="BL112" s="68">
        <f>'O.G.Chem Results'!BL112/'O.G.Chem Results'!BL$142</f>
        <v>4.1152263374485596</v>
      </c>
      <c r="BM112" s="33">
        <v>7.6</v>
      </c>
      <c r="BN112" s="33">
        <v>0.5</v>
      </c>
      <c r="BO112" s="33">
        <v>0</v>
      </c>
      <c r="BP112" s="33">
        <v>0.4</v>
      </c>
      <c r="BQ112" s="33">
        <v>17</v>
      </c>
      <c r="BR112" s="33">
        <v>2.8</v>
      </c>
      <c r="BS112" s="33">
        <v>1.2</v>
      </c>
      <c r="BT112" s="34">
        <f t="shared" ref="BT112:BT118" si="53">AZ112/(AY112+AZ112)</f>
        <v>0.45194360737162492</v>
      </c>
      <c r="BU112" s="282">
        <f t="shared" ref="BU112:BU118" si="54">SUM(AY112:BL112)</f>
        <v>114.19515046854242</v>
      </c>
      <c r="BV112" s="35">
        <f t="shared" si="52"/>
        <v>10</v>
      </c>
      <c r="BW112" s="79">
        <f t="shared" si="48"/>
        <v>70.356037151702793</v>
      </c>
      <c r="BX112" s="69">
        <f t="shared" si="36"/>
        <v>1.2590234632296653</v>
      </c>
      <c r="BY112" s="34">
        <v>8.34</v>
      </c>
      <c r="BZ112" s="34">
        <v>1.69</v>
      </c>
      <c r="CA112" s="34">
        <v>50.1</v>
      </c>
      <c r="CB112" s="34">
        <v>0</v>
      </c>
      <c r="CC112" s="34">
        <v>8.58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16.07</v>
      </c>
      <c r="CM112" s="34">
        <v>0</v>
      </c>
      <c r="CN112" s="34">
        <v>9.41</v>
      </c>
      <c r="CO112" s="34">
        <v>0</v>
      </c>
      <c r="CP112" s="34">
        <v>1.35</v>
      </c>
      <c r="CQ112" s="34">
        <v>0</v>
      </c>
      <c r="CR112" s="34">
        <v>0</v>
      </c>
      <c r="CS112" s="34">
        <v>4.47</v>
      </c>
      <c r="CT112" s="34">
        <v>0</v>
      </c>
      <c r="CU112" s="34">
        <v>0</v>
      </c>
      <c r="CV112" s="34">
        <v>0</v>
      </c>
      <c r="CW112" s="34">
        <v>0</v>
      </c>
      <c r="CX112" s="34">
        <v>0</v>
      </c>
      <c r="CY112" s="282">
        <v>100.00999999999999</v>
      </c>
      <c r="CZ112" s="286">
        <v>0.55679039786619255</v>
      </c>
      <c r="DA112" s="286">
        <v>0</v>
      </c>
      <c r="DB112" s="286">
        <v>9.5354523227383872E-2</v>
      </c>
      <c r="DC112" s="286">
        <v>0</v>
      </c>
      <c r="DD112" s="286">
        <v>0</v>
      </c>
      <c r="DE112" s="286">
        <v>0</v>
      </c>
      <c r="DF112" s="286">
        <v>0</v>
      </c>
      <c r="DG112" s="286">
        <v>0</v>
      </c>
      <c r="DH112" s="286">
        <v>0</v>
      </c>
      <c r="DI112" s="286">
        <v>0</v>
      </c>
      <c r="DJ112" s="286">
        <v>0</v>
      </c>
      <c r="DK112" s="286">
        <v>0.17859524338741944</v>
      </c>
      <c r="DL112" s="286">
        <v>0</v>
      </c>
      <c r="DM112" s="286">
        <v>0.10457879528784175</v>
      </c>
      <c r="DN112" s="286">
        <v>0</v>
      </c>
      <c r="DO112" s="286">
        <v>1.5003334074238723E-2</v>
      </c>
      <c r="DP112" s="286">
        <v>0</v>
      </c>
      <c r="DQ112" s="286">
        <v>0</v>
      </c>
      <c r="DR112" s="286">
        <v>4.9677706156923761E-2</v>
      </c>
      <c r="DS112" s="286">
        <v>0</v>
      </c>
      <c r="DT112" s="286">
        <v>0</v>
      </c>
      <c r="DU112" s="286">
        <v>0</v>
      </c>
      <c r="DV112" s="286">
        <v>0</v>
      </c>
      <c r="DW112" s="286">
        <v>0</v>
      </c>
      <c r="DX112" s="34">
        <v>1.0000000000000002</v>
      </c>
      <c r="DY112" s="79">
        <v>79.411371658628553</v>
      </c>
      <c r="DZ112" s="79">
        <v>13.324462677171791</v>
      </c>
      <c r="EA112" s="79">
        <v>0</v>
      </c>
      <c r="EB112" s="79">
        <v>0.7314154581110538</v>
      </c>
      <c r="EC112" s="79">
        <v>0</v>
      </c>
      <c r="ED112" s="79">
        <v>0.25407410483968729</v>
      </c>
      <c r="EE112" s="79">
        <v>0</v>
      </c>
      <c r="EF112" s="79">
        <v>1.1273172375602281</v>
      </c>
      <c r="EG112" s="79">
        <v>2.1164296062957102</v>
      </c>
      <c r="EH112" s="79">
        <v>5.6065040114922637E-2</v>
      </c>
      <c r="EI112" s="79">
        <v>0</v>
      </c>
      <c r="EJ112" s="79">
        <v>2.9788642172780522</v>
      </c>
      <c r="EK112" s="79">
        <v>0</v>
      </c>
      <c r="EL112" s="79">
        <v>100</v>
      </c>
      <c r="EM112" s="34">
        <v>80.421862484663166</v>
      </c>
      <c r="EN112" s="34" t="s">
        <v>479</v>
      </c>
      <c r="EO112" s="290">
        <v>7.9724284934104862E-3</v>
      </c>
      <c r="EP112" s="257">
        <f t="shared" si="37"/>
        <v>0.79724284934104861</v>
      </c>
      <c r="EQ112" s="257">
        <f t="shared" si="38"/>
        <v>40.295887662988967</v>
      </c>
      <c r="ER112" s="324">
        <f t="shared" si="39"/>
        <v>0.89112237030509955</v>
      </c>
      <c r="ES112" s="257">
        <f t="shared" si="40"/>
        <v>0.98191568696262488</v>
      </c>
      <c r="ET112">
        <f t="shared" si="35"/>
        <v>10</v>
      </c>
      <c r="EU112" s="324">
        <f t="shared" si="41"/>
        <v>0.90753450844809525</v>
      </c>
      <c r="EV112" s="39">
        <f t="shared" si="42"/>
        <v>159.80000000000001</v>
      </c>
      <c r="EX112">
        <f t="shared" si="43"/>
        <v>1.0692307692307692</v>
      </c>
      <c r="EZ112" s="324">
        <f>AVERAGE(ER112:ER123)</f>
        <v>0.8539918728728223</v>
      </c>
      <c r="FA112" s="260" t="s">
        <v>668</v>
      </c>
    </row>
    <row r="113" spans="1:160" ht="13" customHeight="1" x14ac:dyDescent="0.2">
      <c r="A113" s="30" t="s">
        <v>480</v>
      </c>
      <c r="B113" s="31" t="s">
        <v>462</v>
      </c>
      <c r="C113" s="86">
        <f t="shared" ref="C113:C123" si="55">159.9-F113/100</f>
        <v>159.625</v>
      </c>
      <c r="D113" s="32">
        <v>20</v>
      </c>
      <c r="E113" s="32">
        <v>35</v>
      </c>
      <c r="F113" s="33">
        <f t="shared" si="49"/>
        <v>27.5</v>
      </c>
      <c r="G113" s="31" t="s">
        <v>506</v>
      </c>
      <c r="H113" s="84">
        <v>5</v>
      </c>
      <c r="I113" s="85">
        <v>4</v>
      </c>
      <c r="J113" s="85">
        <v>6</v>
      </c>
      <c r="K113" s="89">
        <f t="shared" si="46"/>
        <v>3.3333333333333335</v>
      </c>
      <c r="L113" s="33">
        <v>136</v>
      </c>
      <c r="M113" s="33">
        <v>83</v>
      </c>
      <c r="N113" s="33">
        <v>47</v>
      </c>
      <c r="O113" s="33">
        <v>77.87</v>
      </c>
      <c r="P113" s="33">
        <v>8.94</v>
      </c>
      <c r="Q113" s="33">
        <v>4.12</v>
      </c>
      <c r="R113" s="33">
        <v>5.1999999999999998E-2</v>
      </c>
      <c r="S113" s="33">
        <v>0.56000000000000005</v>
      </c>
      <c r="T113" s="33">
        <v>0.86</v>
      </c>
      <c r="U113" s="33">
        <v>1.38</v>
      </c>
      <c r="V113" s="33">
        <v>1.54</v>
      </c>
      <c r="W113" s="33">
        <v>0.56499999999999995</v>
      </c>
      <c r="X113" s="33">
        <v>0</v>
      </c>
      <c r="Y113" s="33">
        <v>2.75</v>
      </c>
      <c r="Z113" s="33">
        <v>98.63</v>
      </c>
      <c r="AA113" s="33">
        <v>6</v>
      </c>
      <c r="AB113" s="33">
        <v>0</v>
      </c>
      <c r="AC113" s="33">
        <v>64</v>
      </c>
      <c r="AD113" s="33">
        <v>0</v>
      </c>
      <c r="AE113" s="33">
        <v>6</v>
      </c>
      <c r="AF113" s="33">
        <v>0</v>
      </c>
      <c r="AG113" s="33">
        <v>0</v>
      </c>
      <c r="AH113" s="33">
        <v>30</v>
      </c>
      <c r="AI113" s="33">
        <v>10</v>
      </c>
      <c r="AJ113" s="33">
        <v>1</v>
      </c>
      <c r="AK113" s="33">
        <v>0</v>
      </c>
      <c r="AL113" s="33">
        <v>46</v>
      </c>
      <c r="AM113" s="33">
        <v>185</v>
      </c>
      <c r="AN113" s="68">
        <f>'O.G.Chem Results'!AN113/'O.G.Chem Results'!$AN$142</f>
        <v>2.5641025641025639</v>
      </c>
      <c r="AO113" s="33">
        <v>380</v>
      </c>
      <c r="AP113" s="33">
        <v>8</v>
      </c>
      <c r="AQ113" s="33" t="s">
        <v>72</v>
      </c>
      <c r="AR113" s="33">
        <v>1</v>
      </c>
      <c r="AS113" s="33" t="s">
        <v>73</v>
      </c>
      <c r="AT113" s="33">
        <v>0</v>
      </c>
      <c r="AU113" s="33" t="s">
        <v>74</v>
      </c>
      <c r="AV113" s="33">
        <v>1</v>
      </c>
      <c r="AW113" s="33">
        <v>712</v>
      </c>
      <c r="AX113" s="33" t="s">
        <v>75</v>
      </c>
      <c r="AY113" s="68">
        <f>'O.G.Chem Results'!AY113/'O.G.Chem Results'!AY$142</f>
        <v>36.170212765957451</v>
      </c>
      <c r="AZ113" s="68">
        <f>'O.G.Chem Results'!AZ113/'O.G.Chem Results'!AZ$142</f>
        <v>30.669761273209545</v>
      </c>
      <c r="BA113" s="68">
        <f>'O.G.Chem Results'!BA113/'O.G.Chem Results'!BA$142</f>
        <v>21.548821548821547</v>
      </c>
      <c r="BB113" s="68">
        <f>'O.G.Chem Results'!BB113/'O.G.Chem Results'!BB$142</f>
        <v>15.251989389920427</v>
      </c>
      <c r="BC113" s="68">
        <f>'O.G.Chem Results'!BC113/'O.G.Chem Results'!BC$142</f>
        <v>8.8375254928619995</v>
      </c>
      <c r="BD113" s="68">
        <f>'O.G.Chem Results'!BD113/'O.G.Chem Results'!BD$142</f>
        <v>6.2499999999999991</v>
      </c>
      <c r="BE113" s="68">
        <f>'O.G.Chem Results'!BE113/'O.G.Chem Results'!BE$142</f>
        <v>5.1136363636363642</v>
      </c>
      <c r="BF113" s="68">
        <f>'O.G.Chem Results'!BF113/'O.G.Chem Results'!BF$142</f>
        <v>2.7548209366391188</v>
      </c>
      <c r="BG113" s="68">
        <f>'O.G.Chem Results'!BG113/'O.G.Chem Results'!BG$142</f>
        <v>3.7082818294190361</v>
      </c>
      <c r="BH113" s="68">
        <f>'O.G.Chem Results'!BH113/'O.G.Chem Results'!BH$142</f>
        <v>3.5971223021582732</v>
      </c>
      <c r="BI113" s="68">
        <f>'O.G.Chem Results'!BI113/'O.G.Chem Results'!BI$142</f>
        <v>3.146633102580239</v>
      </c>
      <c r="BJ113" s="68">
        <f>'O.G.Chem Results'!BJ113/'O.G.Chem Results'!BJ$142</f>
        <v>4.1322314049586781</v>
      </c>
      <c r="BK113" s="68">
        <f>'O.G.Chem Results'!BK113/'O.G.Chem Results'!BK$142</f>
        <v>4.9230769230769234</v>
      </c>
      <c r="BL113" s="68">
        <f>'O.G.Chem Results'!BL113/'O.G.Chem Results'!BL$142</f>
        <v>5.3497942386831276</v>
      </c>
      <c r="BM113" s="33">
        <v>10.5</v>
      </c>
      <c r="BN113" s="33">
        <v>0.5</v>
      </c>
      <c r="BO113" s="33">
        <v>0</v>
      </c>
      <c r="BP113" s="33">
        <v>0.3</v>
      </c>
      <c r="BQ113" s="33">
        <v>13</v>
      </c>
      <c r="BR113" s="33">
        <v>3.7</v>
      </c>
      <c r="BS113" s="33">
        <v>1.6</v>
      </c>
      <c r="BT113" s="34">
        <f t="shared" si="53"/>
        <v>0.4588535784774187</v>
      </c>
      <c r="BU113" s="282">
        <f t="shared" si="54"/>
        <v>151.45390757192277</v>
      </c>
      <c r="BV113" s="35">
        <f t="shared" si="52"/>
        <v>27.5</v>
      </c>
      <c r="BW113" s="79">
        <f t="shared" si="48"/>
        <v>70.28301886792454</v>
      </c>
      <c r="BX113" s="69">
        <f t="shared" si="36"/>
        <v>1.4232686090848805</v>
      </c>
      <c r="BY113" s="34">
        <v>8.58</v>
      </c>
      <c r="BZ113" s="34">
        <v>0.96</v>
      </c>
      <c r="CA113" s="34">
        <v>35.15</v>
      </c>
      <c r="CB113" s="34">
        <v>0</v>
      </c>
      <c r="CC113" s="34">
        <v>6.3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14.81</v>
      </c>
      <c r="CL113" s="34">
        <v>14.95</v>
      </c>
      <c r="CM113" s="34">
        <v>0</v>
      </c>
      <c r="CN113" s="34">
        <v>13.05</v>
      </c>
      <c r="CO113" s="34">
        <v>0</v>
      </c>
      <c r="CP113" s="34">
        <v>2.17</v>
      </c>
      <c r="CQ113" s="34">
        <v>0</v>
      </c>
      <c r="CR113" s="34">
        <v>0</v>
      </c>
      <c r="CS113" s="34">
        <v>4.03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282">
        <v>100</v>
      </c>
      <c r="CZ113" s="286">
        <v>0.38856953349546763</v>
      </c>
      <c r="DA113" s="286">
        <v>0</v>
      </c>
      <c r="DB113" s="286">
        <v>6.9644041565332743E-2</v>
      </c>
      <c r="DC113" s="286">
        <v>0</v>
      </c>
      <c r="DD113" s="286">
        <v>0</v>
      </c>
      <c r="DE113" s="286">
        <v>0</v>
      </c>
      <c r="DF113" s="286">
        <v>0</v>
      </c>
      <c r="DG113" s="286">
        <v>0</v>
      </c>
      <c r="DH113" s="286">
        <v>0</v>
      </c>
      <c r="DI113" s="286">
        <v>0</v>
      </c>
      <c r="DJ113" s="286">
        <v>0.16371877072739335</v>
      </c>
      <c r="DK113" s="286">
        <v>0.16526641609551182</v>
      </c>
      <c r="DL113" s="286">
        <v>0</v>
      </c>
      <c r="DM113" s="286">
        <v>0.14426265752818929</v>
      </c>
      <c r="DN113" s="286">
        <v>0</v>
      </c>
      <c r="DO113" s="286">
        <v>2.3988503205836835E-2</v>
      </c>
      <c r="DP113" s="286">
        <v>0</v>
      </c>
      <c r="DQ113" s="286">
        <v>0</v>
      </c>
      <c r="DR113" s="286">
        <v>4.4550077382268412E-2</v>
      </c>
      <c r="DS113" s="286">
        <v>0</v>
      </c>
      <c r="DT113" s="286">
        <v>0</v>
      </c>
      <c r="DU113" s="286">
        <v>0</v>
      </c>
      <c r="DV113" s="286">
        <v>0</v>
      </c>
      <c r="DW113" s="286">
        <v>0</v>
      </c>
      <c r="DX113" s="34">
        <v>1</v>
      </c>
      <c r="DY113" s="79">
        <v>69.761610307438517</v>
      </c>
      <c r="DZ113" s="79">
        <v>19.887880044061955</v>
      </c>
      <c r="EA113" s="79">
        <v>0.25185552421049212</v>
      </c>
      <c r="EB113" s="79">
        <v>1.0237355876423104</v>
      </c>
      <c r="EC113" s="79">
        <v>0</v>
      </c>
      <c r="ED113" s="79">
        <v>0.35866474518176084</v>
      </c>
      <c r="EE113" s="79">
        <v>0</v>
      </c>
      <c r="EF113" s="79">
        <v>0.82335819940856125</v>
      </c>
      <c r="EG113" s="79">
        <v>2.5519321251904645</v>
      </c>
      <c r="EH113" s="79">
        <v>7.7339690700602218E-2</v>
      </c>
      <c r="EI113" s="79">
        <v>0</v>
      </c>
      <c r="EJ113" s="79">
        <v>5.2636237761653648</v>
      </c>
      <c r="EK113" s="79">
        <v>0</v>
      </c>
      <c r="EL113" s="79">
        <v>100.00000000000003</v>
      </c>
      <c r="EM113" s="34">
        <v>85.490841226241216</v>
      </c>
      <c r="EN113" s="34" t="s">
        <v>480</v>
      </c>
      <c r="EO113" s="290">
        <v>1.3677273147406107E-2</v>
      </c>
      <c r="EP113" s="257">
        <f t="shared" si="37"/>
        <v>1.3677273147406106</v>
      </c>
      <c r="EQ113" s="257">
        <f t="shared" si="38"/>
        <v>53.805821732055676</v>
      </c>
      <c r="ER113" s="324">
        <f t="shared" si="39"/>
        <v>0.89598272377419075</v>
      </c>
      <c r="ES113" s="257">
        <f t="shared" si="40"/>
        <v>1.0504252440320863</v>
      </c>
      <c r="ET113">
        <f t="shared" si="35"/>
        <v>27.5</v>
      </c>
      <c r="EU113" s="324">
        <f t="shared" si="41"/>
        <v>0.85297143120336327</v>
      </c>
      <c r="EV113" s="39">
        <f t="shared" si="42"/>
        <v>159.625</v>
      </c>
      <c r="EX113">
        <f t="shared" si="43"/>
        <v>0.71282051282051284</v>
      </c>
    </row>
    <row r="114" spans="1:160" ht="13" customHeight="1" x14ac:dyDescent="0.2">
      <c r="A114" s="30" t="s">
        <v>474</v>
      </c>
      <c r="B114" s="31" t="s">
        <v>462</v>
      </c>
      <c r="C114" s="86">
        <f t="shared" si="55"/>
        <v>159.38500000000002</v>
      </c>
      <c r="D114" s="32">
        <v>35</v>
      </c>
      <c r="E114" s="32">
        <v>68</v>
      </c>
      <c r="F114" s="33">
        <f t="shared" si="49"/>
        <v>51.5</v>
      </c>
      <c r="G114" s="31" t="s">
        <v>507</v>
      </c>
      <c r="H114" s="84">
        <v>2.5</v>
      </c>
      <c r="I114" s="85">
        <v>4</v>
      </c>
      <c r="J114" s="85">
        <v>6</v>
      </c>
      <c r="K114" s="89">
        <f t="shared" si="46"/>
        <v>1.6666666666666667</v>
      </c>
      <c r="L114" s="33">
        <v>140</v>
      </c>
      <c r="M114" s="33">
        <v>81</v>
      </c>
      <c r="N114" s="33">
        <v>54</v>
      </c>
      <c r="O114" s="33">
        <v>67.319999999999993</v>
      </c>
      <c r="P114" s="33">
        <v>15.14</v>
      </c>
      <c r="Q114" s="33">
        <v>5.51</v>
      </c>
      <c r="R114" s="33">
        <v>0.06</v>
      </c>
      <c r="S114" s="33">
        <v>1.1200000000000001</v>
      </c>
      <c r="T114" s="33">
        <v>0.76</v>
      </c>
      <c r="U114" s="33">
        <v>1.29</v>
      </c>
      <c r="V114" s="33">
        <v>1.68</v>
      </c>
      <c r="W114" s="33">
        <v>0.80900000000000005</v>
      </c>
      <c r="X114" s="33">
        <v>0.01</v>
      </c>
      <c r="Y114" s="33">
        <v>5.88</v>
      </c>
      <c r="Z114" s="33">
        <v>99.58</v>
      </c>
      <c r="AA114" s="33">
        <v>12</v>
      </c>
      <c r="AB114" s="33">
        <v>1</v>
      </c>
      <c r="AC114" s="33">
        <v>89</v>
      </c>
      <c r="AD114" s="33">
        <v>0</v>
      </c>
      <c r="AE114" s="33">
        <v>10</v>
      </c>
      <c r="AF114" s="33">
        <v>0</v>
      </c>
      <c r="AG114" s="33">
        <v>20</v>
      </c>
      <c r="AH114" s="33">
        <v>60</v>
      </c>
      <c r="AI114" s="33">
        <v>18</v>
      </c>
      <c r="AJ114" s="33">
        <v>1</v>
      </c>
      <c r="AK114" s="33">
        <v>0</v>
      </c>
      <c r="AL114" s="33">
        <v>80</v>
      </c>
      <c r="AM114" s="33">
        <v>157</v>
      </c>
      <c r="AN114" s="68">
        <f>'O.G.Chem Results'!AN114/'O.G.Chem Results'!$AN$142</f>
        <v>4.4871794871794872</v>
      </c>
      <c r="AO114" s="33">
        <v>318</v>
      </c>
      <c r="AP114" s="33">
        <v>9</v>
      </c>
      <c r="AQ114" s="33" t="s">
        <v>72</v>
      </c>
      <c r="AR114" s="33">
        <v>1.1000000000000001</v>
      </c>
      <c r="AS114" s="33" t="s">
        <v>73</v>
      </c>
      <c r="AT114" s="33">
        <v>2</v>
      </c>
      <c r="AU114" s="33" t="s">
        <v>74</v>
      </c>
      <c r="AV114" s="33">
        <v>2.2000000000000002</v>
      </c>
      <c r="AW114" s="33">
        <v>691</v>
      </c>
      <c r="AX114" s="33" t="s">
        <v>75</v>
      </c>
      <c r="AY114" s="68">
        <f>'O.G.Chem Results'!AY114/'O.G.Chem Results'!AY$142</f>
        <v>61.702127659574472</v>
      </c>
      <c r="AZ114" s="68">
        <f>'O.G.Chem Results'!AZ114/'O.G.Chem Results'!AZ$142</f>
        <v>50.066312997347474</v>
      </c>
      <c r="BA114" s="68">
        <f>'O.G.Chem Results'!BA114/'O.G.Chem Results'!BA$142</f>
        <v>38.60830527497194</v>
      </c>
      <c r="BB114" s="68">
        <f>'O.G.Chem Results'!BB114/'O.G.Chem Results'!BB$142</f>
        <v>28.735632183908049</v>
      </c>
      <c r="BC114" s="68">
        <f>'O.G.Chem Results'!BC114/'O.G.Chem Results'!BC$142</f>
        <v>16.315431679129844</v>
      </c>
      <c r="BD114" s="68">
        <f>'O.G.Chem Results'!BD114/'O.G.Chem Results'!BD$142</f>
        <v>11.607142857142858</v>
      </c>
      <c r="BE114" s="68">
        <f>'O.G.Chem Results'!BE114/'O.G.Chem Results'!BE$142</f>
        <v>8.5227272727272734</v>
      </c>
      <c r="BF114" s="68">
        <f>'O.G.Chem Results'!BF114/'O.G.Chem Results'!BF$142</f>
        <v>5.5096418732782375</v>
      </c>
      <c r="BG114" s="68">
        <f>'O.G.Chem Results'!BG114/'O.G.Chem Results'!BG$142</f>
        <v>5.7684384013184999</v>
      </c>
      <c r="BH114" s="68">
        <f>'O.G.Chem Results'!BH114/'O.G.Chem Results'!BH$142</f>
        <v>5.3956834532374094</v>
      </c>
      <c r="BI114" s="68">
        <f>'O.G.Chem Results'!BI114/'O.G.Chem Results'!BI$142</f>
        <v>5.0346129641283826</v>
      </c>
      <c r="BJ114" s="68">
        <f>'O.G.Chem Results'!BJ114/'O.G.Chem Results'!BJ$142</f>
        <v>5.3719008264462813</v>
      </c>
      <c r="BK114" s="68">
        <f>'O.G.Chem Results'!BK114/'O.G.Chem Results'!BK$142</f>
        <v>6.1538461538461533</v>
      </c>
      <c r="BL114" s="68">
        <f>'O.G.Chem Results'!BL114/'O.G.Chem Results'!BL$142</f>
        <v>6.9958847736625511</v>
      </c>
      <c r="BM114" s="33">
        <v>8.1</v>
      </c>
      <c r="BN114" s="33">
        <v>0.5</v>
      </c>
      <c r="BO114" s="33">
        <v>0</v>
      </c>
      <c r="BP114" s="33">
        <v>0.5</v>
      </c>
      <c r="BQ114" s="33">
        <v>18</v>
      </c>
      <c r="BR114" s="33">
        <v>6.9</v>
      </c>
      <c r="BS114" s="33">
        <v>1.7</v>
      </c>
      <c r="BT114" s="34">
        <f t="shared" si="53"/>
        <v>0.44794677910044561</v>
      </c>
      <c r="BU114" s="282">
        <f t="shared" si="54"/>
        <v>255.78768837071939</v>
      </c>
      <c r="BV114" s="35">
        <f t="shared" si="52"/>
        <v>51.5</v>
      </c>
      <c r="BW114" s="79">
        <f t="shared" si="48"/>
        <v>80.2331743508214</v>
      </c>
      <c r="BX114" s="69">
        <f t="shared" si="36"/>
        <v>1.2967757232743198</v>
      </c>
      <c r="BY114" s="34">
        <v>9.16</v>
      </c>
      <c r="BZ114" s="34">
        <v>1.38</v>
      </c>
      <c r="CA114" s="34">
        <v>17.579999999999998</v>
      </c>
      <c r="CB114" s="34">
        <v>0</v>
      </c>
      <c r="CC114" s="34">
        <v>4.97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5.05</v>
      </c>
      <c r="CL114" s="34">
        <v>24.24</v>
      </c>
      <c r="CM114" s="34">
        <v>0.03</v>
      </c>
      <c r="CN114" s="34">
        <v>28.3</v>
      </c>
      <c r="CO114" s="34">
        <v>0</v>
      </c>
      <c r="CP114" s="34">
        <v>4.75</v>
      </c>
      <c r="CQ114" s="34">
        <v>0</v>
      </c>
      <c r="CR114" s="34">
        <v>0</v>
      </c>
      <c r="CS114" s="34">
        <v>3.54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282">
        <v>99</v>
      </c>
      <c r="CZ114" s="286">
        <v>0.1987338910241917</v>
      </c>
      <c r="DA114" s="286">
        <v>0</v>
      </c>
      <c r="DB114" s="286">
        <v>5.6183585801492193E-2</v>
      </c>
      <c r="DC114" s="286">
        <v>0</v>
      </c>
      <c r="DD114" s="286">
        <v>0</v>
      </c>
      <c r="DE114" s="286">
        <v>0</v>
      </c>
      <c r="DF114" s="286">
        <v>0</v>
      </c>
      <c r="DG114" s="286">
        <v>0</v>
      </c>
      <c r="DH114" s="286">
        <v>0</v>
      </c>
      <c r="DI114" s="286">
        <v>0</v>
      </c>
      <c r="DJ114" s="286">
        <v>5.708794935564096E-2</v>
      </c>
      <c r="DK114" s="286">
        <v>0.2740221569070766</v>
      </c>
      <c r="DL114" s="286">
        <v>3.3913633280578789E-4</v>
      </c>
      <c r="DM114" s="286">
        <v>0.31991860728012661</v>
      </c>
      <c r="DN114" s="286">
        <v>0</v>
      </c>
      <c r="DO114" s="286">
        <v>5.3696586027583086E-2</v>
      </c>
      <c r="DP114" s="286">
        <v>0</v>
      </c>
      <c r="DQ114" s="286">
        <v>0</v>
      </c>
      <c r="DR114" s="286">
        <v>4.0018087271082969E-2</v>
      </c>
      <c r="DS114" s="286">
        <v>0</v>
      </c>
      <c r="DT114" s="286">
        <v>0</v>
      </c>
      <c r="DU114" s="286">
        <v>0</v>
      </c>
      <c r="DV114" s="286">
        <v>0</v>
      </c>
      <c r="DW114" s="286">
        <v>0</v>
      </c>
      <c r="DX114" s="34">
        <v>0.99999999999999978</v>
      </c>
      <c r="DY114" s="79">
        <v>59.425462637998628</v>
      </c>
      <c r="DZ114" s="79">
        <v>25.76396963757125</v>
      </c>
      <c r="EA114" s="79">
        <v>8.9147346073945907E-2</v>
      </c>
      <c r="EB114" s="79">
        <v>2.2724896772691183</v>
      </c>
      <c r="EC114" s="79">
        <v>0</v>
      </c>
      <c r="ED114" s="79">
        <v>0.7971779171685992</v>
      </c>
      <c r="EE114" s="79">
        <v>3.1054962968021397E-4</v>
      </c>
      <c r="EF114" s="79">
        <v>0.6642236004990818</v>
      </c>
      <c r="EG114" s="79">
        <v>4.6715443349620855</v>
      </c>
      <c r="EH114" s="79">
        <v>0.17150942981608178</v>
      </c>
      <c r="EI114" s="79">
        <v>0</v>
      </c>
      <c r="EJ114" s="79">
        <v>6.1441648690115125</v>
      </c>
      <c r="EK114" s="79">
        <v>0</v>
      </c>
      <c r="EL114" s="79">
        <v>99.999999999999986</v>
      </c>
      <c r="EM114" s="34">
        <v>82.842217915404021</v>
      </c>
      <c r="EN114" s="34" t="s">
        <v>474</v>
      </c>
      <c r="EO114" s="290">
        <v>2.5661610942972854E-2</v>
      </c>
      <c r="EP114" s="257">
        <f t="shared" si="37"/>
        <v>2.5661610942972852</v>
      </c>
      <c r="EQ114" s="257">
        <f t="shared" si="38"/>
        <v>41.340860973888489</v>
      </c>
      <c r="ER114" s="324">
        <f t="shared" si="39"/>
        <v>0.9346218356715208</v>
      </c>
      <c r="ES114" s="257">
        <f t="shared" si="40"/>
        <v>0.98724234293274626</v>
      </c>
      <c r="ET114">
        <f t="shared" si="35"/>
        <v>51.5</v>
      </c>
      <c r="EU114" s="324">
        <f t="shared" si="41"/>
        <v>0.94669950328010788</v>
      </c>
      <c r="EV114" s="39">
        <f t="shared" si="42"/>
        <v>159.38500000000002</v>
      </c>
      <c r="EX114">
        <f t="shared" si="43"/>
        <v>0.83162393162393178</v>
      </c>
    </row>
    <row r="115" spans="1:160" ht="13" customHeight="1" x14ac:dyDescent="0.2">
      <c r="A115" s="30" t="s">
        <v>475</v>
      </c>
      <c r="B115" s="31" t="s">
        <v>462</v>
      </c>
      <c r="C115" s="86">
        <f t="shared" si="55"/>
        <v>158.98000000000002</v>
      </c>
      <c r="D115" s="32">
        <v>68</v>
      </c>
      <c r="E115" s="32">
        <v>116</v>
      </c>
      <c r="F115" s="33">
        <f t="shared" si="49"/>
        <v>92</v>
      </c>
      <c r="G115" s="31" t="s">
        <v>507</v>
      </c>
      <c r="H115" s="84">
        <v>2.5</v>
      </c>
      <c r="I115" s="85">
        <v>4</v>
      </c>
      <c r="J115" s="85">
        <v>6</v>
      </c>
      <c r="K115" s="89">
        <f t="shared" si="46"/>
        <v>1.6666666666666667</v>
      </c>
      <c r="L115" s="33">
        <v>140</v>
      </c>
      <c r="M115" s="33">
        <v>81</v>
      </c>
      <c r="N115" s="33">
        <v>54</v>
      </c>
      <c r="O115" s="33">
        <v>52.78</v>
      </c>
      <c r="P115" s="33">
        <v>22.83</v>
      </c>
      <c r="Q115" s="33">
        <v>6.98</v>
      </c>
      <c r="R115" s="33">
        <v>5.0999999999999997E-2</v>
      </c>
      <c r="S115" s="33">
        <v>1.53</v>
      </c>
      <c r="T115" s="33">
        <v>0.59</v>
      </c>
      <c r="U115" s="33">
        <v>0.99</v>
      </c>
      <c r="V115" s="33">
        <v>1.7</v>
      </c>
      <c r="W115" s="33">
        <v>0.86799999999999999</v>
      </c>
      <c r="X115" s="33">
        <v>0.01</v>
      </c>
      <c r="Y115" s="33">
        <v>10.48</v>
      </c>
      <c r="Z115" s="33">
        <v>98.82</v>
      </c>
      <c r="AA115" s="33">
        <v>18</v>
      </c>
      <c r="AB115" s="33">
        <v>2</v>
      </c>
      <c r="AC115" s="33">
        <v>113</v>
      </c>
      <c r="AD115" s="33">
        <v>0</v>
      </c>
      <c r="AE115" s="33">
        <v>13</v>
      </c>
      <c r="AF115" s="33">
        <v>20</v>
      </c>
      <c r="AG115" s="33">
        <v>20</v>
      </c>
      <c r="AH115" s="33">
        <v>80</v>
      </c>
      <c r="AI115" s="33">
        <v>29</v>
      </c>
      <c r="AJ115" s="33">
        <v>2</v>
      </c>
      <c r="AK115" s="33">
        <v>0</v>
      </c>
      <c r="AL115" s="33">
        <v>100</v>
      </c>
      <c r="AM115" s="33">
        <v>131</v>
      </c>
      <c r="AN115" s="68">
        <f>'O.G.Chem Results'!AN115/'O.G.Chem Results'!$AN$142</f>
        <v>3.2051282051282048</v>
      </c>
      <c r="AO115" s="33">
        <v>154</v>
      </c>
      <c r="AP115" s="33">
        <v>10</v>
      </c>
      <c r="AQ115" s="33" t="s">
        <v>72</v>
      </c>
      <c r="AR115" s="33" t="s">
        <v>74</v>
      </c>
      <c r="AS115" s="33" t="s">
        <v>73</v>
      </c>
      <c r="AT115" s="33">
        <v>2</v>
      </c>
      <c r="AU115" s="33" t="s">
        <v>74</v>
      </c>
      <c r="AV115" s="33">
        <v>3.3</v>
      </c>
      <c r="AW115" s="33">
        <v>557</v>
      </c>
      <c r="AX115" s="33" t="s">
        <v>75</v>
      </c>
      <c r="AY115" s="68">
        <f>'O.G.Chem Results'!AY115/'O.G.Chem Results'!AY$142</f>
        <v>66.808510638297875</v>
      </c>
      <c r="AZ115" s="68">
        <f>'O.G.Chem Results'!AZ115/'O.G.Chem Results'!AZ$142</f>
        <v>67.639257294429697</v>
      </c>
      <c r="BA115" s="68">
        <f>'O.G.Chem Results'!BA115/'O.G.Chem Results'!BA$142</f>
        <v>43.43434343434344</v>
      </c>
      <c r="BB115" s="68">
        <f>'O.G.Chem Results'!BB115/'O.G.Chem Results'!BB$142</f>
        <v>34.482758620689658</v>
      </c>
      <c r="BC115" s="68">
        <f>'O.G.Chem Results'!BC115/'O.G.Chem Results'!BC$142</f>
        <v>19.034670292318154</v>
      </c>
      <c r="BD115" s="68">
        <f>'O.G.Chem Results'!BD115/'O.G.Chem Results'!BD$142</f>
        <v>12.678571428571427</v>
      </c>
      <c r="BE115" s="68">
        <f>'O.G.Chem Results'!BE115/'O.G.Chem Results'!BE$142</f>
        <v>10.227272727272728</v>
      </c>
      <c r="BF115" s="68">
        <f>'O.G.Chem Results'!BF115/'O.G.Chem Results'!BF$142</f>
        <v>5.5096418732782375</v>
      </c>
      <c r="BG115" s="68">
        <f>'O.G.Chem Results'!BG115/'O.G.Chem Results'!BG$142</f>
        <v>5.3564070869386073</v>
      </c>
      <c r="BH115" s="68">
        <f>'O.G.Chem Results'!BH115/'O.G.Chem Results'!BH$142</f>
        <v>3.5971223021582732</v>
      </c>
      <c r="BI115" s="68">
        <f>'O.G.Chem Results'!BI115/'O.G.Chem Results'!BI$142</f>
        <v>4.4052863436123344</v>
      </c>
      <c r="BJ115" s="68">
        <f>'O.G.Chem Results'!BJ115/'O.G.Chem Results'!BJ$142</f>
        <v>4.5454545454545459</v>
      </c>
      <c r="BK115" s="68">
        <f>'O.G.Chem Results'!BK115/'O.G.Chem Results'!BK$142</f>
        <v>4.9230769230769234</v>
      </c>
      <c r="BL115" s="68">
        <f>'O.G.Chem Results'!BL115/'O.G.Chem Results'!BL$142</f>
        <v>5.3497942386831276</v>
      </c>
      <c r="BM115" s="33">
        <v>4</v>
      </c>
      <c r="BN115" s="33">
        <v>0.5</v>
      </c>
      <c r="BO115" s="33">
        <v>0</v>
      </c>
      <c r="BP115" s="33">
        <v>0.7</v>
      </c>
      <c r="BQ115" s="33">
        <v>23</v>
      </c>
      <c r="BR115" s="33">
        <v>13.4</v>
      </c>
      <c r="BS115" s="33">
        <v>1.4</v>
      </c>
      <c r="BT115" s="34">
        <f t="shared" si="53"/>
        <v>0.50308947730745335</v>
      </c>
      <c r="BU115" s="282">
        <f t="shared" si="54"/>
        <v>287.99216774912492</v>
      </c>
      <c r="BV115" s="35">
        <f t="shared" si="52"/>
        <v>92</v>
      </c>
      <c r="BW115" s="79">
        <f t="shared" si="48"/>
        <v>87.437763309076999</v>
      </c>
      <c r="BX115" s="69">
        <f t="shared" si="36"/>
        <v>1.5572759237554743</v>
      </c>
      <c r="BY115" s="34">
        <v>9.7799999999999994</v>
      </c>
      <c r="BZ115" s="34">
        <v>1.07</v>
      </c>
      <c r="CA115" s="34">
        <v>24.09</v>
      </c>
      <c r="CB115" s="34">
        <v>0</v>
      </c>
      <c r="CC115" s="34">
        <v>8.68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4.58</v>
      </c>
      <c r="CL115" s="34">
        <v>20.46</v>
      </c>
      <c r="CM115" s="34">
        <v>0.03</v>
      </c>
      <c r="CN115" s="34">
        <v>25.72</v>
      </c>
      <c r="CO115" s="34">
        <v>0</v>
      </c>
      <c r="CP115" s="34">
        <v>3.8</v>
      </c>
      <c r="CQ115" s="34">
        <v>0</v>
      </c>
      <c r="CR115" s="34">
        <v>0</v>
      </c>
      <c r="CS115" s="34">
        <v>1.81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282">
        <v>100.02</v>
      </c>
      <c r="CZ115" s="286">
        <v>0.27015812492990915</v>
      </c>
      <c r="DA115" s="286">
        <v>0</v>
      </c>
      <c r="DB115" s="286">
        <v>9.734215543344174E-2</v>
      </c>
      <c r="DC115" s="286">
        <v>0</v>
      </c>
      <c r="DD115" s="286">
        <v>0</v>
      </c>
      <c r="DE115" s="286">
        <v>0</v>
      </c>
      <c r="DF115" s="286">
        <v>0</v>
      </c>
      <c r="DG115" s="286">
        <v>0</v>
      </c>
      <c r="DH115" s="286">
        <v>0</v>
      </c>
      <c r="DI115" s="286">
        <v>0</v>
      </c>
      <c r="DJ115" s="286">
        <v>5.1362565885387464E-2</v>
      </c>
      <c r="DK115" s="286">
        <v>0.22944936637882696</v>
      </c>
      <c r="DL115" s="286">
        <v>3.3643602108332396E-4</v>
      </c>
      <c r="DM115" s="286">
        <v>0.28843781540876973</v>
      </c>
      <c r="DN115" s="286">
        <v>0</v>
      </c>
      <c r="DO115" s="286">
        <v>4.2615229337221033E-2</v>
      </c>
      <c r="DP115" s="286">
        <v>0</v>
      </c>
      <c r="DQ115" s="286">
        <v>0</v>
      </c>
      <c r="DR115" s="286">
        <v>2.0298306605360548E-2</v>
      </c>
      <c r="DS115" s="286">
        <v>0</v>
      </c>
      <c r="DT115" s="286">
        <v>0</v>
      </c>
      <c r="DU115" s="286">
        <v>0</v>
      </c>
      <c r="DV115" s="286">
        <v>0</v>
      </c>
      <c r="DW115" s="286">
        <v>0</v>
      </c>
      <c r="DX115" s="34">
        <v>1</v>
      </c>
      <c r="DY115" s="79">
        <v>63.738938968740165</v>
      </c>
      <c r="DZ115" s="79">
        <v>23.003158182153786</v>
      </c>
      <c r="EA115" s="79">
        <v>8.0329183725551132E-2</v>
      </c>
      <c r="EB115" s="79">
        <v>2.0228515465751888</v>
      </c>
      <c r="EC115" s="79">
        <v>0</v>
      </c>
      <c r="ED115" s="79">
        <v>0.70438044598759453</v>
      </c>
      <c r="EE115" s="79">
        <v>3.0807693441192924E-4</v>
      </c>
      <c r="EF115" s="79">
        <v>1.1508157772412007</v>
      </c>
      <c r="EG115" s="79">
        <v>3.8775455323563239</v>
      </c>
      <c r="EH115" s="79">
        <v>0.15463247254898704</v>
      </c>
      <c r="EI115" s="79">
        <v>0</v>
      </c>
      <c r="EJ115" s="79">
        <v>5.2670398137367833</v>
      </c>
      <c r="EK115" s="79">
        <v>0</v>
      </c>
      <c r="EL115" s="79">
        <v>99.999999999999972</v>
      </c>
      <c r="EM115" s="34">
        <v>82.060857879457529</v>
      </c>
      <c r="EN115" s="34" t="s">
        <v>475</v>
      </c>
      <c r="EO115" s="290">
        <v>2.2852373694925071E-2</v>
      </c>
      <c r="EP115" s="257">
        <f t="shared" si="37"/>
        <v>2.2852373694925072</v>
      </c>
      <c r="EQ115" s="257">
        <f t="shared" si="38"/>
        <v>38.493466564181404</v>
      </c>
      <c r="ER115" s="324">
        <f t="shared" si="39"/>
        <v>0.8665570444234082</v>
      </c>
      <c r="ES115" s="257">
        <f t="shared" si="40"/>
        <v>1.2071269338203694</v>
      </c>
      <c r="ET115">
        <f t="shared" si="35"/>
        <v>92</v>
      </c>
      <c r="EU115" s="324">
        <f t="shared" si="41"/>
        <v>0.71786737595265948</v>
      </c>
      <c r="EV115" s="39">
        <f t="shared" si="42"/>
        <v>158.98000000000002</v>
      </c>
      <c r="EX115">
        <f t="shared" si="43"/>
        <v>0.89102564102564097</v>
      </c>
    </row>
    <row r="116" spans="1:160" ht="13" customHeight="1" x14ac:dyDescent="0.2">
      <c r="A116" s="30" t="s">
        <v>481</v>
      </c>
      <c r="B116" s="31" t="s">
        <v>462</v>
      </c>
      <c r="C116" s="86">
        <f t="shared" si="55"/>
        <v>158.5</v>
      </c>
      <c r="D116" s="32">
        <v>116</v>
      </c>
      <c r="E116" s="32">
        <v>164</v>
      </c>
      <c r="F116" s="33">
        <f t="shared" si="49"/>
        <v>140</v>
      </c>
      <c r="G116" s="31" t="s">
        <v>506</v>
      </c>
      <c r="H116" s="84">
        <v>5</v>
      </c>
      <c r="I116" s="85">
        <v>4</v>
      </c>
      <c r="J116" s="85">
        <v>6</v>
      </c>
      <c r="K116" s="89">
        <f t="shared" si="46"/>
        <v>3.3333333333333335</v>
      </c>
      <c r="L116" s="33">
        <v>136</v>
      </c>
      <c r="M116" s="33">
        <v>83</v>
      </c>
      <c r="N116" s="33">
        <v>47</v>
      </c>
      <c r="O116" s="33">
        <v>57.08</v>
      </c>
      <c r="P116" s="33">
        <v>22.35</v>
      </c>
      <c r="Q116" s="33">
        <v>5.83</v>
      </c>
      <c r="R116" s="33">
        <v>4.8000000000000001E-2</v>
      </c>
      <c r="S116" s="33">
        <v>1.45</v>
      </c>
      <c r="T116" s="33">
        <v>0.88</v>
      </c>
      <c r="U116" s="33">
        <v>1.58</v>
      </c>
      <c r="V116" s="33">
        <v>1.34</v>
      </c>
      <c r="W116" s="33">
        <v>0.73599999999999999</v>
      </c>
      <c r="X116" s="33">
        <v>0.02</v>
      </c>
      <c r="Y116" s="33">
        <v>9.09</v>
      </c>
      <c r="Z116" s="33">
        <v>100.4</v>
      </c>
      <c r="AA116" s="33">
        <v>17</v>
      </c>
      <c r="AB116" s="33">
        <v>2</v>
      </c>
      <c r="AC116" s="33">
        <v>91</v>
      </c>
      <c r="AD116" s="33">
        <v>0</v>
      </c>
      <c r="AE116" s="33">
        <v>12</v>
      </c>
      <c r="AF116" s="33">
        <v>0</v>
      </c>
      <c r="AG116" s="33">
        <v>20</v>
      </c>
      <c r="AH116" s="33">
        <v>70</v>
      </c>
      <c r="AI116" s="33">
        <v>26</v>
      </c>
      <c r="AJ116" s="33">
        <v>2</v>
      </c>
      <c r="AK116" s="33">
        <v>0</v>
      </c>
      <c r="AL116" s="33">
        <v>79</v>
      </c>
      <c r="AM116" s="33">
        <v>172</v>
      </c>
      <c r="AN116" s="68">
        <f>'O.G.Chem Results'!AN116/'O.G.Chem Results'!$AN$142</f>
        <v>4.4871794871794872</v>
      </c>
      <c r="AO116" s="33">
        <v>134</v>
      </c>
      <c r="AP116" s="33">
        <v>8</v>
      </c>
      <c r="AQ116" s="33" t="s">
        <v>72</v>
      </c>
      <c r="AR116" s="33" t="s">
        <v>74</v>
      </c>
      <c r="AS116" s="33" t="s">
        <v>73</v>
      </c>
      <c r="AT116" s="33">
        <v>1</v>
      </c>
      <c r="AU116" s="33" t="s">
        <v>74</v>
      </c>
      <c r="AV116" s="33">
        <v>2.5</v>
      </c>
      <c r="AW116" s="33">
        <v>345</v>
      </c>
      <c r="AX116" s="33" t="s">
        <v>75</v>
      </c>
      <c r="AY116" s="68">
        <f>'O.G.Chem Results'!AY116/'O.G.Chem Results'!AY$142</f>
        <v>90.638297872340431</v>
      </c>
      <c r="AZ116" s="68">
        <f>'O.G.Chem Results'!AZ116/'O.G.Chem Results'!AZ$142</f>
        <v>101.12732095490715</v>
      </c>
      <c r="BA116" s="68">
        <f>'O.G.Chem Results'!BA116/'O.G.Chem Results'!BA$142</f>
        <v>67.227833894500563</v>
      </c>
      <c r="BB116" s="68">
        <f>'O.G.Chem Results'!BB116/'O.G.Chem Results'!BB$142</f>
        <v>53.050397877984089</v>
      </c>
      <c r="BC116" s="68">
        <f>'O.G.Chem Results'!BC116/'O.G.Chem Results'!BC$142</f>
        <v>29.911624745071386</v>
      </c>
      <c r="BD116" s="68">
        <f>'O.G.Chem Results'!BD116/'O.G.Chem Results'!BD$142</f>
        <v>20.178571428571427</v>
      </c>
      <c r="BE116" s="68">
        <f>'O.G.Chem Results'!BE116/'O.G.Chem Results'!BE$142</f>
        <v>14.772727272727273</v>
      </c>
      <c r="BF116" s="68">
        <f>'O.G.Chem Results'!BF116/'O.G.Chem Results'!BF$142</f>
        <v>8.2644628099173545</v>
      </c>
      <c r="BG116" s="68">
        <f>'O.G.Chem Results'!BG116/'O.G.Chem Results'!BG$142</f>
        <v>7.0045323444581786</v>
      </c>
      <c r="BH116" s="68">
        <f>'O.G.Chem Results'!BH116/'O.G.Chem Results'!BH$142</f>
        <v>5.3956834532374094</v>
      </c>
      <c r="BI116" s="68">
        <f>'O.G.Chem Results'!BI116/'O.G.Chem Results'!BI$142</f>
        <v>5.6639395846444298</v>
      </c>
      <c r="BJ116" s="68">
        <f>'O.G.Chem Results'!BJ116/'O.G.Chem Results'!BJ$142</f>
        <v>5.7851239669421499</v>
      </c>
      <c r="BK116" s="68">
        <f>'O.G.Chem Results'!BK116/'O.G.Chem Results'!BK$142</f>
        <v>5.5384615384615383</v>
      </c>
      <c r="BL116" s="68">
        <f>'O.G.Chem Results'!BL116/'O.G.Chem Results'!BL$142</f>
        <v>6.1728395061728385</v>
      </c>
      <c r="BM116" s="33">
        <v>3.4</v>
      </c>
      <c r="BN116" s="33">
        <v>0.4</v>
      </c>
      <c r="BO116" s="33">
        <v>0</v>
      </c>
      <c r="BP116" s="33">
        <v>0.6</v>
      </c>
      <c r="BQ116" s="33">
        <v>23</v>
      </c>
      <c r="BR116" s="33">
        <v>10.9</v>
      </c>
      <c r="BS116" s="33">
        <v>1.2</v>
      </c>
      <c r="BT116" s="34">
        <f t="shared" si="53"/>
        <v>0.52734854961674793</v>
      </c>
      <c r="BU116" s="282">
        <f t="shared" si="54"/>
        <v>420.73181724993623</v>
      </c>
      <c r="BV116" s="35">
        <f t="shared" si="52"/>
        <v>140</v>
      </c>
      <c r="BW116" s="79">
        <f t="shared" si="48"/>
        <v>85.468451242829815</v>
      </c>
      <c r="BX116" s="69">
        <f t="shared" si="36"/>
        <v>1.5042477958401046</v>
      </c>
      <c r="BY116" s="34">
        <v>11.47</v>
      </c>
      <c r="BZ116" s="34">
        <v>1.46</v>
      </c>
      <c r="CA116" s="34">
        <v>27.44</v>
      </c>
      <c r="CB116" s="34">
        <v>0</v>
      </c>
      <c r="CC116" s="34">
        <v>15.22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1.41</v>
      </c>
      <c r="CL116" s="34">
        <v>14.66</v>
      </c>
      <c r="CM116" s="34">
        <v>0.09</v>
      </c>
      <c r="CN116" s="34">
        <v>19.600000000000001</v>
      </c>
      <c r="CO116" s="34">
        <v>0</v>
      </c>
      <c r="CP116" s="34">
        <v>6.5</v>
      </c>
      <c r="CQ116" s="34">
        <v>0</v>
      </c>
      <c r="CR116" s="34">
        <v>0</v>
      </c>
      <c r="CS116" s="34">
        <v>2.12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282">
        <v>99.97</v>
      </c>
      <c r="CZ116" s="286">
        <v>0.31525735294117641</v>
      </c>
      <c r="DA116" s="286">
        <v>0</v>
      </c>
      <c r="DB116" s="286">
        <v>0.17486213235294115</v>
      </c>
      <c r="DC116" s="286">
        <v>0</v>
      </c>
      <c r="DD116" s="286">
        <v>0</v>
      </c>
      <c r="DE116" s="286">
        <v>0</v>
      </c>
      <c r="DF116" s="286">
        <v>0</v>
      </c>
      <c r="DG116" s="286">
        <v>0</v>
      </c>
      <c r="DH116" s="286">
        <v>0</v>
      </c>
      <c r="DI116" s="286">
        <v>0</v>
      </c>
      <c r="DJ116" s="286">
        <v>1.6199448529411759E-2</v>
      </c>
      <c r="DK116" s="286">
        <v>0.16842830882352938</v>
      </c>
      <c r="DL116" s="286">
        <v>1.0340073529411763E-3</v>
      </c>
      <c r="DM116" s="286">
        <v>0.22518382352941174</v>
      </c>
      <c r="DN116" s="286">
        <v>0</v>
      </c>
      <c r="DO116" s="286">
        <v>7.4678308823529396E-2</v>
      </c>
      <c r="DP116" s="286">
        <v>0</v>
      </c>
      <c r="DQ116" s="286">
        <v>0</v>
      </c>
      <c r="DR116" s="286">
        <v>2.435661764705882E-2</v>
      </c>
      <c r="DS116" s="286">
        <v>0</v>
      </c>
      <c r="DT116" s="286">
        <v>0</v>
      </c>
      <c r="DU116" s="286">
        <v>0</v>
      </c>
      <c r="DV116" s="286">
        <v>0</v>
      </c>
      <c r="DW116" s="286">
        <v>0</v>
      </c>
      <c r="DX116" s="34">
        <v>0.99999999999999978</v>
      </c>
      <c r="DY116" s="79">
        <v>68.113898155076939</v>
      </c>
      <c r="DZ116" s="79">
        <v>19.770750806501152</v>
      </c>
      <c r="EA116" s="79">
        <v>2.8964824596103642E-2</v>
      </c>
      <c r="EB116" s="79">
        <v>1.7650873490271612</v>
      </c>
      <c r="EC116" s="79">
        <v>0</v>
      </c>
      <c r="ED116" s="79">
        <v>0.65405787767553991</v>
      </c>
      <c r="EE116" s="79">
        <v>9.4684812413298701E-4</v>
      </c>
      <c r="EF116" s="79">
        <v>2.0672862631586031</v>
      </c>
      <c r="EG116" s="79">
        <v>3.6551169039928526</v>
      </c>
      <c r="EH116" s="79">
        <v>0.12072179703982394</v>
      </c>
      <c r="EI116" s="79">
        <v>0</v>
      </c>
      <c r="EJ116" s="79">
        <v>3.8231691748076675</v>
      </c>
      <c r="EK116" s="79">
        <v>0</v>
      </c>
      <c r="EL116" s="79">
        <v>99.999999999999972</v>
      </c>
      <c r="EM116" s="34">
        <v>77.550296614553361</v>
      </c>
      <c r="EN116" s="34" t="s">
        <v>481</v>
      </c>
      <c r="EO116" s="290">
        <v>1.9529100350357095E-2</v>
      </c>
      <c r="EP116" s="257">
        <f t="shared" si="37"/>
        <v>1.9529100350357094</v>
      </c>
      <c r="EQ116" s="257">
        <f t="shared" si="38"/>
        <v>27.003864896656026</v>
      </c>
      <c r="ER116" s="324">
        <f t="shared" si="39"/>
        <v>0.90316052565935856</v>
      </c>
      <c r="ES116" s="257">
        <f t="shared" si="40"/>
        <v>1.2946948969663103</v>
      </c>
      <c r="ET116">
        <f t="shared" si="35"/>
        <v>140</v>
      </c>
      <c r="EU116" s="324">
        <f t="shared" si="41"/>
        <v>0.6975856070612596</v>
      </c>
      <c r="EV116" s="39">
        <f t="shared" si="42"/>
        <v>158.5</v>
      </c>
      <c r="EX116">
        <f t="shared" si="43"/>
        <v>0.83162393162393178</v>
      </c>
    </row>
    <row r="117" spans="1:160" ht="13" customHeight="1" x14ac:dyDescent="0.2">
      <c r="A117" s="30" t="s">
        <v>477</v>
      </c>
      <c r="B117" s="31" t="s">
        <v>462</v>
      </c>
      <c r="C117" s="86">
        <f t="shared" si="55"/>
        <v>158.005</v>
      </c>
      <c r="D117" s="32">
        <v>164</v>
      </c>
      <c r="E117" s="32">
        <v>215</v>
      </c>
      <c r="F117" s="33">
        <f t="shared" si="49"/>
        <v>189.5</v>
      </c>
      <c r="G117" s="31" t="s">
        <v>506</v>
      </c>
      <c r="H117" s="84">
        <v>5</v>
      </c>
      <c r="I117" s="85">
        <v>4</v>
      </c>
      <c r="J117" s="85">
        <v>6</v>
      </c>
      <c r="K117" s="89">
        <f t="shared" si="46"/>
        <v>3.3333333333333335</v>
      </c>
      <c r="L117" s="33">
        <v>136</v>
      </c>
      <c r="M117" s="33">
        <v>83</v>
      </c>
      <c r="N117" s="33">
        <v>47</v>
      </c>
      <c r="O117" s="33">
        <v>58.73</v>
      </c>
      <c r="P117" s="33">
        <v>18.68</v>
      </c>
      <c r="Q117" s="33">
        <v>6.73</v>
      </c>
      <c r="R117" s="33">
        <v>7.3999999999999996E-2</v>
      </c>
      <c r="S117" s="33">
        <v>2.0299999999999998</v>
      </c>
      <c r="T117" s="33">
        <v>1.05</v>
      </c>
      <c r="U117" s="33">
        <v>1.77</v>
      </c>
      <c r="V117" s="33">
        <v>1.54</v>
      </c>
      <c r="W117" s="33">
        <v>0.81</v>
      </c>
      <c r="X117" s="33">
        <v>0.01</v>
      </c>
      <c r="Y117" s="33">
        <v>7.37</v>
      </c>
      <c r="Z117" s="33">
        <v>98.8</v>
      </c>
      <c r="AA117" s="33">
        <v>19</v>
      </c>
      <c r="AB117" s="33">
        <v>2</v>
      </c>
      <c r="AC117" s="33">
        <v>105</v>
      </c>
      <c r="AD117" s="33">
        <v>0</v>
      </c>
      <c r="AE117" s="33">
        <v>14</v>
      </c>
      <c r="AF117" s="33">
        <v>0</v>
      </c>
      <c r="AG117" s="33">
        <v>30</v>
      </c>
      <c r="AH117" s="33">
        <v>80</v>
      </c>
      <c r="AI117" s="33">
        <v>24</v>
      </c>
      <c r="AJ117" s="33">
        <v>2</v>
      </c>
      <c r="AK117" s="33">
        <v>0</v>
      </c>
      <c r="AL117" s="33">
        <v>91</v>
      </c>
      <c r="AM117" s="33">
        <v>186</v>
      </c>
      <c r="AN117" s="68">
        <f>'O.G.Chem Results'!AN117/'O.G.Chem Results'!$AN$142</f>
        <v>10.256410256410255</v>
      </c>
      <c r="AO117" s="33">
        <v>160</v>
      </c>
      <c r="AP117" s="33">
        <v>9</v>
      </c>
      <c r="AQ117" s="33" t="s">
        <v>72</v>
      </c>
      <c r="AR117" s="33" t="s">
        <v>74</v>
      </c>
      <c r="AS117" s="33" t="s">
        <v>73</v>
      </c>
      <c r="AT117" s="33">
        <v>1</v>
      </c>
      <c r="AU117" s="33" t="s">
        <v>74</v>
      </c>
      <c r="AV117" s="33">
        <v>2.5</v>
      </c>
      <c r="AW117" s="33">
        <v>367</v>
      </c>
      <c r="AX117" s="33" t="s">
        <v>75</v>
      </c>
      <c r="AY117" s="68">
        <f>'O.G.Chem Results'!AY117/'O.G.Chem Results'!AY$142</f>
        <v>154.89361702127661</v>
      </c>
      <c r="AZ117" s="68">
        <f>'O.G.Chem Results'!AZ117/'O.G.Chem Results'!AZ$142</f>
        <v>137.59946949602121</v>
      </c>
      <c r="BA117" s="68">
        <f>'O.G.Chem Results'!BA117/'O.G.Chem Results'!BA$142</f>
        <v>117.84511784511784</v>
      </c>
      <c r="BB117" s="68">
        <f>'O.G.Chem Results'!BB117/'O.G.Chem Results'!BB$142</f>
        <v>91.290893015030946</v>
      </c>
      <c r="BC117" s="68">
        <f>'O.G.Chem Results'!BC117/'O.G.Chem Results'!BC$142</f>
        <v>57.104010876954462</v>
      </c>
      <c r="BD117" s="68">
        <f>'O.G.Chem Results'!BD117/'O.G.Chem Results'!BD$142</f>
        <v>37.857142857142861</v>
      </c>
      <c r="BE117" s="68">
        <f>'O.G.Chem Results'!BE117/'O.G.Chem Results'!BE$142</f>
        <v>34.090909090909093</v>
      </c>
      <c r="BF117" s="68">
        <f>'O.G.Chem Results'!BF117/'O.G.Chem Results'!BF$142</f>
        <v>22.03856749311295</v>
      </c>
      <c r="BG117" s="68">
        <f>'O.G.Chem Results'!BG117/'O.G.Chem Results'!BG$142</f>
        <v>17.305315203955502</v>
      </c>
      <c r="BH117" s="68">
        <f>'O.G.Chem Results'!BH117/'O.G.Chem Results'!BH$142</f>
        <v>14.388489208633093</v>
      </c>
      <c r="BI117" s="68">
        <f>'O.G.Chem Results'!BI117/'O.G.Chem Results'!BI$142</f>
        <v>13.845185651353052</v>
      </c>
      <c r="BJ117" s="68">
        <f>'O.G.Chem Results'!BJ117/'O.G.Chem Results'!BJ$142</f>
        <v>12.809917355371901</v>
      </c>
      <c r="BK117" s="68">
        <f>'O.G.Chem Results'!BK117/'O.G.Chem Results'!BK$142</f>
        <v>13.538461538461538</v>
      </c>
      <c r="BL117" s="68">
        <f>'O.G.Chem Results'!BL117/'O.G.Chem Results'!BL$142</f>
        <v>14.403292181069956</v>
      </c>
      <c r="BM117" s="33">
        <v>4.2</v>
      </c>
      <c r="BN117" s="33">
        <v>0.4</v>
      </c>
      <c r="BO117" s="33">
        <v>2</v>
      </c>
      <c r="BP117" s="33">
        <v>0.6</v>
      </c>
      <c r="BQ117" s="33">
        <v>21</v>
      </c>
      <c r="BR117" s="33">
        <v>10.7</v>
      </c>
      <c r="BS117" s="33">
        <v>1.4</v>
      </c>
      <c r="BT117" s="34">
        <f t="shared" si="53"/>
        <v>0.4704366559032625</v>
      </c>
      <c r="BU117" s="282">
        <f t="shared" si="54"/>
        <v>739.01038883441106</v>
      </c>
      <c r="BV117" s="35">
        <f t="shared" si="52"/>
        <v>189.5</v>
      </c>
      <c r="BW117" s="79">
        <f t="shared" si="48"/>
        <v>81.076388888888886</v>
      </c>
      <c r="BX117" s="69">
        <f t="shared" si="36"/>
        <v>1.1676297840090943</v>
      </c>
      <c r="BY117" s="34">
        <v>10.72</v>
      </c>
      <c r="BZ117" s="34">
        <v>1.87</v>
      </c>
      <c r="CA117" s="34">
        <v>33.26</v>
      </c>
      <c r="CB117" s="34">
        <v>0</v>
      </c>
      <c r="CC117" s="34">
        <v>21.88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0.36</v>
      </c>
      <c r="CL117" s="34">
        <v>3.62</v>
      </c>
      <c r="CM117" s="34">
        <v>0.05</v>
      </c>
      <c r="CN117" s="34">
        <v>13.82</v>
      </c>
      <c r="CO117" s="34">
        <v>0</v>
      </c>
      <c r="CP117" s="34">
        <v>10.01</v>
      </c>
      <c r="CQ117" s="34">
        <v>0</v>
      </c>
      <c r="CR117" s="34">
        <v>0</v>
      </c>
      <c r="CS117" s="34">
        <v>4.4000000000000004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282">
        <v>99.99</v>
      </c>
      <c r="CZ117" s="286">
        <v>0.38054919908466817</v>
      </c>
      <c r="DA117" s="286">
        <v>0</v>
      </c>
      <c r="DB117" s="286">
        <v>0.25034324942791758</v>
      </c>
      <c r="DC117" s="286">
        <v>0</v>
      </c>
      <c r="DD117" s="286">
        <v>0</v>
      </c>
      <c r="DE117" s="286">
        <v>0</v>
      </c>
      <c r="DF117" s="286">
        <v>0</v>
      </c>
      <c r="DG117" s="286">
        <v>0</v>
      </c>
      <c r="DH117" s="286">
        <v>0</v>
      </c>
      <c r="DI117" s="286">
        <v>0</v>
      </c>
      <c r="DJ117" s="286">
        <v>4.1189931350114409E-3</v>
      </c>
      <c r="DK117" s="286">
        <v>4.1418764302059492E-2</v>
      </c>
      <c r="DL117" s="286">
        <v>5.7208237986270023E-4</v>
      </c>
      <c r="DM117" s="286">
        <v>0.15812356979405034</v>
      </c>
      <c r="DN117" s="286">
        <v>0</v>
      </c>
      <c r="DO117" s="286">
        <v>0.11453089244851257</v>
      </c>
      <c r="DP117" s="286">
        <v>0</v>
      </c>
      <c r="DQ117" s="286">
        <v>0</v>
      </c>
      <c r="DR117" s="286">
        <v>5.0343249427917618E-2</v>
      </c>
      <c r="DS117" s="286">
        <v>0</v>
      </c>
      <c r="DT117" s="286">
        <v>0</v>
      </c>
      <c r="DU117" s="286">
        <v>0</v>
      </c>
      <c r="DV117" s="286">
        <v>0</v>
      </c>
      <c r="DW117" s="286">
        <v>0</v>
      </c>
      <c r="DX117" s="34">
        <v>0.99999999999999978</v>
      </c>
      <c r="DY117" s="79">
        <v>73.96547426452058</v>
      </c>
      <c r="DZ117" s="79">
        <v>15.214055516001771</v>
      </c>
      <c r="EA117" s="79">
        <v>8.5741255756793412E-3</v>
      </c>
      <c r="EB117" s="79">
        <v>1.5181130353904024</v>
      </c>
      <c r="EC117" s="79">
        <v>0</v>
      </c>
      <c r="ED117" s="79">
        <v>0.61328985720973395</v>
      </c>
      <c r="EE117" s="79">
        <v>5.2386003511654716E-4</v>
      </c>
      <c r="EF117" s="79">
        <v>2.9596525768783297</v>
      </c>
      <c r="EG117" s="79">
        <v>3.849618650131053</v>
      </c>
      <c r="EH117" s="79">
        <v>8.4770571885224827E-2</v>
      </c>
      <c r="EI117" s="79">
        <v>0</v>
      </c>
      <c r="EJ117" s="79">
        <v>1.7859275423720948</v>
      </c>
      <c r="EK117" s="79">
        <v>0</v>
      </c>
      <c r="EL117" s="79">
        <v>99.999999999999972</v>
      </c>
      <c r="EM117" s="34">
        <v>69.079907007257887</v>
      </c>
      <c r="EN117" s="34" t="s">
        <v>477</v>
      </c>
      <c r="EO117" s="290">
        <v>1.6633173341512184E-2</v>
      </c>
      <c r="EP117" s="257">
        <f t="shared" si="37"/>
        <v>1.6633173341512184</v>
      </c>
      <c r="EQ117" s="257">
        <f t="shared" si="38"/>
        <v>7.3581068589388057</v>
      </c>
      <c r="ER117" s="324">
        <f t="shared" si="39"/>
        <v>0.8302467477461124</v>
      </c>
      <c r="ES117" s="257">
        <f t="shared" si="40"/>
        <v>1.0292219411625922</v>
      </c>
      <c r="ET117">
        <f t="shared" si="35"/>
        <v>189.5</v>
      </c>
      <c r="EU117" s="324">
        <f t="shared" si="41"/>
        <v>0.80667416282272342</v>
      </c>
      <c r="EV117" s="39">
        <f t="shared" si="42"/>
        <v>158.005</v>
      </c>
      <c r="EX117">
        <f t="shared" si="43"/>
        <v>0.71282051282051284</v>
      </c>
    </row>
    <row r="118" spans="1:160" ht="13" customHeight="1" x14ac:dyDescent="0.2">
      <c r="A118" s="30" t="s">
        <v>478</v>
      </c>
      <c r="B118" s="31" t="s">
        <v>462</v>
      </c>
      <c r="C118" s="86">
        <f t="shared" si="55"/>
        <v>157.45000000000002</v>
      </c>
      <c r="D118" s="32">
        <v>215</v>
      </c>
      <c r="E118" s="32">
        <v>275</v>
      </c>
      <c r="F118" s="33">
        <f t="shared" si="49"/>
        <v>245</v>
      </c>
      <c r="G118" s="31" t="s">
        <v>508</v>
      </c>
      <c r="H118" s="84">
        <v>7.5</v>
      </c>
      <c r="I118" s="85">
        <v>5</v>
      </c>
      <c r="J118" s="85">
        <v>6</v>
      </c>
      <c r="K118" s="89">
        <f t="shared" si="46"/>
        <v>6.25</v>
      </c>
      <c r="L118" s="33">
        <v>161</v>
      </c>
      <c r="M118" s="33">
        <v>111</v>
      </c>
      <c r="N118" s="33">
        <v>63</v>
      </c>
      <c r="O118" s="33">
        <v>55.77</v>
      </c>
      <c r="P118" s="33">
        <v>19.309999999999999</v>
      </c>
      <c r="Q118" s="33">
        <v>7.88</v>
      </c>
      <c r="R118" s="33">
        <v>0.113</v>
      </c>
      <c r="S118" s="33">
        <v>3.08</v>
      </c>
      <c r="T118" s="33">
        <v>1.58</v>
      </c>
      <c r="U118" s="33">
        <v>1.96</v>
      </c>
      <c r="V118" s="33">
        <v>1.71</v>
      </c>
      <c r="W118" s="33">
        <v>0.96899999999999997</v>
      </c>
      <c r="X118" s="33">
        <v>0</v>
      </c>
      <c r="Y118" s="33">
        <v>7.58</v>
      </c>
      <c r="Z118" s="33">
        <v>99.96</v>
      </c>
      <c r="AA118" s="33">
        <v>20</v>
      </c>
      <c r="AB118" s="33">
        <v>2</v>
      </c>
      <c r="AC118" s="33">
        <v>132</v>
      </c>
      <c r="AD118" s="33">
        <v>40</v>
      </c>
      <c r="AE118" s="33">
        <v>18</v>
      </c>
      <c r="AF118" s="33">
        <v>0</v>
      </c>
      <c r="AG118" s="33">
        <v>50</v>
      </c>
      <c r="AH118" s="33">
        <v>90</v>
      </c>
      <c r="AI118" s="33">
        <v>24</v>
      </c>
      <c r="AJ118" s="33">
        <v>2</v>
      </c>
      <c r="AK118" s="33">
        <v>0</v>
      </c>
      <c r="AL118" s="33">
        <v>87</v>
      </c>
      <c r="AM118" s="33">
        <v>232</v>
      </c>
      <c r="AN118" s="68">
        <f>'O.G.Chem Results'!AN118/'O.G.Chem Results'!$AN$142</f>
        <v>11.538461538461538</v>
      </c>
      <c r="AO118" s="33">
        <v>174</v>
      </c>
      <c r="AP118" s="33">
        <v>8</v>
      </c>
      <c r="AQ118" s="33" t="s">
        <v>72</v>
      </c>
      <c r="AR118" s="33">
        <v>0.9</v>
      </c>
      <c r="AS118" s="33" t="s">
        <v>73</v>
      </c>
      <c r="AT118" s="33">
        <v>2</v>
      </c>
      <c r="AU118" s="33" t="s">
        <v>74</v>
      </c>
      <c r="AV118" s="33">
        <v>2.2000000000000002</v>
      </c>
      <c r="AW118" s="33">
        <v>373</v>
      </c>
      <c r="AX118" s="33" t="s">
        <v>75</v>
      </c>
      <c r="AY118" s="68">
        <f>'O.G.Chem Results'!AY118/'O.G.Chem Results'!AY$142</f>
        <v>140.85106382978725</v>
      </c>
      <c r="AZ118" s="68">
        <f>'O.G.Chem Results'!AZ118/'O.G.Chem Results'!AZ$142</f>
        <v>133.62068965517238</v>
      </c>
      <c r="BA118" s="68">
        <f>'O.G.Chem Results'!BA118/'O.G.Chem Results'!BA$142</f>
        <v>97.53086419753086</v>
      </c>
      <c r="BB118" s="68">
        <f>'O.G.Chem Results'!BB118/'O.G.Chem Results'!BB$142</f>
        <v>75.817860300618918</v>
      </c>
      <c r="BC118" s="68">
        <f>'O.G.Chem Results'!BC118/'O.G.Chem Results'!BC$142</f>
        <v>46.906866077498307</v>
      </c>
      <c r="BD118" s="68">
        <f>'O.G.Chem Results'!BD118/'O.G.Chem Results'!BD$142</f>
        <v>31.607142857142858</v>
      </c>
      <c r="BE118" s="68">
        <f>'O.G.Chem Results'!BE118/'O.G.Chem Results'!BE$142</f>
        <v>30.113636363636363</v>
      </c>
      <c r="BF118" s="68">
        <f>'O.G.Chem Results'!BF118/'O.G.Chem Results'!BF$142</f>
        <v>22.03856749311295</v>
      </c>
      <c r="BG118" s="68">
        <f>'O.G.Chem Results'!BG118/'O.G.Chem Results'!BG$142</f>
        <v>16.893283889575606</v>
      </c>
      <c r="BH118" s="68">
        <f>'O.G.Chem Results'!BH118/'O.G.Chem Results'!BH$142</f>
        <v>14.388489208633093</v>
      </c>
      <c r="BI118" s="68">
        <f>'O.G.Chem Results'!BI118/'O.G.Chem Results'!BI$142</f>
        <v>13.845185651353052</v>
      </c>
      <c r="BJ118" s="68">
        <f>'O.G.Chem Results'!BJ118/'O.G.Chem Results'!BJ$142</f>
        <v>12.809917355371901</v>
      </c>
      <c r="BK118" s="68">
        <f>'O.G.Chem Results'!BK118/'O.G.Chem Results'!BK$142</f>
        <v>12.923076923076923</v>
      </c>
      <c r="BL118" s="68">
        <f>'O.G.Chem Results'!BL118/'O.G.Chem Results'!BL$142</f>
        <v>13.991769547325102</v>
      </c>
      <c r="BM118" s="33">
        <v>4.8</v>
      </c>
      <c r="BN118" s="33">
        <v>0.8</v>
      </c>
      <c r="BO118" s="33">
        <v>0</v>
      </c>
      <c r="BP118" s="33">
        <v>0.4</v>
      </c>
      <c r="BQ118" s="33">
        <v>16</v>
      </c>
      <c r="BR118" s="33">
        <v>7.4</v>
      </c>
      <c r="BS118" s="33">
        <v>1.4</v>
      </c>
      <c r="BT118" s="34">
        <f t="shared" si="53"/>
        <v>0.48682856417315978</v>
      </c>
      <c r="BU118" s="282">
        <f t="shared" si="54"/>
        <v>663.33841334983572</v>
      </c>
      <c r="BV118" s="35">
        <f t="shared" si="52"/>
        <v>245</v>
      </c>
      <c r="BW118" s="79">
        <f t="shared" si="48"/>
        <v>78.623778501628649</v>
      </c>
      <c r="BX118" s="69">
        <f t="shared" si="36"/>
        <v>1.3700349192492358</v>
      </c>
      <c r="BY118" s="34">
        <v>12.57</v>
      </c>
      <c r="BZ118" s="34">
        <v>2.2400000000000002</v>
      </c>
      <c r="CA118" s="34">
        <v>31.99</v>
      </c>
      <c r="CB118" s="34">
        <v>0</v>
      </c>
      <c r="CC118" s="34">
        <v>21.65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0.45</v>
      </c>
      <c r="CL118" s="34">
        <v>7.89</v>
      </c>
      <c r="CM118" s="34">
        <v>3.13</v>
      </c>
      <c r="CN118" s="34">
        <v>12.03</v>
      </c>
      <c r="CO118" s="34">
        <v>0</v>
      </c>
      <c r="CP118" s="34">
        <v>3.7</v>
      </c>
      <c r="CQ118" s="34">
        <v>0</v>
      </c>
      <c r="CR118" s="34">
        <v>0</v>
      </c>
      <c r="CS118" s="34">
        <v>4.29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282">
        <v>99.94</v>
      </c>
      <c r="CZ118" s="286">
        <v>0.37577822154352158</v>
      </c>
      <c r="DA118" s="286">
        <v>0</v>
      </c>
      <c r="DB118" s="286">
        <v>0.25431692705274284</v>
      </c>
      <c r="DC118" s="286">
        <v>0</v>
      </c>
      <c r="DD118" s="286">
        <v>0</v>
      </c>
      <c r="DE118" s="286">
        <v>0</v>
      </c>
      <c r="DF118" s="286">
        <v>0</v>
      </c>
      <c r="DG118" s="286">
        <v>0</v>
      </c>
      <c r="DH118" s="286">
        <v>0</v>
      </c>
      <c r="DI118" s="286">
        <v>0</v>
      </c>
      <c r="DJ118" s="286">
        <v>5.2860331258075882E-3</v>
      </c>
      <c r="DK118" s="286">
        <v>9.2681780805826369E-2</v>
      </c>
      <c r="DL118" s="286">
        <v>3.6767297075061663E-2</v>
      </c>
      <c r="DM118" s="286">
        <v>0.14131328556325617</v>
      </c>
      <c r="DN118" s="286">
        <v>0</v>
      </c>
      <c r="DO118" s="286">
        <v>4.3462939034417947E-2</v>
      </c>
      <c r="DP118" s="286">
        <v>0</v>
      </c>
      <c r="DQ118" s="286">
        <v>0</v>
      </c>
      <c r="DR118" s="286">
        <v>5.0393515799365671E-2</v>
      </c>
      <c r="DS118" s="286">
        <v>0</v>
      </c>
      <c r="DT118" s="286">
        <v>0</v>
      </c>
      <c r="DU118" s="286">
        <v>0</v>
      </c>
      <c r="DV118" s="286">
        <v>0</v>
      </c>
      <c r="DW118" s="286">
        <v>0</v>
      </c>
      <c r="DX118" s="34">
        <v>0.99999999999999989</v>
      </c>
      <c r="DY118" s="79">
        <v>73.174951214165858</v>
      </c>
      <c r="DZ118" s="79">
        <v>16.493355880141877</v>
      </c>
      <c r="EA118" s="79">
        <v>0.15194724424066453</v>
      </c>
      <c r="EB118" s="79">
        <v>1.0924094860832301</v>
      </c>
      <c r="EC118" s="79">
        <v>0</v>
      </c>
      <c r="ED118" s="79">
        <v>0.46142228034883631</v>
      </c>
      <c r="EE118" s="79">
        <v>3.3668083854470301E-2</v>
      </c>
      <c r="EF118" s="79">
        <v>3.0066308966407891</v>
      </c>
      <c r="EG118" s="79">
        <v>2.990804140502048</v>
      </c>
      <c r="EH118" s="79">
        <v>7.5758522576866646E-2</v>
      </c>
      <c r="EI118" s="79">
        <v>0</v>
      </c>
      <c r="EJ118" s="79">
        <v>2.5190522514453475</v>
      </c>
      <c r="EK118" s="79">
        <v>0</v>
      </c>
      <c r="EL118" s="79">
        <v>100</v>
      </c>
      <c r="EM118" s="34">
        <v>73.224204316328823</v>
      </c>
      <c r="EN118" s="34" t="s">
        <v>478</v>
      </c>
      <c r="EO118" s="290">
        <v>1.3426735840713853E-2</v>
      </c>
      <c r="EP118" s="257">
        <f t="shared" si="37"/>
        <v>1.3426735840713853</v>
      </c>
      <c r="EQ118" s="257">
        <f t="shared" si="38"/>
        <v>16.676664667066586</v>
      </c>
      <c r="ER118" s="324">
        <f t="shared" si="39"/>
        <v>0.82074621316056995</v>
      </c>
      <c r="ES118" s="257">
        <f t="shared" si="40"/>
        <v>1.1212298122200359</v>
      </c>
      <c r="ET118">
        <f t="shared" si="35"/>
        <v>245</v>
      </c>
      <c r="EU118" s="324">
        <f t="shared" si="41"/>
        <v>0.7320053428970924</v>
      </c>
      <c r="EV118" s="39">
        <f t="shared" si="42"/>
        <v>157.45000000000002</v>
      </c>
      <c r="EX118">
        <f t="shared" si="43"/>
        <v>0.80192307692307696</v>
      </c>
    </row>
    <row r="119" spans="1:160" ht="13" customHeight="1" x14ac:dyDescent="0.2">
      <c r="A119" s="30" t="s">
        <v>177</v>
      </c>
      <c r="B119" s="31" t="s">
        <v>462</v>
      </c>
      <c r="C119" s="86">
        <f t="shared" si="55"/>
        <v>156.4</v>
      </c>
      <c r="D119" s="36">
        <v>300</v>
      </c>
      <c r="E119" s="36">
        <v>400</v>
      </c>
      <c r="F119" s="33">
        <f t="shared" si="49"/>
        <v>350</v>
      </c>
      <c r="G119" s="31" t="s">
        <v>509</v>
      </c>
      <c r="H119" s="84">
        <v>10</v>
      </c>
      <c r="I119" s="85">
        <v>4</v>
      </c>
      <c r="J119" s="85">
        <v>3</v>
      </c>
      <c r="K119" s="89">
        <f t="shared" si="46"/>
        <v>13.333333333333334</v>
      </c>
      <c r="L119" s="33">
        <v>115</v>
      </c>
      <c r="M119" s="33">
        <v>92</v>
      </c>
      <c r="N119" s="33">
        <v>64</v>
      </c>
      <c r="O119" s="33">
        <v>63.64</v>
      </c>
      <c r="P119" s="33">
        <v>16.28</v>
      </c>
      <c r="Q119" s="33">
        <v>6.53</v>
      </c>
      <c r="R119" s="33">
        <v>0.106</v>
      </c>
      <c r="S119" s="33">
        <v>1.43</v>
      </c>
      <c r="T119" s="33">
        <v>2.42</v>
      </c>
      <c r="U119" s="33">
        <v>4</v>
      </c>
      <c r="V119" s="33">
        <v>1.44</v>
      </c>
      <c r="W119" s="33">
        <v>0.77300000000000002</v>
      </c>
      <c r="X119" s="33">
        <v>0.03</v>
      </c>
      <c r="Y119" s="33">
        <v>2.4900000000000002</v>
      </c>
      <c r="Z119" s="33">
        <v>99.14</v>
      </c>
      <c r="AA119" s="33">
        <v>11</v>
      </c>
      <c r="AB119" s="33">
        <v>3</v>
      </c>
      <c r="AC119" s="33">
        <v>81</v>
      </c>
      <c r="AD119" s="33">
        <v>0</v>
      </c>
      <c r="AE119" s="33">
        <v>8</v>
      </c>
      <c r="AF119" s="33">
        <v>0</v>
      </c>
      <c r="AG119" s="33">
        <v>0</v>
      </c>
      <c r="AH119" s="33">
        <v>70</v>
      </c>
      <c r="AI119" s="33">
        <v>15</v>
      </c>
      <c r="AJ119" s="33">
        <v>1</v>
      </c>
      <c r="AK119" s="33">
        <v>0</v>
      </c>
      <c r="AL119" s="33">
        <v>59</v>
      </c>
      <c r="AM119" s="33">
        <v>427</v>
      </c>
      <c r="AN119" s="68">
        <f>'O.G.Chem Results'!AN119/'O.G.Chem Results'!$AN$142</f>
        <v>12.179487179487179</v>
      </c>
      <c r="AO119" s="33">
        <v>178</v>
      </c>
      <c r="AP119" s="33">
        <v>6</v>
      </c>
      <c r="AQ119" s="33" t="s">
        <v>72</v>
      </c>
      <c r="AR119" s="33">
        <v>0.5</v>
      </c>
      <c r="AS119" s="33" t="s">
        <v>73</v>
      </c>
      <c r="AT119" s="33">
        <v>2</v>
      </c>
      <c r="AU119" s="33" t="s">
        <v>74</v>
      </c>
      <c r="AV119" s="33">
        <v>1.2</v>
      </c>
      <c r="AW119" s="33">
        <v>421</v>
      </c>
      <c r="AX119" s="33" t="s">
        <v>75</v>
      </c>
      <c r="AY119" s="68">
        <f>'O.G.Chem Results'!AY119/'O.G.Chem Results'!AY$142</f>
        <v>168.93617021276597</v>
      </c>
      <c r="AZ119" s="68">
        <f>'O.G.Chem Results'!AZ119/'O.G.Chem Results'!AZ$142</f>
        <v>142.57294429708222</v>
      </c>
      <c r="BA119" s="68">
        <f>'O.G.Chem Results'!BA119/'O.G.Chem Results'!BA$142</f>
        <v>108.86644219977552</v>
      </c>
      <c r="BB119" s="68">
        <f>'O.G.Chem Results'!BB119/'O.G.Chem Results'!BB$142</f>
        <v>81.564986737400531</v>
      </c>
      <c r="BC119" s="68">
        <f>'O.G.Chem Results'!BC119/'O.G.Chem Results'!BC$142</f>
        <v>46.22705642420123</v>
      </c>
      <c r="BD119" s="68">
        <f>'O.G.Chem Results'!BD119/'O.G.Chem Results'!BD$142</f>
        <v>27.678571428571427</v>
      </c>
      <c r="BE119" s="68">
        <f>'O.G.Chem Results'!BE119/'O.G.Chem Results'!BE$142</f>
        <v>30.113636363636363</v>
      </c>
      <c r="BF119" s="68">
        <f>'O.G.Chem Results'!BF119/'O.G.Chem Results'!BF$142</f>
        <v>19.28374655647383</v>
      </c>
      <c r="BG119" s="68">
        <f>'O.G.Chem Results'!BG119/'O.G.Chem Results'!BG$142</f>
        <v>16.481252575195715</v>
      </c>
      <c r="BH119" s="68">
        <f>'O.G.Chem Results'!BH119/'O.G.Chem Results'!BH$142</f>
        <v>12.589928057553955</v>
      </c>
      <c r="BI119" s="68">
        <f>'O.G.Chem Results'!BI119/'O.G.Chem Results'!BI$142</f>
        <v>13.215859030837004</v>
      </c>
      <c r="BJ119" s="68">
        <f>'O.G.Chem Results'!BJ119/'O.G.Chem Results'!BJ$142</f>
        <v>11.15702479338843</v>
      </c>
      <c r="BK119" s="68">
        <f>'O.G.Chem Results'!BK119/'O.G.Chem Results'!BK$142</f>
        <v>9.8461538461538467</v>
      </c>
      <c r="BL119" s="68">
        <f>'O.G.Chem Results'!BL119/'O.G.Chem Results'!BL$142</f>
        <v>10.699588477366255</v>
      </c>
      <c r="BM119" s="33">
        <v>4.3</v>
      </c>
      <c r="BN119" s="33">
        <v>0.3</v>
      </c>
      <c r="BO119" s="33">
        <v>0</v>
      </c>
      <c r="BP119" s="33">
        <v>0.2</v>
      </c>
      <c r="BQ119" s="33">
        <v>198</v>
      </c>
      <c r="BR119" s="33">
        <v>8.6999999999999993</v>
      </c>
      <c r="BS119" s="33">
        <v>0.8</v>
      </c>
      <c r="BT119" s="34">
        <f t="shared" ref="BT119:BT123" si="56">AZ119/(AY119+AZ119)</f>
        <v>0.45768466364593274</v>
      </c>
      <c r="BU119" s="282">
        <f t="shared" ref="BU119:BU123" si="57">SUM(AY119:BL119)</f>
        <v>699.23336100040228</v>
      </c>
      <c r="BV119" s="35">
        <f t="shared" ref="BV119:BV123" si="58">F119</f>
        <v>350</v>
      </c>
      <c r="BW119" s="79">
        <f t="shared" si="48"/>
        <v>67.439933719966845</v>
      </c>
      <c r="BX119" s="69">
        <f t="shared" si="36"/>
        <v>1.309613333697941</v>
      </c>
      <c r="BY119" s="34">
        <v>11.16</v>
      </c>
      <c r="BZ119" s="34">
        <v>1.21</v>
      </c>
      <c r="CA119" s="34">
        <v>31.38</v>
      </c>
      <c r="CB119" s="34">
        <v>0</v>
      </c>
      <c r="CC119" s="34">
        <v>23.9</v>
      </c>
      <c r="CD119" s="34">
        <v>0</v>
      </c>
      <c r="CE119" s="34">
        <v>0</v>
      </c>
      <c r="CF119" s="34">
        <v>0</v>
      </c>
      <c r="CG119" s="34">
        <v>0</v>
      </c>
      <c r="CH119" s="34">
        <v>0</v>
      </c>
      <c r="CI119" s="34">
        <v>0</v>
      </c>
      <c r="CJ119" s="34">
        <v>0</v>
      </c>
      <c r="CK119" s="34">
        <v>0.27</v>
      </c>
      <c r="CL119" s="34">
        <v>2.95</v>
      </c>
      <c r="CM119" s="34">
        <v>0</v>
      </c>
      <c r="CN119" s="34">
        <v>25.64</v>
      </c>
      <c r="CO119" s="34">
        <v>0</v>
      </c>
      <c r="CP119" s="34">
        <v>0.95</v>
      </c>
      <c r="CQ119" s="34">
        <v>0</v>
      </c>
      <c r="CR119" s="34">
        <v>0</v>
      </c>
      <c r="CS119" s="34">
        <v>2.5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282">
        <v>99.960000000000008</v>
      </c>
      <c r="CZ119" s="286">
        <v>0.35826007535106741</v>
      </c>
      <c r="DA119" s="286">
        <v>0</v>
      </c>
      <c r="DB119" s="286">
        <v>0.27286219888115076</v>
      </c>
      <c r="DC119" s="286">
        <v>0</v>
      </c>
      <c r="DD119" s="286">
        <v>0</v>
      </c>
      <c r="DE119" s="286">
        <v>0</v>
      </c>
      <c r="DF119" s="286">
        <v>0</v>
      </c>
      <c r="DG119" s="286">
        <v>0</v>
      </c>
      <c r="DH119" s="286">
        <v>0</v>
      </c>
      <c r="DI119" s="286">
        <v>0</v>
      </c>
      <c r="DJ119" s="286">
        <v>3.0825436693686491E-3</v>
      </c>
      <c r="DK119" s="286">
        <v>3.3679643794953758E-2</v>
      </c>
      <c r="DL119" s="286">
        <v>0</v>
      </c>
      <c r="DM119" s="286">
        <v>0.29272748030597096</v>
      </c>
      <c r="DN119" s="286">
        <v>0</v>
      </c>
      <c r="DO119" s="286">
        <v>1.0845986984815616E-2</v>
      </c>
      <c r="DP119" s="286">
        <v>0</v>
      </c>
      <c r="DQ119" s="286">
        <v>0</v>
      </c>
      <c r="DR119" s="286">
        <v>2.8542071012672674E-2</v>
      </c>
      <c r="DS119" s="286">
        <v>0</v>
      </c>
      <c r="DT119" s="286">
        <v>0</v>
      </c>
      <c r="DU119" s="286">
        <v>0</v>
      </c>
      <c r="DV119" s="286">
        <v>0</v>
      </c>
      <c r="DW119" s="286">
        <v>0</v>
      </c>
      <c r="DX119" s="34">
        <v>1</v>
      </c>
      <c r="DY119" s="79">
        <v>72.34100297522032</v>
      </c>
      <c r="DZ119" s="79">
        <v>16.298963917751571</v>
      </c>
      <c r="EA119" s="79">
        <v>4.742007579835044E-3</v>
      </c>
      <c r="EB119" s="79">
        <v>1.9075086745076508</v>
      </c>
      <c r="EC119" s="79">
        <v>0</v>
      </c>
      <c r="ED119" s="79">
        <v>0.63379016513651776</v>
      </c>
      <c r="EE119" s="79">
        <v>0</v>
      </c>
      <c r="EF119" s="79">
        <v>3.2258801141902347</v>
      </c>
      <c r="EG119" s="79">
        <v>3.6920103045337007</v>
      </c>
      <c r="EH119" s="79">
        <v>0.15693217617321803</v>
      </c>
      <c r="EI119" s="79">
        <v>0</v>
      </c>
      <c r="EJ119" s="79">
        <v>1.7391696649069175</v>
      </c>
      <c r="EK119" s="79">
        <v>0</v>
      </c>
      <c r="EL119" s="79">
        <v>99.999999999999972</v>
      </c>
      <c r="EM119" s="34">
        <v>70.203153629407126</v>
      </c>
      <c r="EN119" s="34" t="s">
        <v>177</v>
      </c>
      <c r="EO119" s="290">
        <v>2.0839264627931745E-2</v>
      </c>
      <c r="EP119" s="257">
        <f t="shared" si="37"/>
        <v>2.0839264627931744</v>
      </c>
      <c r="EQ119" s="257">
        <f t="shared" si="38"/>
        <v>5.7285180572851804</v>
      </c>
      <c r="ER119" s="324">
        <f t="shared" si="39"/>
        <v>0.7251328332975544</v>
      </c>
      <c r="ES119" s="257">
        <f t="shared" si="40"/>
        <v>1.0197443221954758</v>
      </c>
      <c r="ET119">
        <f t="shared" si="35"/>
        <v>350</v>
      </c>
      <c r="EU119" s="324">
        <f t="shared" si="41"/>
        <v>0.71109278817691024</v>
      </c>
      <c r="EV119" s="39">
        <f t="shared" si="42"/>
        <v>156.4</v>
      </c>
      <c r="EX119">
        <f t="shared" si="43"/>
        <v>0.96739926739926752</v>
      </c>
    </row>
    <row r="120" spans="1:160" ht="13" customHeight="1" x14ac:dyDescent="0.2">
      <c r="A120" s="30" t="s">
        <v>178</v>
      </c>
      <c r="B120" s="31" t="s">
        <v>462</v>
      </c>
      <c r="C120" s="86">
        <f t="shared" si="55"/>
        <v>155.4</v>
      </c>
      <c r="D120" s="36">
        <v>400</v>
      </c>
      <c r="E120" s="36">
        <v>500</v>
      </c>
      <c r="F120" s="33">
        <f t="shared" si="49"/>
        <v>450</v>
      </c>
      <c r="G120" s="31" t="s">
        <v>509</v>
      </c>
      <c r="H120" s="84">
        <v>10</v>
      </c>
      <c r="I120" s="85">
        <v>4</v>
      </c>
      <c r="J120" s="85">
        <v>3</v>
      </c>
      <c r="K120" s="89">
        <f t="shared" si="46"/>
        <v>13.333333333333334</v>
      </c>
      <c r="L120" s="33">
        <v>115</v>
      </c>
      <c r="M120" s="33">
        <v>92</v>
      </c>
      <c r="N120" s="33">
        <v>64</v>
      </c>
      <c r="O120" s="33">
        <v>63.97</v>
      </c>
      <c r="P120" s="33">
        <v>16.579999999999998</v>
      </c>
      <c r="Q120" s="33">
        <v>6.02</v>
      </c>
      <c r="R120" s="33">
        <v>0.10299999999999999</v>
      </c>
      <c r="S120" s="33">
        <v>1.74</v>
      </c>
      <c r="T120" s="33">
        <v>2.72</v>
      </c>
      <c r="U120" s="33">
        <v>4.1900000000000004</v>
      </c>
      <c r="V120" s="33">
        <v>1.86</v>
      </c>
      <c r="W120" s="33">
        <v>0.71</v>
      </c>
      <c r="X120" s="33">
        <v>0.13</v>
      </c>
      <c r="Y120" s="33">
        <v>2.2400000000000002</v>
      </c>
      <c r="Z120" s="33">
        <v>100.3</v>
      </c>
      <c r="AA120" s="33">
        <v>10</v>
      </c>
      <c r="AB120" s="33">
        <v>3</v>
      </c>
      <c r="AC120" s="33">
        <v>90</v>
      </c>
      <c r="AD120" s="33">
        <v>0</v>
      </c>
      <c r="AE120" s="33">
        <v>9</v>
      </c>
      <c r="AF120" s="33">
        <v>0</v>
      </c>
      <c r="AG120" s="33">
        <v>0</v>
      </c>
      <c r="AH120" s="33">
        <v>80</v>
      </c>
      <c r="AI120" s="33">
        <v>15</v>
      </c>
      <c r="AJ120" s="33">
        <v>0</v>
      </c>
      <c r="AK120" s="33">
        <v>0</v>
      </c>
      <c r="AL120" s="33">
        <v>75</v>
      </c>
      <c r="AM120" s="33">
        <v>453</v>
      </c>
      <c r="AN120" s="68">
        <f>'O.G.Chem Results'!AN120/'O.G.Chem Results'!$AN$142</f>
        <v>8.9743589743589745</v>
      </c>
      <c r="AO120" s="33">
        <v>187</v>
      </c>
      <c r="AP120" s="33">
        <v>6</v>
      </c>
      <c r="AQ120" s="33" t="s">
        <v>72</v>
      </c>
      <c r="AR120" s="33">
        <v>0.5</v>
      </c>
      <c r="AS120" s="33" t="s">
        <v>73</v>
      </c>
      <c r="AT120" s="33">
        <v>1</v>
      </c>
      <c r="AU120" s="33" t="s">
        <v>74</v>
      </c>
      <c r="AV120" s="33">
        <v>1.4</v>
      </c>
      <c r="AW120" s="33">
        <v>486</v>
      </c>
      <c r="AX120" s="33" t="s">
        <v>75</v>
      </c>
      <c r="AY120" s="68">
        <f>'O.G.Chem Results'!AY120/'O.G.Chem Results'!AY$142</f>
        <v>128.93617021276597</v>
      </c>
      <c r="AZ120" s="68">
        <f>'O.G.Chem Results'!AZ120/'O.G.Chem Results'!AZ$142</f>
        <v>109.91379310344826</v>
      </c>
      <c r="BA120" s="68">
        <f>'O.G.Chem Results'!BA120/'O.G.Chem Results'!BA$142</f>
        <v>83.277216610549942</v>
      </c>
      <c r="BB120" s="68">
        <f>'O.G.Chem Results'!BB120/'O.G.Chem Results'!BB$142</f>
        <v>61.229000884173303</v>
      </c>
      <c r="BC120" s="68">
        <f>'O.G.Chem Results'!BC120/'O.G.Chem Results'!BC$142</f>
        <v>33.990482664853843</v>
      </c>
      <c r="BD120" s="68">
        <f>'O.G.Chem Results'!BD120/'O.G.Chem Results'!BD$142</f>
        <v>24.999999999999996</v>
      </c>
      <c r="BE120" s="68">
        <f>'O.G.Chem Results'!BE120/'O.G.Chem Results'!BE$142</f>
        <v>22.72727272727273</v>
      </c>
      <c r="BF120" s="68">
        <f>'O.G.Chem Results'!BF120/'O.G.Chem Results'!BF$142</f>
        <v>13.774104683195592</v>
      </c>
      <c r="BG120" s="68">
        <f>'O.G.Chem Results'!BG120/'O.G.Chem Results'!BG$142</f>
        <v>11.948908117016893</v>
      </c>
      <c r="BH120" s="68">
        <f>'O.G.Chem Results'!BH120/'O.G.Chem Results'!BH$142</f>
        <v>8.9928057553956826</v>
      </c>
      <c r="BI120" s="68">
        <f>'O.G.Chem Results'!BI120/'O.G.Chem Results'!BI$142</f>
        <v>9.4398993077407169</v>
      </c>
      <c r="BJ120" s="68">
        <f>'O.G.Chem Results'!BJ120/'O.G.Chem Results'!BJ$142</f>
        <v>8.6776859504132222</v>
      </c>
      <c r="BK120" s="68">
        <f>'O.G.Chem Results'!BK120/'O.G.Chem Results'!BK$142</f>
        <v>8</v>
      </c>
      <c r="BL120" s="68">
        <f>'O.G.Chem Results'!BL120/'O.G.Chem Results'!BL$142</f>
        <v>7.8189300411522629</v>
      </c>
      <c r="BM120" s="33">
        <v>4.9000000000000004</v>
      </c>
      <c r="BN120" s="33">
        <v>0.3</v>
      </c>
      <c r="BO120" s="33">
        <v>0</v>
      </c>
      <c r="BP120" s="33">
        <v>0.3</v>
      </c>
      <c r="BQ120" s="33">
        <v>24</v>
      </c>
      <c r="BR120" s="33">
        <v>7.1</v>
      </c>
      <c r="BS120" s="33">
        <v>0.7</v>
      </c>
      <c r="BT120" s="34">
        <f t="shared" si="56"/>
        <v>0.46017923376413933</v>
      </c>
      <c r="BU120" s="282">
        <f t="shared" si="57"/>
        <v>533.72627005797847</v>
      </c>
      <c r="BV120" s="35">
        <f t="shared" si="58"/>
        <v>450</v>
      </c>
      <c r="BW120" s="79">
        <f t="shared" si="48"/>
        <v>65.404339250493095</v>
      </c>
      <c r="BX120" s="69">
        <f t="shared" si="36"/>
        <v>1.3198543080211913</v>
      </c>
      <c r="BY120" s="34">
        <v>10.48</v>
      </c>
      <c r="BZ120" s="34">
        <v>0.01</v>
      </c>
      <c r="CA120" s="34">
        <v>31.54</v>
      </c>
      <c r="CB120" s="34">
        <v>0</v>
      </c>
      <c r="CC120" s="34">
        <v>25.5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0.65</v>
      </c>
      <c r="CM120" s="34">
        <v>0</v>
      </c>
      <c r="CN120" s="34">
        <v>25.84</v>
      </c>
      <c r="CO120" s="34">
        <v>0</v>
      </c>
      <c r="CP120" s="34">
        <v>3.33</v>
      </c>
      <c r="CQ120" s="34">
        <v>0</v>
      </c>
      <c r="CR120" s="34">
        <v>0</v>
      </c>
      <c r="CS120" s="34">
        <v>2.56</v>
      </c>
      <c r="CT120" s="34">
        <v>0</v>
      </c>
      <c r="CU120" s="34">
        <v>0</v>
      </c>
      <c r="CV120" s="34">
        <v>0</v>
      </c>
      <c r="CW120" s="34">
        <v>0</v>
      </c>
      <c r="CX120" s="34">
        <v>0</v>
      </c>
      <c r="CY120" s="282">
        <v>99.910000000000011</v>
      </c>
      <c r="CZ120" s="286">
        <v>0.35271751286065756</v>
      </c>
      <c r="DA120" s="286">
        <v>0</v>
      </c>
      <c r="DB120" s="286">
        <v>0.28517110266159695</v>
      </c>
      <c r="DC120" s="286">
        <v>0</v>
      </c>
      <c r="DD120" s="286">
        <v>0</v>
      </c>
      <c r="DE120" s="286">
        <v>0</v>
      </c>
      <c r="DF120" s="286">
        <v>0</v>
      </c>
      <c r="DG120" s="286">
        <v>0</v>
      </c>
      <c r="DH120" s="286">
        <v>0</v>
      </c>
      <c r="DI120" s="286">
        <v>0</v>
      </c>
      <c r="DJ120" s="286">
        <v>0</v>
      </c>
      <c r="DK120" s="286">
        <v>7.2690673227465896E-3</v>
      </c>
      <c r="DL120" s="286">
        <v>0</v>
      </c>
      <c r="DM120" s="286">
        <v>0.28897338403041822</v>
      </c>
      <c r="DN120" s="286">
        <v>0</v>
      </c>
      <c r="DO120" s="286">
        <v>3.7239991053455601E-2</v>
      </c>
      <c r="DP120" s="286">
        <v>0</v>
      </c>
      <c r="DQ120" s="286">
        <v>0</v>
      </c>
      <c r="DR120" s="286">
        <v>2.8628942071125027E-2</v>
      </c>
      <c r="DS120" s="286">
        <v>0</v>
      </c>
      <c r="DT120" s="286">
        <v>0</v>
      </c>
      <c r="DU120" s="286">
        <v>0</v>
      </c>
      <c r="DV120" s="286">
        <v>0</v>
      </c>
      <c r="DW120" s="286">
        <v>0</v>
      </c>
      <c r="DX120" s="34">
        <v>0.99999999999999978</v>
      </c>
      <c r="DY120" s="79">
        <v>72.459619548091737</v>
      </c>
      <c r="DZ120" s="79">
        <v>15.929865813295018</v>
      </c>
      <c r="EA120" s="79">
        <v>0</v>
      </c>
      <c r="EB120" s="79">
        <v>2.0021280114646407</v>
      </c>
      <c r="EC120" s="79">
        <v>0</v>
      </c>
      <c r="ED120" s="79">
        <v>0.69158263506636453</v>
      </c>
      <c r="EE120" s="79">
        <v>0</v>
      </c>
      <c r="EF120" s="79">
        <v>3.3714006300243731</v>
      </c>
      <c r="EG120" s="79">
        <v>3.9604363943392618</v>
      </c>
      <c r="EH120" s="79">
        <v>0.15491959266903021</v>
      </c>
      <c r="EI120" s="79">
        <v>0</v>
      </c>
      <c r="EJ120" s="79">
        <v>1.4300473750495635</v>
      </c>
      <c r="EK120" s="79">
        <v>0</v>
      </c>
      <c r="EL120" s="79">
        <v>99.999999999999986</v>
      </c>
      <c r="EM120" s="34">
        <v>68.481082079279105</v>
      </c>
      <c r="EN120" s="34" t="s">
        <v>178</v>
      </c>
      <c r="EO120" s="290">
        <v>2.1823195324964583E-2</v>
      </c>
      <c r="EP120" s="257">
        <f t="shared" si="37"/>
        <v>2.1823195324964582</v>
      </c>
      <c r="EQ120" s="257">
        <f t="shared" si="38"/>
        <v>1.1230131306150657</v>
      </c>
      <c r="ER120" s="324">
        <f t="shared" si="39"/>
        <v>0.88155815853990716</v>
      </c>
      <c r="ES120" s="257">
        <f t="shared" si="40"/>
        <v>1.0333437583087837</v>
      </c>
      <c r="ET120">
        <f t="shared" si="35"/>
        <v>450</v>
      </c>
      <c r="EU120" s="324">
        <f t="shared" si="41"/>
        <v>0.85311219180604958</v>
      </c>
      <c r="EV120" s="39">
        <f t="shared" si="42"/>
        <v>155.4</v>
      </c>
      <c r="EX120">
        <f t="shared" si="43"/>
        <v>0.99794871794871809</v>
      </c>
    </row>
    <row r="121" spans="1:160" ht="13" customHeight="1" x14ac:dyDescent="0.2">
      <c r="A121" s="30" t="s">
        <v>179</v>
      </c>
      <c r="B121" s="31" t="s">
        <v>462</v>
      </c>
      <c r="C121" s="86">
        <f t="shared" si="55"/>
        <v>154.4</v>
      </c>
      <c r="D121" s="36">
        <v>500</v>
      </c>
      <c r="E121" s="36">
        <v>600</v>
      </c>
      <c r="F121" s="33">
        <f t="shared" si="49"/>
        <v>550</v>
      </c>
      <c r="G121" s="31" t="s">
        <v>509</v>
      </c>
      <c r="H121" s="84">
        <v>10</v>
      </c>
      <c r="I121" s="85">
        <v>4</v>
      </c>
      <c r="J121" s="85">
        <v>3</v>
      </c>
      <c r="K121" s="89">
        <f t="shared" si="46"/>
        <v>13.333333333333334</v>
      </c>
      <c r="L121" s="33">
        <v>115</v>
      </c>
      <c r="M121" s="33">
        <v>92</v>
      </c>
      <c r="N121" s="33">
        <v>64</v>
      </c>
      <c r="O121" s="33">
        <v>58.42</v>
      </c>
      <c r="P121" s="33">
        <v>17.3</v>
      </c>
      <c r="Q121" s="33">
        <v>7.27</v>
      </c>
      <c r="R121" s="33">
        <v>0.156</v>
      </c>
      <c r="S121" s="33">
        <v>2.4900000000000002</v>
      </c>
      <c r="T121" s="33">
        <v>4.16</v>
      </c>
      <c r="U121" s="33">
        <v>4.03</v>
      </c>
      <c r="V121" s="33">
        <v>1.86</v>
      </c>
      <c r="W121" s="33">
        <v>0.91100000000000003</v>
      </c>
      <c r="X121" s="33">
        <v>0.37</v>
      </c>
      <c r="Y121" s="33">
        <v>2.48</v>
      </c>
      <c r="Z121" s="33">
        <v>99.44</v>
      </c>
      <c r="AA121" s="33">
        <v>15</v>
      </c>
      <c r="AB121" s="33">
        <v>3</v>
      </c>
      <c r="AC121" s="33">
        <v>125</v>
      </c>
      <c r="AD121" s="33">
        <v>0</v>
      </c>
      <c r="AE121" s="33">
        <v>12</v>
      </c>
      <c r="AF121" s="33">
        <v>0</v>
      </c>
      <c r="AG121" s="33">
        <v>0</v>
      </c>
      <c r="AH121" s="33">
        <v>90</v>
      </c>
      <c r="AI121" s="33">
        <v>16</v>
      </c>
      <c r="AJ121" s="33">
        <v>1</v>
      </c>
      <c r="AK121" s="33">
        <v>0</v>
      </c>
      <c r="AL121" s="33">
        <v>75</v>
      </c>
      <c r="AM121" s="33">
        <v>504</v>
      </c>
      <c r="AN121" s="68">
        <f>'O.G.Chem Results'!AN121/'O.G.Chem Results'!$AN$142</f>
        <v>15.384615384615383</v>
      </c>
      <c r="AO121" s="33">
        <v>119</v>
      </c>
      <c r="AP121" s="33">
        <v>8</v>
      </c>
      <c r="AQ121" s="33" t="s">
        <v>72</v>
      </c>
      <c r="AR121" s="33" t="s">
        <v>74</v>
      </c>
      <c r="AS121" s="33" t="s">
        <v>73</v>
      </c>
      <c r="AT121" s="33">
        <v>2</v>
      </c>
      <c r="AU121" s="33" t="s">
        <v>74</v>
      </c>
      <c r="AV121" s="33">
        <v>1.4</v>
      </c>
      <c r="AW121" s="33">
        <v>366</v>
      </c>
      <c r="AX121" s="33" t="s">
        <v>75</v>
      </c>
      <c r="AY121" s="68">
        <f>'O.G.Chem Results'!AY121/'O.G.Chem Results'!AY$142</f>
        <v>158.72340425531914</v>
      </c>
      <c r="AZ121" s="68">
        <f>'O.G.Chem Results'!AZ121/'O.G.Chem Results'!AZ$142</f>
        <v>136.10742705570289</v>
      </c>
      <c r="BA121" s="68">
        <f>'O.G.Chem Results'!BA121/'O.G.Chem Results'!BA$142</f>
        <v>113.35578002244668</v>
      </c>
      <c r="BB121" s="68">
        <f>'O.G.Chem Results'!BB121/'O.G.Chem Results'!BB$142</f>
        <v>85.764809902740936</v>
      </c>
      <c r="BC121" s="68">
        <f>'O.G.Chem Results'!BC121/'O.G.Chem Results'!BC$142</f>
        <v>53.025152957171997</v>
      </c>
      <c r="BD121" s="68">
        <f>'O.G.Chem Results'!BD121/'O.G.Chem Results'!BD$142</f>
        <v>34.464285714285715</v>
      </c>
      <c r="BE121" s="68">
        <f>'O.G.Chem Results'!BE121/'O.G.Chem Results'!BE$142</f>
        <v>34.090909090909093</v>
      </c>
      <c r="BF121" s="68">
        <f>'O.G.Chem Results'!BF121/'O.G.Chem Results'!BF$142</f>
        <v>24.793388429752067</v>
      </c>
      <c r="BG121" s="68">
        <f>'O.G.Chem Results'!BG121/'O.G.Chem Results'!BG$142</f>
        <v>21.013597033374534</v>
      </c>
      <c r="BH121" s="68">
        <f>'O.G.Chem Results'!BH121/'O.G.Chem Results'!BH$142</f>
        <v>17.985611510791365</v>
      </c>
      <c r="BI121" s="68">
        <f>'O.G.Chem Results'!BI121/'O.G.Chem Results'!BI$142</f>
        <v>16.991818753933291</v>
      </c>
      <c r="BJ121" s="68">
        <f>'O.G.Chem Results'!BJ121/'O.G.Chem Results'!BJ$142</f>
        <v>15.289256198347108</v>
      </c>
      <c r="BK121" s="68">
        <f>'O.G.Chem Results'!BK121/'O.G.Chem Results'!BK$142</f>
        <v>14.769230769230768</v>
      </c>
      <c r="BL121" s="68">
        <f>'O.G.Chem Results'!BL121/'O.G.Chem Results'!BL$142</f>
        <v>15.226337448559669</v>
      </c>
      <c r="BM121" s="33">
        <v>3.3</v>
      </c>
      <c r="BN121" s="33">
        <v>0.4</v>
      </c>
      <c r="BO121" s="33">
        <v>0</v>
      </c>
      <c r="BP121" s="33">
        <v>0.3</v>
      </c>
      <c r="BQ121" s="33">
        <v>16</v>
      </c>
      <c r="BR121" s="33">
        <v>8.8000000000000007</v>
      </c>
      <c r="BS121" s="33">
        <v>1.5</v>
      </c>
      <c r="BT121" s="34">
        <f t="shared" si="56"/>
        <v>0.46164584094029448</v>
      </c>
      <c r="BU121" s="282">
        <f t="shared" si="57"/>
        <v>741.60100914256509</v>
      </c>
      <c r="BV121" s="35">
        <f t="shared" si="58"/>
        <v>550</v>
      </c>
      <c r="BW121" s="79">
        <f t="shared" si="48"/>
        <v>63.25411334552102</v>
      </c>
      <c r="BX121" s="69">
        <f t="shared" si="36"/>
        <v>1.2007100743230821</v>
      </c>
      <c r="BY121" s="34">
        <v>10.09</v>
      </c>
      <c r="BZ121" s="34">
        <v>1.3</v>
      </c>
      <c r="CA121" s="34">
        <v>23.66</v>
      </c>
      <c r="CB121" s="34">
        <v>0</v>
      </c>
      <c r="CC121" s="34">
        <v>29.16</v>
      </c>
      <c r="CD121" s="34">
        <v>4.4800000000000004</v>
      </c>
      <c r="CE121" s="34">
        <v>0</v>
      </c>
      <c r="CF121" s="34">
        <v>3.99</v>
      </c>
      <c r="CG121" s="34">
        <v>0</v>
      </c>
      <c r="CH121" s="34">
        <v>0</v>
      </c>
      <c r="CI121" s="34">
        <v>0</v>
      </c>
      <c r="CJ121" s="34">
        <v>0</v>
      </c>
      <c r="CK121" s="34">
        <v>0</v>
      </c>
      <c r="CL121" s="34">
        <v>1.24</v>
      </c>
      <c r="CM121" s="34">
        <v>0</v>
      </c>
      <c r="CN121" s="34">
        <v>24.03</v>
      </c>
      <c r="CO121" s="34">
        <v>0</v>
      </c>
      <c r="CP121" s="34">
        <v>0.54</v>
      </c>
      <c r="CQ121" s="34">
        <v>0</v>
      </c>
      <c r="CR121" s="34">
        <v>0</v>
      </c>
      <c r="CS121" s="34">
        <v>1.5</v>
      </c>
      <c r="CT121" s="34">
        <v>0</v>
      </c>
      <c r="CU121" s="34">
        <v>0</v>
      </c>
      <c r="CV121" s="34">
        <v>0</v>
      </c>
      <c r="CW121" s="34">
        <v>0</v>
      </c>
      <c r="CX121" s="34">
        <v>0</v>
      </c>
      <c r="CY121" s="282">
        <v>99.99</v>
      </c>
      <c r="CZ121" s="286">
        <v>0.26704288939051918</v>
      </c>
      <c r="DA121" s="286">
        <v>0</v>
      </c>
      <c r="DB121" s="286">
        <v>0.32911963882618506</v>
      </c>
      <c r="DC121" s="286">
        <v>5.0564334085778782E-2</v>
      </c>
      <c r="DD121" s="286">
        <v>0</v>
      </c>
      <c r="DE121" s="286">
        <v>4.5033860045146722E-2</v>
      </c>
      <c r="DF121" s="286">
        <v>0</v>
      </c>
      <c r="DG121" s="286">
        <v>0</v>
      </c>
      <c r="DH121" s="286">
        <v>0</v>
      </c>
      <c r="DI121" s="286">
        <v>0</v>
      </c>
      <c r="DJ121" s="286">
        <v>0</v>
      </c>
      <c r="DK121" s="286">
        <v>1.3995485327313768E-2</v>
      </c>
      <c r="DL121" s="286">
        <v>0</v>
      </c>
      <c r="DM121" s="286">
        <v>0.27121896162528214</v>
      </c>
      <c r="DN121" s="286">
        <v>0</v>
      </c>
      <c r="DO121" s="286">
        <v>6.0948081264108351E-3</v>
      </c>
      <c r="DP121" s="286">
        <v>0</v>
      </c>
      <c r="DQ121" s="286">
        <v>0</v>
      </c>
      <c r="DR121" s="286">
        <v>1.6930022573363429E-2</v>
      </c>
      <c r="DS121" s="286">
        <v>0</v>
      </c>
      <c r="DT121" s="286">
        <v>0</v>
      </c>
      <c r="DU121" s="286">
        <v>0</v>
      </c>
      <c r="DV121" s="286">
        <v>0</v>
      </c>
      <c r="DW121" s="286">
        <v>0</v>
      </c>
      <c r="DX121" s="34">
        <v>0.99999999999999989</v>
      </c>
      <c r="DY121" s="79">
        <v>68.496716958122164</v>
      </c>
      <c r="DZ121" s="79">
        <v>17.653680951315074</v>
      </c>
      <c r="EA121" s="79">
        <v>0</v>
      </c>
      <c r="EB121" s="79">
        <v>2.5417957380716683</v>
      </c>
      <c r="EC121" s="79">
        <v>0</v>
      </c>
      <c r="ED121" s="79">
        <v>1.0159315186481743</v>
      </c>
      <c r="EE121" s="79">
        <v>1.6296276358127137</v>
      </c>
      <c r="EF121" s="79">
        <v>3.8909768463065939</v>
      </c>
      <c r="EG121" s="79">
        <v>3.213779451220264</v>
      </c>
      <c r="EH121" s="79">
        <v>0.14540138774401171</v>
      </c>
      <c r="EI121" s="79">
        <v>0</v>
      </c>
      <c r="EJ121" s="79">
        <v>1.4120895127593216</v>
      </c>
      <c r="EK121" s="79">
        <v>0</v>
      </c>
      <c r="EL121" s="79">
        <v>99.999999999999986</v>
      </c>
      <c r="EM121" s="34">
        <v>66.900248383052727</v>
      </c>
      <c r="EN121" s="34" t="s">
        <v>179</v>
      </c>
      <c r="EO121" s="290">
        <v>2.7705573544981186E-2</v>
      </c>
      <c r="EP121" s="257">
        <f t="shared" si="37"/>
        <v>2.7705573544981186</v>
      </c>
      <c r="EQ121" s="257">
        <f t="shared" si="38"/>
        <v>1.9094548814290115</v>
      </c>
      <c r="ER121" s="324">
        <f t="shared" si="39"/>
        <v>0.79122689671771873</v>
      </c>
      <c r="ES121" s="257">
        <f t="shared" si="40"/>
        <v>1.0126748896121587</v>
      </c>
      <c r="ET121">
        <f t="shared" si="35"/>
        <v>550</v>
      </c>
      <c r="EU121" s="324">
        <f t="shared" si="41"/>
        <v>0.78132370500541226</v>
      </c>
      <c r="EV121" s="39">
        <f t="shared" si="42"/>
        <v>154.4</v>
      </c>
      <c r="EX121">
        <f t="shared" si="43"/>
        <v>0.85538461538461541</v>
      </c>
    </row>
    <row r="122" spans="1:160" ht="13" customHeight="1" x14ac:dyDescent="0.2">
      <c r="A122" s="30" t="s">
        <v>180</v>
      </c>
      <c r="B122" s="31" t="s">
        <v>462</v>
      </c>
      <c r="C122" s="86">
        <f t="shared" si="55"/>
        <v>153.4</v>
      </c>
      <c r="D122" s="36">
        <v>600</v>
      </c>
      <c r="E122" s="36">
        <v>700</v>
      </c>
      <c r="F122" s="33">
        <f t="shared" si="49"/>
        <v>650</v>
      </c>
      <c r="G122" s="31" t="s">
        <v>509</v>
      </c>
      <c r="H122" s="84">
        <v>10</v>
      </c>
      <c r="I122" s="85">
        <v>4</v>
      </c>
      <c r="J122" s="85">
        <v>3</v>
      </c>
      <c r="K122" s="89">
        <f t="shared" si="46"/>
        <v>13.333333333333334</v>
      </c>
      <c r="L122" s="33">
        <v>115</v>
      </c>
      <c r="M122" s="33">
        <v>92</v>
      </c>
      <c r="N122" s="33">
        <v>64</v>
      </c>
      <c r="O122" s="33">
        <v>63.75</v>
      </c>
      <c r="P122" s="33">
        <v>15.62</v>
      </c>
      <c r="Q122" s="33">
        <v>6.27</v>
      </c>
      <c r="R122" s="33">
        <v>0.11700000000000001</v>
      </c>
      <c r="S122" s="33">
        <v>2</v>
      </c>
      <c r="T122" s="33">
        <v>2.7</v>
      </c>
      <c r="U122" s="33">
        <v>3.84</v>
      </c>
      <c r="V122" s="33">
        <v>1.83</v>
      </c>
      <c r="W122" s="33">
        <v>0.86299999999999999</v>
      </c>
      <c r="X122" s="33">
        <v>0.22</v>
      </c>
      <c r="Y122" s="33">
        <v>2.14</v>
      </c>
      <c r="Z122" s="33">
        <v>99.36</v>
      </c>
      <c r="AA122" s="33">
        <v>12</v>
      </c>
      <c r="AB122" s="33">
        <v>3</v>
      </c>
      <c r="AC122" s="33">
        <v>82</v>
      </c>
      <c r="AD122" s="33">
        <v>20</v>
      </c>
      <c r="AE122" s="33">
        <v>9</v>
      </c>
      <c r="AF122" s="33">
        <v>0</v>
      </c>
      <c r="AG122" s="33">
        <v>0</v>
      </c>
      <c r="AH122" s="33">
        <v>90</v>
      </c>
      <c r="AI122" s="33">
        <v>14</v>
      </c>
      <c r="AJ122" s="33">
        <v>1</v>
      </c>
      <c r="AK122" s="33">
        <v>0</v>
      </c>
      <c r="AL122" s="33">
        <v>81</v>
      </c>
      <c r="AM122" s="33">
        <v>398</v>
      </c>
      <c r="AN122" s="68">
        <f>'O.G.Chem Results'!AN122/'O.G.Chem Results'!$AN$142</f>
        <v>11.538461538461538</v>
      </c>
      <c r="AO122" s="33">
        <v>237</v>
      </c>
      <c r="AP122" s="33">
        <v>7</v>
      </c>
      <c r="AQ122" s="33" t="s">
        <v>72</v>
      </c>
      <c r="AR122" s="33">
        <v>0.7</v>
      </c>
      <c r="AS122" s="33" t="s">
        <v>73</v>
      </c>
      <c r="AT122" s="33">
        <v>2</v>
      </c>
      <c r="AU122" s="33" t="s">
        <v>74</v>
      </c>
      <c r="AV122" s="33">
        <v>1.5</v>
      </c>
      <c r="AW122" s="33">
        <v>444</v>
      </c>
      <c r="AX122" s="33" t="s">
        <v>75</v>
      </c>
      <c r="AY122" s="68">
        <f>'O.G.Chem Results'!AY122/'O.G.Chem Results'!AY$142</f>
        <v>150.63829787234042</v>
      </c>
      <c r="AZ122" s="68">
        <f>'O.G.Chem Results'!AZ122/'O.G.Chem Results'!AZ$142</f>
        <v>115.05305039787798</v>
      </c>
      <c r="BA122" s="68">
        <f>'O.G.Chem Results'!BA122/'O.G.Chem Results'!BA$142</f>
        <v>98.765432098765444</v>
      </c>
      <c r="BB122" s="68">
        <f>'O.G.Chem Results'!BB122/'O.G.Chem Results'!BB$142</f>
        <v>74.491600353669327</v>
      </c>
      <c r="BC122" s="68">
        <f>'O.G.Chem Results'!BC122/'O.G.Chem Results'!BC$142</f>
        <v>44.187627464309998</v>
      </c>
      <c r="BD122" s="68">
        <f>'O.G.Chem Results'!BD122/'O.G.Chem Results'!BD$142</f>
        <v>29.285714285714285</v>
      </c>
      <c r="BE122" s="68">
        <f>'O.G.Chem Results'!BE122/'O.G.Chem Results'!BE$142</f>
        <v>30.113636363636363</v>
      </c>
      <c r="BF122" s="68">
        <f>'O.G.Chem Results'!BF122/'O.G.Chem Results'!BF$142</f>
        <v>19.28374655647383</v>
      </c>
      <c r="BG122" s="68">
        <f>'O.G.Chem Results'!BG122/'O.G.Chem Results'!BG$142</f>
        <v>15.245158632056038</v>
      </c>
      <c r="BH122" s="68">
        <f>'O.G.Chem Results'!BH122/'O.G.Chem Results'!BH$142</f>
        <v>12.589928057553955</v>
      </c>
      <c r="BI122" s="68">
        <f>'O.G.Chem Results'!BI122/'O.G.Chem Results'!BI$142</f>
        <v>12.586532410320956</v>
      </c>
      <c r="BJ122" s="68">
        <f>'O.G.Chem Results'!BJ122/'O.G.Chem Results'!BJ$142</f>
        <v>10.743801652892563</v>
      </c>
      <c r="BK122" s="68">
        <f>'O.G.Chem Results'!BK122/'O.G.Chem Results'!BK$142</f>
        <v>10.461538461538462</v>
      </c>
      <c r="BL122" s="68">
        <f>'O.G.Chem Results'!BL122/'O.G.Chem Results'!BL$142</f>
        <v>11.111111111111111</v>
      </c>
      <c r="BM122" s="33">
        <v>5.7</v>
      </c>
      <c r="BN122" s="33">
        <v>0.3</v>
      </c>
      <c r="BO122" s="33">
        <v>0</v>
      </c>
      <c r="BP122" s="33">
        <v>0.3</v>
      </c>
      <c r="BQ122" s="33">
        <v>122</v>
      </c>
      <c r="BR122" s="33">
        <v>7.8</v>
      </c>
      <c r="BS122" s="33">
        <v>1.2</v>
      </c>
      <c r="BT122" s="34">
        <f t="shared" si="56"/>
        <v>0.43303273195356207</v>
      </c>
      <c r="BU122" s="282">
        <f t="shared" si="57"/>
        <v>634.55717571826074</v>
      </c>
      <c r="BV122" s="35">
        <f t="shared" si="58"/>
        <v>650</v>
      </c>
      <c r="BW122" s="79">
        <f t="shared" si="48"/>
        <v>65.110462692788659</v>
      </c>
      <c r="BX122" s="69">
        <f t="shared" si="36"/>
        <v>1.1649121352785143</v>
      </c>
      <c r="BY122" s="34">
        <v>9.74</v>
      </c>
      <c r="BZ122" s="34">
        <v>1.7</v>
      </c>
      <c r="CA122" s="34">
        <v>30.14</v>
      </c>
      <c r="CB122" s="34">
        <v>0</v>
      </c>
      <c r="CC122" s="34">
        <v>26.09</v>
      </c>
      <c r="CD122" s="34">
        <v>6.19</v>
      </c>
      <c r="CE122" s="34">
        <v>0</v>
      </c>
      <c r="CF122" s="34">
        <v>1.38</v>
      </c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0.67</v>
      </c>
      <c r="CM122" s="34">
        <v>0</v>
      </c>
      <c r="CN122" s="34">
        <v>21.72</v>
      </c>
      <c r="CO122" s="34">
        <v>0</v>
      </c>
      <c r="CP122" s="34">
        <v>0.5</v>
      </c>
      <c r="CQ122" s="34">
        <v>0</v>
      </c>
      <c r="CR122" s="34">
        <v>0</v>
      </c>
      <c r="CS122" s="34">
        <v>1.84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282">
        <v>99.97</v>
      </c>
      <c r="CZ122" s="286">
        <v>0.34044956511916863</v>
      </c>
      <c r="DA122" s="286">
        <v>0</v>
      </c>
      <c r="DB122" s="286">
        <v>0.2947023607816559</v>
      </c>
      <c r="DC122" s="286">
        <v>6.9919801197334236E-2</v>
      </c>
      <c r="DD122" s="286">
        <v>0</v>
      </c>
      <c r="DE122" s="286">
        <v>1.5587936292782106E-2</v>
      </c>
      <c r="DF122" s="286">
        <v>0</v>
      </c>
      <c r="DG122" s="286">
        <v>0</v>
      </c>
      <c r="DH122" s="286">
        <v>0</v>
      </c>
      <c r="DI122" s="286">
        <v>0</v>
      </c>
      <c r="DJ122" s="286">
        <v>0</v>
      </c>
      <c r="DK122" s="286">
        <v>7.5680560262058067E-3</v>
      </c>
      <c r="DL122" s="286">
        <v>0</v>
      </c>
      <c r="DM122" s="286">
        <v>0.24534056252117925</v>
      </c>
      <c r="DN122" s="286">
        <v>0</v>
      </c>
      <c r="DO122" s="286">
        <v>5.6478030046311981E-3</v>
      </c>
      <c r="DP122" s="286">
        <v>0</v>
      </c>
      <c r="DQ122" s="286">
        <v>0</v>
      </c>
      <c r="DR122" s="286">
        <v>2.0783915057042811E-2</v>
      </c>
      <c r="DS122" s="286">
        <v>0</v>
      </c>
      <c r="DT122" s="286">
        <v>0</v>
      </c>
      <c r="DU122" s="286">
        <v>0</v>
      </c>
      <c r="DV122" s="286">
        <v>0</v>
      </c>
      <c r="DW122" s="286">
        <v>0</v>
      </c>
      <c r="DX122" s="34">
        <v>0.99999999999999978</v>
      </c>
      <c r="DY122" s="79">
        <v>71.533547063478338</v>
      </c>
      <c r="DZ122" s="79">
        <v>16.544597353119929</v>
      </c>
      <c r="EA122" s="79">
        <v>0</v>
      </c>
      <c r="EB122" s="79">
        <v>1.8574774502320237</v>
      </c>
      <c r="EC122" s="79">
        <v>0</v>
      </c>
      <c r="ED122" s="79">
        <v>0.67443257547528879</v>
      </c>
      <c r="EE122" s="79">
        <v>1.6208396045658799</v>
      </c>
      <c r="EF122" s="79">
        <v>3.4840827683300333</v>
      </c>
      <c r="EG122" s="79">
        <v>3.0012650158178564</v>
      </c>
      <c r="EH122" s="79">
        <v>0.13152789188007355</v>
      </c>
      <c r="EI122" s="79">
        <v>0</v>
      </c>
      <c r="EJ122" s="79">
        <v>1.1522302771005644</v>
      </c>
      <c r="EK122" s="79">
        <v>0</v>
      </c>
      <c r="EL122" s="79">
        <v>99.999999999999986</v>
      </c>
      <c r="EM122" s="34">
        <v>67.115905340907318</v>
      </c>
      <c r="EN122" s="34" t="s">
        <v>180</v>
      </c>
      <c r="EO122" s="290">
        <v>2.0246504207529058E-2</v>
      </c>
      <c r="EP122" s="257">
        <f t="shared" si="37"/>
        <v>2.0246504207529057</v>
      </c>
      <c r="EQ122" s="257">
        <f t="shared" si="38"/>
        <v>1.1474567562938862</v>
      </c>
      <c r="ER122" s="324">
        <f t="shared" si="39"/>
        <v>0.78829653163178837</v>
      </c>
      <c r="ES122" s="257">
        <f t="shared" si="40"/>
        <v>0.9185427473039659</v>
      </c>
      <c r="ET122">
        <f t="shared" si="35"/>
        <v>650</v>
      </c>
      <c r="EU122" s="324">
        <f t="shared" si="41"/>
        <v>0.85820342487656021</v>
      </c>
      <c r="EV122" s="39">
        <f t="shared" si="42"/>
        <v>153.4</v>
      </c>
      <c r="EX122">
        <f t="shared" si="43"/>
        <v>0.91648351648351656</v>
      </c>
    </row>
    <row r="123" spans="1:160" ht="13" customHeight="1" x14ac:dyDescent="0.2">
      <c r="A123" s="30" t="s">
        <v>181</v>
      </c>
      <c r="B123" s="31" t="s">
        <v>462</v>
      </c>
      <c r="C123" s="86">
        <f t="shared" si="55"/>
        <v>152.4</v>
      </c>
      <c r="D123" s="36">
        <v>700</v>
      </c>
      <c r="E123" s="36">
        <v>800</v>
      </c>
      <c r="F123" s="33">
        <f t="shared" si="49"/>
        <v>750</v>
      </c>
      <c r="G123" s="31" t="s">
        <v>510</v>
      </c>
      <c r="H123" s="84">
        <v>10</v>
      </c>
      <c r="I123" s="85">
        <v>4</v>
      </c>
      <c r="J123" s="85">
        <v>2</v>
      </c>
      <c r="K123" s="89">
        <f t="shared" si="46"/>
        <v>20</v>
      </c>
      <c r="L123" s="33">
        <v>110</v>
      </c>
      <c r="M123" s="33">
        <v>93</v>
      </c>
      <c r="N123" s="33">
        <v>75</v>
      </c>
      <c r="O123" s="33">
        <v>66.290000000000006</v>
      </c>
      <c r="P123" s="33">
        <v>15.25</v>
      </c>
      <c r="Q123" s="33">
        <v>5.03</v>
      </c>
      <c r="R123" s="33">
        <v>9.1999999999999998E-2</v>
      </c>
      <c r="S123" s="33">
        <v>1.87</v>
      </c>
      <c r="T123" s="33">
        <v>2.4900000000000002</v>
      </c>
      <c r="U123" s="33">
        <v>4.08</v>
      </c>
      <c r="V123" s="33">
        <v>1.61</v>
      </c>
      <c r="W123" s="33">
        <v>0.65800000000000003</v>
      </c>
      <c r="X123" s="33">
        <v>0.17</v>
      </c>
      <c r="Y123" s="33">
        <v>2.0499999999999998</v>
      </c>
      <c r="Z123" s="33">
        <v>99.58</v>
      </c>
      <c r="AA123" s="33">
        <v>11</v>
      </c>
      <c r="AB123" s="33">
        <v>2</v>
      </c>
      <c r="AC123" s="33">
        <v>78</v>
      </c>
      <c r="AD123" s="33">
        <v>20</v>
      </c>
      <c r="AE123" s="33">
        <v>8</v>
      </c>
      <c r="AF123" s="33">
        <v>0</v>
      </c>
      <c r="AG123" s="33">
        <v>0</v>
      </c>
      <c r="AH123" s="33">
        <v>60</v>
      </c>
      <c r="AI123" s="33">
        <v>13</v>
      </c>
      <c r="AJ123" s="33">
        <v>0</v>
      </c>
      <c r="AK123" s="33">
        <v>0</v>
      </c>
      <c r="AL123" s="33">
        <v>68</v>
      </c>
      <c r="AM123" s="33">
        <v>381</v>
      </c>
      <c r="AN123" s="68">
        <f>'O.G.Chem Results'!AN123/'O.G.Chem Results'!$AN$142</f>
        <v>8.3333333333333339</v>
      </c>
      <c r="AO123" s="33">
        <v>174</v>
      </c>
      <c r="AP123" s="33">
        <v>5</v>
      </c>
      <c r="AQ123" s="33" t="s">
        <v>72</v>
      </c>
      <c r="AR123" s="33" t="s">
        <v>74</v>
      </c>
      <c r="AS123" s="33" t="s">
        <v>73</v>
      </c>
      <c r="AT123" s="33">
        <v>1</v>
      </c>
      <c r="AU123" s="33" t="s">
        <v>74</v>
      </c>
      <c r="AV123" s="33">
        <v>1.3</v>
      </c>
      <c r="AW123" s="33">
        <v>390</v>
      </c>
      <c r="AX123" s="33" t="s">
        <v>75</v>
      </c>
      <c r="AY123" s="68">
        <f>'O.G.Chem Results'!AY123/'O.G.Chem Results'!AY$142</f>
        <v>104.25531914893618</v>
      </c>
      <c r="AZ123" s="68">
        <f>'O.G.Chem Results'!AZ123/'O.G.Chem Results'!AZ$142</f>
        <v>79.409814323607421</v>
      </c>
      <c r="BA123" s="68">
        <f>'O.G.Chem Results'!BA123/'O.G.Chem Results'!BA$142</f>
        <v>69.023569023569024</v>
      </c>
      <c r="BB123" s="68">
        <f>'O.G.Chem Results'!BB123/'O.G.Chem Results'!BB$142</f>
        <v>52.16622458001769</v>
      </c>
      <c r="BC123" s="68">
        <f>'O.G.Chem Results'!BC123/'O.G.Chem Results'!BC$142</f>
        <v>30.59143439836846</v>
      </c>
      <c r="BD123" s="68">
        <f>'O.G.Chem Results'!BD123/'O.G.Chem Results'!BD$142</f>
        <v>22.678571428571427</v>
      </c>
      <c r="BE123" s="68">
        <f>'O.G.Chem Results'!BE123/'O.G.Chem Results'!BE$142</f>
        <v>18.75</v>
      </c>
      <c r="BF123" s="68">
        <f>'O.G.Chem Results'!BF123/'O.G.Chem Results'!BF$142</f>
        <v>11.019283746556475</v>
      </c>
      <c r="BG123" s="68">
        <f>'O.G.Chem Results'!BG123/'O.G.Chem Results'!BG$142</f>
        <v>10.300782859497321</v>
      </c>
      <c r="BH123" s="68">
        <f>'O.G.Chem Results'!BH123/'O.G.Chem Results'!BH$142</f>
        <v>8.9928057553956826</v>
      </c>
      <c r="BI123" s="68">
        <f>'O.G.Chem Results'!BI123/'O.G.Chem Results'!BI$142</f>
        <v>8.1812460667086206</v>
      </c>
      <c r="BJ123" s="68">
        <f>'O.G.Chem Results'!BJ123/'O.G.Chem Results'!BJ$142</f>
        <v>7.4380165289256199</v>
      </c>
      <c r="BK123" s="68">
        <f>'O.G.Chem Results'!BK123/'O.G.Chem Results'!BK$142</f>
        <v>7.3846153846153841</v>
      </c>
      <c r="BL123" s="68">
        <f>'O.G.Chem Results'!BL123/'O.G.Chem Results'!BL$142</f>
        <v>7.4074074074074066</v>
      </c>
      <c r="BM123" s="33">
        <v>4.2</v>
      </c>
      <c r="BN123" s="33">
        <v>0.3</v>
      </c>
      <c r="BO123" s="33">
        <v>0</v>
      </c>
      <c r="BP123" s="33">
        <v>0.2</v>
      </c>
      <c r="BQ123" s="33">
        <v>22</v>
      </c>
      <c r="BR123" s="33">
        <v>4.0999999999999996</v>
      </c>
      <c r="BS123" s="33">
        <v>0.7</v>
      </c>
      <c r="BT123" s="34">
        <f t="shared" si="56"/>
        <v>0.43236194492776997</v>
      </c>
      <c r="BU123" s="282">
        <f t="shared" si="57"/>
        <v>437.5990906521767</v>
      </c>
      <c r="BV123" s="35">
        <f t="shared" si="58"/>
        <v>750</v>
      </c>
      <c r="BW123" s="79">
        <f t="shared" si="48"/>
        <v>65.087494664959451</v>
      </c>
      <c r="BX123" s="69">
        <f t="shared" si="36"/>
        <v>1.1504738953225075</v>
      </c>
      <c r="BY123" s="34">
        <v>10.6</v>
      </c>
      <c r="BZ123" s="34">
        <v>1.5</v>
      </c>
      <c r="CA123" s="34">
        <v>27.63</v>
      </c>
      <c r="CB123" s="34">
        <v>0</v>
      </c>
      <c r="CC123" s="34">
        <v>25.33</v>
      </c>
      <c r="CD123" s="34">
        <v>7.66</v>
      </c>
      <c r="CE123" s="34">
        <v>0</v>
      </c>
      <c r="CF123" s="34">
        <v>0</v>
      </c>
      <c r="CG123" s="34">
        <v>0</v>
      </c>
      <c r="CH123" s="34">
        <v>0</v>
      </c>
      <c r="CI123" s="34">
        <v>0</v>
      </c>
      <c r="CJ123" s="34">
        <v>0</v>
      </c>
      <c r="CK123" s="34">
        <v>0</v>
      </c>
      <c r="CL123" s="34">
        <v>0.7</v>
      </c>
      <c r="CM123" s="34">
        <v>0</v>
      </c>
      <c r="CN123" s="34">
        <v>23.8</v>
      </c>
      <c r="CO123" s="34">
        <v>0</v>
      </c>
      <c r="CP123" s="34">
        <v>0.4</v>
      </c>
      <c r="CQ123" s="34">
        <v>0</v>
      </c>
      <c r="CR123" s="34">
        <v>0</v>
      </c>
      <c r="CS123" s="34">
        <v>2.36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282">
        <v>99.98</v>
      </c>
      <c r="CZ123" s="286">
        <v>0.31440600819299047</v>
      </c>
      <c r="DA123" s="286">
        <v>0</v>
      </c>
      <c r="DB123" s="286">
        <v>0.28823395539371871</v>
      </c>
      <c r="DC123" s="286">
        <v>8.7164314974965865E-2</v>
      </c>
      <c r="DD123" s="286">
        <v>0</v>
      </c>
      <c r="DE123" s="286">
        <v>0</v>
      </c>
      <c r="DF123" s="286">
        <v>0</v>
      </c>
      <c r="DG123" s="286">
        <v>0</v>
      </c>
      <c r="DH123" s="286">
        <v>0</v>
      </c>
      <c r="DI123" s="286">
        <v>0</v>
      </c>
      <c r="DJ123" s="286">
        <v>0</v>
      </c>
      <c r="DK123" s="286">
        <v>7.965407373691398E-3</v>
      </c>
      <c r="DL123" s="286">
        <v>0</v>
      </c>
      <c r="DM123" s="286">
        <v>0.27082385070550752</v>
      </c>
      <c r="DN123" s="286">
        <v>0</v>
      </c>
      <c r="DO123" s="286">
        <v>4.5516613563950847E-3</v>
      </c>
      <c r="DP123" s="286">
        <v>0</v>
      </c>
      <c r="DQ123" s="286">
        <v>0</v>
      </c>
      <c r="DR123" s="286">
        <v>2.6854802002730997E-2</v>
      </c>
      <c r="DS123" s="286">
        <v>0</v>
      </c>
      <c r="DT123" s="286">
        <v>0</v>
      </c>
      <c r="DU123" s="286">
        <v>0</v>
      </c>
      <c r="DV123" s="286">
        <v>0</v>
      </c>
      <c r="DW123" s="286">
        <v>0</v>
      </c>
      <c r="DX123" s="34">
        <v>1.0000000000000002</v>
      </c>
      <c r="DY123" s="79">
        <v>69.979953615790407</v>
      </c>
      <c r="DZ123" s="79">
        <v>17.815783159250305</v>
      </c>
      <c r="EA123" s="79">
        <v>0</v>
      </c>
      <c r="EB123" s="79">
        <v>1.7401704116325178</v>
      </c>
      <c r="EC123" s="79">
        <v>0</v>
      </c>
      <c r="ED123" s="79">
        <v>0.57274444424782089</v>
      </c>
      <c r="EE123" s="79">
        <v>1.7572748061052121</v>
      </c>
      <c r="EF123" s="79">
        <v>3.4076108334228596</v>
      </c>
      <c r="EG123" s="79">
        <v>3.3596741185946479</v>
      </c>
      <c r="EH123" s="79">
        <v>0.14518956746528278</v>
      </c>
      <c r="EI123" s="79">
        <v>0</v>
      </c>
      <c r="EJ123" s="79">
        <v>1.2215990434909429</v>
      </c>
      <c r="EK123" s="79">
        <v>0</v>
      </c>
      <c r="EL123" s="79">
        <v>99.999999999999986</v>
      </c>
      <c r="EM123" s="34">
        <v>67.636868719350417</v>
      </c>
      <c r="EN123" s="34" t="s">
        <v>181</v>
      </c>
      <c r="EO123" s="290">
        <v>1.8967857486794446E-2</v>
      </c>
      <c r="EP123" s="257">
        <f t="shared" si="37"/>
        <v>1.8967857486794446</v>
      </c>
      <c r="EQ123" s="257">
        <f t="shared" si="38"/>
        <v>1.1618257261410789</v>
      </c>
      <c r="ER123" s="324">
        <f t="shared" si="39"/>
        <v>0.91925059354664085</v>
      </c>
      <c r="ES123" s="257">
        <f t="shared" si="40"/>
        <v>0.9138879467120834</v>
      </c>
      <c r="ET123">
        <f t="shared" si="35"/>
        <v>750</v>
      </c>
      <c r="EU123" s="324">
        <f t="shared" si="41"/>
        <v>1.0058679478746282</v>
      </c>
      <c r="EV123" s="39">
        <f t="shared" si="42"/>
        <v>152.4</v>
      </c>
      <c r="EX123">
        <f t="shared" si="43"/>
        <v>0.92666666666666686</v>
      </c>
    </row>
    <row r="124" spans="1:160" s="61" customFormat="1" ht="13" customHeight="1" x14ac:dyDescent="0.2">
      <c r="A124" s="57" t="s">
        <v>564</v>
      </c>
      <c r="B124" s="58" t="s">
        <v>464</v>
      </c>
      <c r="C124" s="58">
        <v>0</v>
      </c>
      <c r="D124" s="59">
        <v>10000</v>
      </c>
      <c r="E124" s="59">
        <v>10000</v>
      </c>
      <c r="F124" s="59">
        <v>1000</v>
      </c>
      <c r="G124" s="64"/>
      <c r="H124" s="64"/>
      <c r="I124" s="64"/>
      <c r="J124" s="64"/>
      <c r="K124" s="96"/>
      <c r="L124" s="59"/>
      <c r="M124" s="59"/>
      <c r="N124" s="59"/>
      <c r="O124" s="97">
        <v>68.28</v>
      </c>
      <c r="P124" s="97">
        <v>15.89</v>
      </c>
      <c r="Q124" s="97">
        <v>1.96</v>
      </c>
      <c r="R124" s="97">
        <v>3.5000000000000003E-2</v>
      </c>
      <c r="S124" s="97">
        <v>0.5</v>
      </c>
      <c r="T124" s="97">
        <v>2.2400000000000002</v>
      </c>
      <c r="U124" s="97">
        <v>4.05</v>
      </c>
      <c r="V124" s="97">
        <v>4.59</v>
      </c>
      <c r="W124" s="97">
        <v>0.29799999999999999</v>
      </c>
      <c r="X124" s="97">
        <v>0.08</v>
      </c>
      <c r="Y124" s="97">
        <v>0.36</v>
      </c>
      <c r="Z124" s="97">
        <f>SUM(O124:Y124)</f>
        <v>98.282999999999987</v>
      </c>
      <c r="AA124" s="97">
        <v>3</v>
      </c>
      <c r="AB124" s="97">
        <v>2</v>
      </c>
      <c r="AC124" s="97">
        <v>28</v>
      </c>
      <c r="AD124" s="97" t="s">
        <v>69</v>
      </c>
      <c r="AE124" s="97">
        <v>4</v>
      </c>
      <c r="AF124" s="97" t="s">
        <v>69</v>
      </c>
      <c r="AG124" s="97">
        <v>20</v>
      </c>
      <c r="AH124" s="97">
        <v>40</v>
      </c>
      <c r="AI124" s="97">
        <v>19</v>
      </c>
      <c r="AJ124" s="97" t="s">
        <v>68</v>
      </c>
      <c r="AK124" s="97" t="s">
        <v>71</v>
      </c>
      <c r="AL124" s="97">
        <v>96</v>
      </c>
      <c r="AM124" s="97">
        <v>644</v>
      </c>
      <c r="AN124" s="68">
        <f>'O.G.Chem Results'!AN124/'O.G.Chem Results'!$AN$142</f>
        <v>1.9230769230769229</v>
      </c>
      <c r="AO124" s="97">
        <v>157</v>
      </c>
      <c r="AP124" s="97">
        <v>2</v>
      </c>
      <c r="AQ124" s="97" t="s">
        <v>72</v>
      </c>
      <c r="AR124" s="97">
        <v>0.5</v>
      </c>
      <c r="AS124" s="97" t="s">
        <v>73</v>
      </c>
      <c r="AT124" s="97">
        <v>1</v>
      </c>
      <c r="AU124" s="97" t="s">
        <v>74</v>
      </c>
      <c r="AV124" s="97">
        <v>2.5</v>
      </c>
      <c r="AW124" s="97">
        <v>1512</v>
      </c>
      <c r="AX124" s="97">
        <v>9.8000000000000007</v>
      </c>
      <c r="AY124" s="68">
        <f>'O.G.Chem Results'!AY124/'O.G.Chem Results'!AY$142</f>
        <v>108.93617021276597</v>
      </c>
      <c r="AZ124" s="68">
        <f>'O.G.Chem Results'!AZ124/'O.G.Chem Results'!AZ$142</f>
        <v>3.6140583554376655</v>
      </c>
      <c r="BA124" s="68">
        <f>'O.G.Chem Results'!BA124/'O.G.Chem Results'!BA$142</f>
        <v>79.68574635241302</v>
      </c>
      <c r="BB124" s="68">
        <f>'O.G.Chem Results'!BB124/'O.G.Chem Results'!BB$142</f>
        <v>2.2104332449160036</v>
      </c>
      <c r="BC124" s="68">
        <f>'O.G.Chem Results'!BC124/'O.G.Chem Results'!BC$142</f>
        <v>3.6029911624745079</v>
      </c>
      <c r="BD124" s="68">
        <f>'O.G.Chem Results'!BD124/'O.G.Chem Results'!BD$142</f>
        <v>10.714285714285714</v>
      </c>
      <c r="BE124" s="68">
        <f>'O.G.Chem Results'!BE124/'O.G.Chem Results'!BE$142</f>
        <v>0.56818181818181823</v>
      </c>
      <c r="BF124" s="68">
        <f>'O.G.Chem Results'!BF124/'O.G.Chem Results'!BF$142</f>
        <v>16.528925619834709</v>
      </c>
      <c r="BG124" s="68">
        <f>'O.G.Chem Results'!BG124/'O.G.Chem Results'!BG$142</f>
        <v>0.41203131437989288</v>
      </c>
      <c r="BH124" s="68">
        <f>'O.G.Chem Results'!BH124/'O.G.Chem Results'!BH$142</f>
        <v>7.1942446043165464</v>
      </c>
      <c r="BI124" s="68">
        <f>'O.G.Chem Results'!BI124/'O.G.Chem Results'!BI$142</f>
        <v>0.44052863436123346</v>
      </c>
      <c r="BJ124" s="68">
        <f>'O.G.Chem Results'!BJ124/'O.G.Chem Results'!BJ$142</f>
        <v>20.66115702479339</v>
      </c>
      <c r="BK124" s="68">
        <f>'O.G.Chem Results'!BK124/'O.G.Chem Results'!BK$142</f>
        <v>0.49230769230769228</v>
      </c>
      <c r="BL124" s="68">
        <f>'O.G.Chem Results'!BL124/'O.G.Chem Results'!BL$142</f>
        <v>160.49382716049382</v>
      </c>
      <c r="BM124" s="97">
        <v>0.2</v>
      </c>
      <c r="BN124" s="97">
        <v>6</v>
      </c>
      <c r="BO124" s="97">
        <v>0.5</v>
      </c>
      <c r="BP124" s="97">
        <v>27</v>
      </c>
      <c r="BQ124" s="97" t="s">
        <v>75</v>
      </c>
      <c r="BR124" s="97">
        <v>14.5</v>
      </c>
      <c r="BS124" s="97">
        <v>1.4</v>
      </c>
      <c r="BT124" s="60">
        <f t="shared" ref="BT124:BT125" si="59">AZ124/(AY124+AZ124)</f>
        <v>3.2110626530159413E-2</v>
      </c>
      <c r="BU124" s="61">
        <f t="shared" ref="BU124:BU125" si="60">SUM(AY124:BL124)</f>
        <v>415.55488891096195</v>
      </c>
      <c r="BV124" s="61">
        <f t="shared" ref="BV124:BV125" si="61">F124</f>
        <v>1000</v>
      </c>
      <c r="BW124" s="62">
        <f t="shared" ref="BW124:BW125" si="62">100*P124/(P124+T124+U124+V124)</f>
        <v>59.357489727306678</v>
      </c>
      <c r="BX124" s="69">
        <f t="shared" si="36"/>
        <v>4.5353887249224789E-2</v>
      </c>
      <c r="EP124"/>
      <c r="EQ124"/>
      <c r="ER124" s="324">
        <f t="shared" ref="ER124:ER128" si="63">BD124*2/(BC124+BE124)</f>
        <v>5.1373010728506596</v>
      </c>
      <c r="ES124" s="257">
        <f t="shared" si="40"/>
        <v>4.9264078625926785E-2</v>
      </c>
      <c r="ET124"/>
      <c r="EU124" s="324">
        <f t="shared" si="41"/>
        <v>104.28087190789338</v>
      </c>
      <c r="EV124"/>
      <c r="EW124"/>
      <c r="EX124">
        <f t="shared" si="43"/>
        <v>0.2673076923076923</v>
      </c>
      <c r="EY124"/>
      <c r="EZ124"/>
      <c r="FA124"/>
      <c r="FB124"/>
      <c r="FC124"/>
      <c r="FD124"/>
    </row>
    <row r="125" spans="1:160" s="61" customFormat="1" ht="13" customHeight="1" x14ac:dyDescent="0.2">
      <c r="A125" s="57" t="s">
        <v>565</v>
      </c>
      <c r="B125" s="58" t="s">
        <v>464</v>
      </c>
      <c r="C125" s="58">
        <v>0</v>
      </c>
      <c r="D125" s="59">
        <v>10000</v>
      </c>
      <c r="E125" s="59">
        <v>10000</v>
      </c>
      <c r="F125" s="59">
        <v>1000</v>
      </c>
      <c r="G125" s="64"/>
      <c r="H125" s="64"/>
      <c r="I125" s="64"/>
      <c r="J125" s="64"/>
      <c r="K125" s="96"/>
      <c r="L125" s="59"/>
      <c r="M125" s="59"/>
      <c r="N125" s="59"/>
      <c r="O125" s="59">
        <v>72.67</v>
      </c>
      <c r="P125" s="59">
        <v>14.12</v>
      </c>
      <c r="Q125" s="59">
        <v>1.66</v>
      </c>
      <c r="R125" s="59">
        <v>2.8000000000000001E-2</v>
      </c>
      <c r="S125" s="59">
        <v>0.41</v>
      </c>
      <c r="T125" s="59">
        <v>1.62</v>
      </c>
      <c r="U125" s="59">
        <v>3.52</v>
      </c>
      <c r="V125" s="59">
        <v>4.8</v>
      </c>
      <c r="W125" s="59">
        <v>0.20799999999999999</v>
      </c>
      <c r="X125" s="59">
        <v>0.06</v>
      </c>
      <c r="Y125" s="97">
        <v>0.24</v>
      </c>
      <c r="Z125" s="97">
        <f t="shared" ref="Z125:Z128" si="64">SUM(O125:Y125)</f>
        <v>99.335999999999999</v>
      </c>
      <c r="AA125" s="97">
        <v>3</v>
      </c>
      <c r="AB125" s="97">
        <v>2</v>
      </c>
      <c r="AC125" s="97">
        <v>21</v>
      </c>
      <c r="AD125" s="97" t="s">
        <v>69</v>
      </c>
      <c r="AE125" s="97">
        <v>3</v>
      </c>
      <c r="AF125" s="97" t="s">
        <v>69</v>
      </c>
      <c r="AG125" s="97">
        <v>40</v>
      </c>
      <c r="AH125" s="97">
        <v>40</v>
      </c>
      <c r="AI125" s="97">
        <v>20</v>
      </c>
      <c r="AJ125" s="97">
        <v>1</v>
      </c>
      <c r="AK125" s="97" t="s">
        <v>71</v>
      </c>
      <c r="AL125" s="97">
        <v>120</v>
      </c>
      <c r="AM125" s="97">
        <v>381</v>
      </c>
      <c r="AN125" s="68">
        <f>'O.G.Chem Results'!AN125/'O.G.Chem Results'!$AN$142</f>
        <v>2.5641025641025639</v>
      </c>
      <c r="AO125" s="97">
        <v>88</v>
      </c>
      <c r="AP125" s="97">
        <v>4</v>
      </c>
      <c r="AQ125" s="97" t="s">
        <v>72</v>
      </c>
      <c r="AR125" s="97" t="s">
        <v>74</v>
      </c>
      <c r="AS125" s="97" t="s">
        <v>73</v>
      </c>
      <c r="AT125" s="97">
        <v>1</v>
      </c>
      <c r="AU125" s="97" t="s">
        <v>74</v>
      </c>
      <c r="AV125" s="97">
        <v>1.3</v>
      </c>
      <c r="AW125" s="97">
        <v>882</v>
      </c>
      <c r="AX125" s="97">
        <v>9.6999999999999993</v>
      </c>
      <c r="AY125" s="68">
        <f>'O.G.Chem Results'!AY125/'O.G.Chem Results'!AY$142</f>
        <v>110.63829787234043</v>
      </c>
      <c r="AZ125" s="68">
        <f>'O.G.Chem Results'!AZ125/'O.G.Chem Results'!AZ$142</f>
        <v>3.6803713527851456</v>
      </c>
      <c r="BA125" s="68">
        <f>'O.G.Chem Results'!BA125/'O.G.Chem Results'!BA$142</f>
        <v>86.41975308641976</v>
      </c>
      <c r="BB125" s="68">
        <f>'O.G.Chem Results'!BB125/'O.G.Chem Results'!BB$142</f>
        <v>3.094606542882405</v>
      </c>
      <c r="BC125" s="68">
        <f>'O.G.Chem Results'!BC125/'O.G.Chem Results'!BC$142</f>
        <v>3.4670292318150921</v>
      </c>
      <c r="BD125" s="68">
        <f>'O.G.Chem Results'!BD125/'O.G.Chem Results'!BD$142</f>
        <v>16.071428571428573</v>
      </c>
      <c r="BE125" s="68">
        <f>'O.G.Chem Results'!BE125/'O.G.Chem Results'!BE$142</f>
        <v>0.56818181818181823</v>
      </c>
      <c r="BF125" s="68">
        <f>'O.G.Chem Results'!BF125/'O.G.Chem Results'!BF$142</f>
        <v>19.28374655647383</v>
      </c>
      <c r="BG125" s="68">
        <f>'O.G.Chem Results'!BG125/'O.G.Chem Results'!BG$142</f>
        <v>0.41203131437989288</v>
      </c>
      <c r="BH125" s="68">
        <f>'O.G.Chem Results'!BH125/'O.G.Chem Results'!BH$142</f>
        <v>7.1942446043165464</v>
      </c>
      <c r="BI125" s="68">
        <f>'O.G.Chem Results'!BI125/'O.G.Chem Results'!BI$142</f>
        <v>0.31466331025802391</v>
      </c>
      <c r="BJ125" s="68">
        <f>'O.G.Chem Results'!BJ125/'O.G.Chem Results'!BJ$142</f>
        <v>12.396694214876034</v>
      </c>
      <c r="BK125" s="68">
        <f>'O.G.Chem Results'!BK125/'O.G.Chem Results'!BK$142</f>
        <v>0.30769230769230771</v>
      </c>
      <c r="BL125" s="68">
        <f>'O.G.Chem Results'!BL125/'O.G.Chem Results'!BL$142</f>
        <v>102.88065843621398</v>
      </c>
      <c r="BM125" s="97">
        <v>0.6</v>
      </c>
      <c r="BN125" s="97" t="s">
        <v>68</v>
      </c>
      <c r="BO125" s="97">
        <v>0.7</v>
      </c>
      <c r="BP125" s="97">
        <v>32</v>
      </c>
      <c r="BQ125" s="97" t="s">
        <v>75</v>
      </c>
      <c r="BR125" s="97">
        <v>16.3</v>
      </c>
      <c r="BS125" s="97">
        <v>1.8</v>
      </c>
      <c r="BT125" s="60">
        <f t="shared" si="59"/>
        <v>3.2193966022622783E-2</v>
      </c>
      <c r="BU125" s="61">
        <f t="shared" si="60"/>
        <v>366.7293992200639</v>
      </c>
      <c r="BV125" s="61">
        <f t="shared" si="61"/>
        <v>1000</v>
      </c>
      <c r="BW125" s="62">
        <f t="shared" si="62"/>
        <v>58.68661679135495</v>
      </c>
      <c r="BX125" s="69">
        <f t="shared" si="36"/>
        <v>4.2587154225085251E-2</v>
      </c>
      <c r="EP125"/>
      <c r="EQ125"/>
      <c r="ER125" s="324">
        <f t="shared" si="63"/>
        <v>7.9655950443736421</v>
      </c>
      <c r="ES125" s="257">
        <f t="shared" si="40"/>
        <v>4.9209140681987763E-2</v>
      </c>
      <c r="ET125"/>
      <c r="EU125" s="324">
        <f t="shared" si="41"/>
        <v>161.87226466422169</v>
      </c>
      <c r="EV125"/>
      <c r="EW125"/>
      <c r="EX125">
        <f t="shared" si="43"/>
        <v>0.35641025641025642</v>
      </c>
      <c r="EY125"/>
      <c r="EZ125"/>
      <c r="FA125"/>
      <c r="FB125"/>
      <c r="FC125"/>
      <c r="FD125"/>
    </row>
    <row r="126" spans="1:160" s="61" customFormat="1" ht="13" customHeight="1" x14ac:dyDescent="0.2">
      <c r="A126" s="57" t="s">
        <v>456</v>
      </c>
      <c r="B126" s="58" t="s">
        <v>464</v>
      </c>
      <c r="C126" s="58">
        <v>0</v>
      </c>
      <c r="D126" s="59">
        <v>10000</v>
      </c>
      <c r="E126" s="59">
        <v>10000</v>
      </c>
      <c r="F126" s="59">
        <v>1000</v>
      </c>
      <c r="G126" s="58"/>
      <c r="H126" s="58"/>
      <c r="I126" s="58"/>
      <c r="J126" s="58"/>
      <c r="K126" s="88"/>
      <c r="L126" s="59"/>
      <c r="M126" s="59"/>
      <c r="N126" s="59"/>
      <c r="O126" s="59">
        <v>76.819999999999993</v>
      </c>
      <c r="P126" s="59">
        <v>13.74</v>
      </c>
      <c r="Q126" s="59">
        <v>1.01</v>
      </c>
      <c r="R126" s="59">
        <v>1.6E-2</v>
      </c>
      <c r="S126" s="59">
        <v>0.09</v>
      </c>
      <c r="T126" s="59">
        <v>3.37</v>
      </c>
      <c r="U126" s="59">
        <v>3.91</v>
      </c>
      <c r="V126" s="59">
        <v>0.92</v>
      </c>
      <c r="W126" s="59">
        <v>2.7E-2</v>
      </c>
      <c r="X126" s="59">
        <v>0</v>
      </c>
      <c r="Y126" s="59">
        <v>0.89</v>
      </c>
      <c r="Z126" s="97">
        <f t="shared" si="64"/>
        <v>100.79300000000001</v>
      </c>
      <c r="AA126" s="59">
        <v>0</v>
      </c>
      <c r="AB126" s="59">
        <v>1</v>
      </c>
      <c r="AC126" s="59">
        <v>7</v>
      </c>
      <c r="AD126" s="59">
        <v>0</v>
      </c>
      <c r="AE126" s="59">
        <v>3</v>
      </c>
      <c r="AF126" s="59">
        <v>0</v>
      </c>
      <c r="AG126" s="59">
        <v>60</v>
      </c>
      <c r="AH126" s="59">
        <v>0</v>
      </c>
      <c r="AI126" s="59">
        <v>11</v>
      </c>
      <c r="AJ126" s="59">
        <v>0</v>
      </c>
      <c r="AK126" s="59">
        <v>0</v>
      </c>
      <c r="AL126" s="59">
        <v>25</v>
      </c>
      <c r="AM126" s="59">
        <v>431</v>
      </c>
      <c r="AN126" s="68">
        <f>'O.G.Chem Results'!AN126/'O.G.Chem Results'!$AN$142</f>
        <v>1.2820512820512819</v>
      </c>
      <c r="AO126" s="59">
        <v>59</v>
      </c>
      <c r="AP126" s="59">
        <v>0</v>
      </c>
      <c r="AQ126" s="59" t="s">
        <v>72</v>
      </c>
      <c r="AR126" s="59" t="s">
        <v>74</v>
      </c>
      <c r="AS126" s="59" t="s">
        <v>73</v>
      </c>
      <c r="AT126" s="59">
        <v>0</v>
      </c>
      <c r="AU126" s="59" t="s">
        <v>74</v>
      </c>
      <c r="AV126" s="59" t="s">
        <v>74</v>
      </c>
      <c r="AW126" s="59">
        <v>113</v>
      </c>
      <c r="AX126" s="59" t="s">
        <v>75</v>
      </c>
      <c r="AY126" s="68">
        <f>'O.G.Chem Results'!AY126/'O.G.Chem Results'!AY$142</f>
        <v>10.638297872340425</v>
      </c>
      <c r="AZ126" s="68">
        <f>'O.G.Chem Results'!AZ126/'O.G.Chem Results'!AZ$142</f>
        <v>6.7970822281167091</v>
      </c>
      <c r="BA126" s="68">
        <f>'O.G.Chem Results'!BA126/'O.G.Chem Results'!BA$142</f>
        <v>4.489337822671156</v>
      </c>
      <c r="BB126" s="68">
        <f>'O.G.Chem Results'!BB126/'O.G.Chem Results'!BB$142</f>
        <v>3.094606542882405</v>
      </c>
      <c r="BC126" s="68">
        <f>'O.G.Chem Results'!BC126/'O.G.Chem Results'!BC$142</f>
        <v>1.359619306594154</v>
      </c>
      <c r="BD126" s="68">
        <f>'O.G.Chem Results'!BD126/'O.G.Chem Results'!BD$142</f>
        <v>6.6071428571428568</v>
      </c>
      <c r="BE126" s="68">
        <f>'O.G.Chem Results'!BE126/'O.G.Chem Results'!BE$142</f>
        <v>1.1363636363636365</v>
      </c>
      <c r="BF126" s="68">
        <f>'O.G.Chem Results'!BF126/'O.G.Chem Results'!BF$142</f>
        <v>0</v>
      </c>
      <c r="BG126" s="68">
        <f>'O.G.Chem Results'!BG126/'O.G.Chem Results'!BG$142</f>
        <v>0.82406262875978575</v>
      </c>
      <c r="BH126" s="68">
        <f>'O.G.Chem Results'!BH126/'O.G.Chem Results'!BH$142</f>
        <v>0</v>
      </c>
      <c r="BI126" s="68">
        <f>'O.G.Chem Results'!BI126/'O.G.Chem Results'!BI$142</f>
        <v>0.62932662051604782</v>
      </c>
      <c r="BJ126" s="68">
        <f>'O.G.Chem Results'!BJ126/'O.G.Chem Results'!BJ$142</f>
        <v>0</v>
      </c>
      <c r="BK126" s="68">
        <f>'O.G.Chem Results'!BK126/'O.G.Chem Results'!BK$142</f>
        <v>1.846153846153846</v>
      </c>
      <c r="BL126" s="68">
        <f>'O.G.Chem Results'!BL126/'O.G.Chem Results'!BL$142</f>
        <v>2.0576131687242798</v>
      </c>
      <c r="BM126" s="59">
        <v>2</v>
      </c>
      <c r="BN126" s="59">
        <v>0</v>
      </c>
      <c r="BO126" s="59">
        <v>0</v>
      </c>
      <c r="BP126" s="59">
        <v>0.1</v>
      </c>
      <c r="BQ126" s="59">
        <v>6</v>
      </c>
      <c r="BR126" s="59">
        <v>0.7</v>
      </c>
      <c r="BS126" s="59">
        <v>0.3</v>
      </c>
      <c r="BT126" s="60">
        <f>AZ126/(AY126+AZ126)</f>
        <v>0.38984422415537118</v>
      </c>
      <c r="BU126" s="61">
        <f>SUM(AY126:BL126)</f>
        <v>39.479606530265301</v>
      </c>
      <c r="BV126" s="61">
        <f>F126</f>
        <v>1000</v>
      </c>
      <c r="BW126" s="62">
        <f>100*P126/(P126+T126+U126+V126)</f>
        <v>62.625341841385591</v>
      </c>
      <c r="BX126" s="69">
        <f t="shared" si="36"/>
        <v>1.514050066312997</v>
      </c>
      <c r="EP126"/>
      <c r="EQ126"/>
      <c r="ER126" s="324">
        <f t="shared" si="63"/>
        <v>5.2942211610735272</v>
      </c>
      <c r="ES126" s="257">
        <f t="shared" si="40"/>
        <v>0.83669432651485898</v>
      </c>
      <c r="ET126"/>
      <c r="EU126" s="324">
        <f t="shared" si="41"/>
        <v>6.3275451898017696</v>
      </c>
      <c r="EV126"/>
      <c r="EW126"/>
      <c r="EX126" t="e">
        <f t="shared" si="43"/>
        <v>#DIV/0!</v>
      </c>
      <c r="EY126"/>
      <c r="EZ126"/>
      <c r="FA126"/>
      <c r="FB126"/>
      <c r="FC126"/>
      <c r="FD126"/>
    </row>
    <row r="127" spans="1:160" s="61" customFormat="1" ht="13" customHeight="1" x14ac:dyDescent="0.2">
      <c r="A127" s="57" t="s">
        <v>465</v>
      </c>
      <c r="B127" s="58" t="s">
        <v>464</v>
      </c>
      <c r="C127" s="58">
        <v>0</v>
      </c>
      <c r="D127" s="59">
        <v>10000</v>
      </c>
      <c r="E127" s="59">
        <v>10000</v>
      </c>
      <c r="F127" s="59">
        <v>1000</v>
      </c>
      <c r="G127" s="58"/>
      <c r="H127" s="58"/>
      <c r="I127" s="58"/>
      <c r="J127" s="58"/>
      <c r="K127" s="88"/>
      <c r="L127" s="59"/>
      <c r="M127" s="59"/>
      <c r="N127" s="59"/>
      <c r="O127" s="59">
        <v>69.12</v>
      </c>
      <c r="P127" s="59">
        <v>15.87</v>
      </c>
      <c r="Q127" s="59">
        <v>2.4500000000000002</v>
      </c>
      <c r="R127" s="59">
        <v>6.2E-2</v>
      </c>
      <c r="S127" s="59">
        <v>1.1100000000000001</v>
      </c>
      <c r="T127" s="59">
        <v>2.27</v>
      </c>
      <c r="U127" s="59">
        <v>4.8</v>
      </c>
      <c r="V127" s="59">
        <v>3.17</v>
      </c>
      <c r="W127" s="59">
        <v>0.25700000000000001</v>
      </c>
      <c r="X127" s="59">
        <v>0.06</v>
      </c>
      <c r="Y127" s="59">
        <v>0.37</v>
      </c>
      <c r="Z127" s="97">
        <f t="shared" si="64"/>
        <v>99.539000000000016</v>
      </c>
      <c r="AA127" s="59">
        <v>4</v>
      </c>
      <c r="AB127" s="59">
        <v>2</v>
      </c>
      <c r="AC127" s="59">
        <v>25</v>
      </c>
      <c r="AD127" s="59">
        <v>190</v>
      </c>
      <c r="AE127" s="59">
        <v>4</v>
      </c>
      <c r="AF127" s="59">
        <v>40</v>
      </c>
      <c r="AG127" s="59">
        <v>30</v>
      </c>
      <c r="AH127" s="59">
        <v>50</v>
      </c>
      <c r="AI127" s="59">
        <v>16</v>
      </c>
      <c r="AJ127" s="59">
        <v>1</v>
      </c>
      <c r="AK127" s="59">
        <v>0</v>
      </c>
      <c r="AL127" s="59">
        <v>95</v>
      </c>
      <c r="AM127" s="59">
        <v>452</v>
      </c>
      <c r="AN127" s="68">
        <f>'O.G.Chem Results'!AN127/'O.G.Chem Results'!$AN$142</f>
        <v>8.9743589743589745</v>
      </c>
      <c r="AO127" s="59">
        <v>157</v>
      </c>
      <c r="AP127" s="59">
        <v>4</v>
      </c>
      <c r="AQ127" s="59">
        <v>4</v>
      </c>
      <c r="AR127" s="59" t="s">
        <v>74</v>
      </c>
      <c r="AS127" s="59" t="s">
        <v>73</v>
      </c>
      <c r="AT127" s="59">
        <v>1</v>
      </c>
      <c r="AU127" s="59" t="s">
        <v>74</v>
      </c>
      <c r="AV127" s="59">
        <v>1.8</v>
      </c>
      <c r="AW127" s="59">
        <v>667</v>
      </c>
      <c r="AX127" s="59" t="s">
        <v>75</v>
      </c>
      <c r="AY127" s="68">
        <f>'O.G.Chem Results'!AY127/'O.G.Chem Results'!AY$142</f>
        <v>66.382978723404264</v>
      </c>
      <c r="AZ127" s="68">
        <f>'O.G.Chem Results'!AZ127/'O.G.Chem Results'!AZ$142</f>
        <v>54.210875331564985</v>
      </c>
      <c r="BA127" s="68">
        <f>'O.G.Chem Results'!BA127/'O.G.Chem Results'!BA$142</f>
        <v>40.404040404040408</v>
      </c>
      <c r="BB127" s="68">
        <f>'O.G.Chem Results'!BB127/'O.G.Chem Results'!BB$142</f>
        <v>29.840848806366051</v>
      </c>
      <c r="BC127" s="68">
        <f>'O.G.Chem Results'!BC127/'O.G.Chem Results'!BC$142</f>
        <v>16.995241332426922</v>
      </c>
      <c r="BD127" s="68">
        <f>'O.G.Chem Results'!BD127/'O.G.Chem Results'!BD$142</f>
        <v>11.25</v>
      </c>
      <c r="BE127" s="68">
        <f>'O.G.Chem Results'!BE127/'O.G.Chem Results'!BE$142</f>
        <v>13.068181818181818</v>
      </c>
      <c r="BF127" s="68">
        <f>'O.G.Chem Results'!BF127/'O.G.Chem Results'!BF$142</f>
        <v>11.019283746556475</v>
      </c>
      <c r="BG127" s="68">
        <f>'O.G.Chem Results'!BG127/'O.G.Chem Results'!BG$142</f>
        <v>9.8887515451174277</v>
      </c>
      <c r="BH127" s="68">
        <f>'O.G.Chem Results'!BH127/'O.G.Chem Results'!BH$142</f>
        <v>8.9928057553956826</v>
      </c>
      <c r="BI127" s="68">
        <f>'O.G.Chem Results'!BI127/'O.G.Chem Results'!BI$142</f>
        <v>10.069225928256765</v>
      </c>
      <c r="BJ127" s="68">
        <f>'O.G.Chem Results'!BJ127/'O.G.Chem Results'!BJ$142</f>
        <v>11.5702479338843</v>
      </c>
      <c r="BK127" s="68">
        <f>'O.G.Chem Results'!BK127/'O.G.Chem Results'!BK$142</f>
        <v>12.307692307692307</v>
      </c>
      <c r="BL127" s="68">
        <f>'O.G.Chem Results'!BL127/'O.G.Chem Results'!BL$142</f>
        <v>13.580246913580247</v>
      </c>
      <c r="BM127" s="59">
        <v>4.7</v>
      </c>
      <c r="BN127" s="59">
        <v>0.6</v>
      </c>
      <c r="BO127" s="59">
        <v>0</v>
      </c>
      <c r="BP127" s="59">
        <v>0.3</v>
      </c>
      <c r="BQ127" s="59">
        <v>15</v>
      </c>
      <c r="BR127" s="59">
        <v>5.9</v>
      </c>
      <c r="BS127" s="59">
        <v>1.6</v>
      </c>
      <c r="BT127" s="60">
        <f>AZ127/(AY127+AZ127)</f>
        <v>0.44953265451533303</v>
      </c>
      <c r="BU127" s="61">
        <f>SUM(AY127:BL127)</f>
        <v>309.58042054646762</v>
      </c>
      <c r="BV127" s="61">
        <f>F127</f>
        <v>1000</v>
      </c>
      <c r="BW127" s="62">
        <f>100*P127/(P127+T127+U127+V127)</f>
        <v>60.781309842972043</v>
      </c>
      <c r="BX127" s="69">
        <f t="shared" si="36"/>
        <v>1.3417191644562332</v>
      </c>
      <c r="EP127"/>
      <c r="EQ127"/>
      <c r="ER127" s="324">
        <f t="shared" si="63"/>
        <v>0.74841776624311018</v>
      </c>
      <c r="ES127" s="257">
        <f t="shared" si="40"/>
        <v>1.0001587863516623</v>
      </c>
      <c r="ET127"/>
      <c r="EU127" s="324">
        <f t="shared" si="41"/>
        <v>0.74829894658342944</v>
      </c>
      <c r="EV127"/>
      <c r="EW127"/>
      <c r="EX127">
        <f t="shared" si="43"/>
        <v>0.99794871794871809</v>
      </c>
      <c r="EY127"/>
      <c r="EZ127"/>
      <c r="FA127"/>
      <c r="FB127"/>
      <c r="FC127"/>
      <c r="FD127"/>
    </row>
    <row r="128" spans="1:160" s="61" customFormat="1" ht="13" customHeight="1" x14ac:dyDescent="0.2">
      <c r="A128" s="63" t="s">
        <v>488</v>
      </c>
      <c r="B128" s="64" t="s">
        <v>464</v>
      </c>
      <c r="C128" s="64">
        <v>0</v>
      </c>
      <c r="D128" s="59">
        <v>10000</v>
      </c>
      <c r="E128" s="59">
        <v>10000</v>
      </c>
      <c r="F128" s="59">
        <v>1000</v>
      </c>
      <c r="G128" s="58"/>
      <c r="H128" s="58"/>
      <c r="I128" s="58"/>
      <c r="J128" s="58"/>
      <c r="K128" s="88"/>
      <c r="L128" s="59"/>
      <c r="M128" s="59"/>
      <c r="N128" s="59"/>
      <c r="O128" s="59">
        <v>71.94</v>
      </c>
      <c r="P128" s="59">
        <v>14.27</v>
      </c>
      <c r="Q128" s="59">
        <v>2.16</v>
      </c>
      <c r="R128" s="59">
        <v>2.1999999999999999E-2</v>
      </c>
      <c r="S128" s="59">
        <v>0.54</v>
      </c>
      <c r="T128" s="59">
        <v>1.58</v>
      </c>
      <c r="U128" s="59">
        <v>2.76</v>
      </c>
      <c r="V128" s="59">
        <v>5.99</v>
      </c>
      <c r="W128" s="59">
        <v>0.40200000000000002</v>
      </c>
      <c r="X128" s="59">
        <v>0.1</v>
      </c>
      <c r="Y128" s="59">
        <v>0.57999999999999996</v>
      </c>
      <c r="Z128" s="97">
        <f t="shared" si="64"/>
        <v>100.34399999999999</v>
      </c>
      <c r="AA128" s="59">
        <v>3</v>
      </c>
      <c r="AB128" s="59">
        <v>1</v>
      </c>
      <c r="AC128" s="59">
        <v>28</v>
      </c>
      <c r="AD128" s="59">
        <v>0</v>
      </c>
      <c r="AE128" s="59">
        <v>2</v>
      </c>
      <c r="AF128" s="59">
        <v>0</v>
      </c>
      <c r="AG128" s="59">
        <v>0</v>
      </c>
      <c r="AH128" s="59">
        <v>70</v>
      </c>
      <c r="AI128" s="59">
        <v>24</v>
      </c>
      <c r="AJ128" s="59">
        <v>0</v>
      </c>
      <c r="AK128" s="59">
        <v>0</v>
      </c>
      <c r="AL128" s="59">
        <v>231</v>
      </c>
      <c r="AM128" s="59">
        <v>236</v>
      </c>
      <c r="AN128" s="68">
        <f>'O.G.Chem Results'!AN128/'O.G.Chem Results'!$AN$142</f>
        <v>1.9230769230769229</v>
      </c>
      <c r="AO128" s="59">
        <v>227</v>
      </c>
      <c r="AP128" s="59">
        <v>7</v>
      </c>
      <c r="AQ128" s="59" t="s">
        <v>72</v>
      </c>
      <c r="AR128" s="59" t="s">
        <v>74</v>
      </c>
      <c r="AS128" s="59" t="s">
        <v>73</v>
      </c>
      <c r="AT128" s="59">
        <v>2</v>
      </c>
      <c r="AU128" s="59" t="s">
        <v>74</v>
      </c>
      <c r="AV128" s="59">
        <v>1</v>
      </c>
      <c r="AW128" s="59">
        <v>934</v>
      </c>
      <c r="AX128" s="59" t="s">
        <v>75</v>
      </c>
      <c r="AY128" s="68">
        <f>'O.G.Chem Results'!AY128/'O.G.Chem Results'!AY$142</f>
        <v>451.06382978723406</v>
      </c>
      <c r="AZ128" s="68">
        <f>'O.G.Chem Results'!AZ128/'O.G.Chem Results'!AZ$142</f>
        <v>314.98673740053044</v>
      </c>
      <c r="BA128" s="68">
        <f>'O.G.Chem Results'!BA128/'O.G.Chem Results'!BA$142</f>
        <v>234.5679012345679</v>
      </c>
      <c r="BB128" s="68">
        <f>'O.G.Chem Results'!BB128/'O.G.Chem Results'!BB$142</f>
        <v>147.43589743589746</v>
      </c>
      <c r="BC128" s="68">
        <f>'O.G.Chem Results'!BC128/'O.G.Chem Results'!BC$142</f>
        <v>66.621346023113546</v>
      </c>
      <c r="BD128" s="68">
        <f>'O.G.Chem Results'!BD128/'O.G.Chem Results'!BD$142</f>
        <v>23.928571428571431</v>
      </c>
      <c r="BE128" s="68">
        <f>'O.G.Chem Results'!BE128/'O.G.Chem Results'!BE$142</f>
        <v>23.863636363636367</v>
      </c>
      <c r="BF128" s="68">
        <f>'O.G.Chem Results'!BF128/'O.G.Chem Results'!BF$142</f>
        <v>8.2644628099173545</v>
      </c>
      <c r="BG128" s="68">
        <f>'O.G.Chem Results'!BG128/'O.G.Chem Results'!BG$142</f>
        <v>4.9443757725587139</v>
      </c>
      <c r="BH128" s="68">
        <f>'O.G.Chem Results'!BH128/'O.G.Chem Results'!BH$142</f>
        <v>3.5971223021582732</v>
      </c>
      <c r="BI128" s="68">
        <f>'O.G.Chem Results'!BI128/'O.G.Chem Results'!BI$142</f>
        <v>3.146633102580239</v>
      </c>
      <c r="BJ128" s="68">
        <f>'O.G.Chem Results'!BJ128/'O.G.Chem Results'!BJ$142</f>
        <v>2.0661157024793391</v>
      </c>
      <c r="BK128" s="68">
        <f>'O.G.Chem Results'!BK128/'O.G.Chem Results'!BK$142</f>
        <v>1.846153846153846</v>
      </c>
      <c r="BL128" s="68">
        <f>'O.G.Chem Results'!BL128/'O.G.Chem Results'!BL$142</f>
        <v>1.6460905349794237</v>
      </c>
      <c r="BM128" s="59">
        <v>5.9</v>
      </c>
      <c r="BN128" s="59">
        <v>0.3</v>
      </c>
      <c r="BO128" s="59">
        <v>0</v>
      </c>
      <c r="BP128" s="59">
        <v>1.5</v>
      </c>
      <c r="BQ128" s="59">
        <v>56</v>
      </c>
      <c r="BR128" s="59">
        <v>61.2</v>
      </c>
      <c r="BS128" s="59">
        <v>3.5</v>
      </c>
      <c r="BT128" s="60">
        <f>AZ128/(AY128+AZ128)</f>
        <v>0.41118269588504192</v>
      </c>
      <c r="BU128" s="61">
        <f>SUM(AY128:BL128)</f>
        <v>1287.9788737443782</v>
      </c>
      <c r="BV128" s="61">
        <f>F128</f>
        <v>1000</v>
      </c>
      <c r="BW128" s="62">
        <f>100*P128/(P128+T128+U128+V128)</f>
        <v>58.008130081300813</v>
      </c>
      <c r="BX128" s="69">
        <f t="shared" si="36"/>
        <v>1.3428381962864719</v>
      </c>
      <c r="EP128"/>
      <c r="EQ128"/>
      <c r="ER128" s="324">
        <f t="shared" si="63"/>
        <v>0.5288959736168416</v>
      </c>
      <c r="ES128" s="257">
        <f t="shared" si="40"/>
        <v>0.90033634065312629</v>
      </c>
      <c r="ET128"/>
      <c r="EU128" s="324">
        <f t="shared" si="41"/>
        <v>0.58744265863262535</v>
      </c>
      <c r="EV128"/>
      <c r="EW128"/>
      <c r="EX128">
        <f t="shared" si="43"/>
        <v>0.5346153846153846</v>
      </c>
      <c r="EY128"/>
      <c r="EZ128"/>
      <c r="FA128"/>
      <c r="FB128"/>
      <c r="FC128"/>
      <c r="FD128"/>
    </row>
    <row r="129" spans="1:160" x14ac:dyDescent="0.2">
      <c r="O129" s="291">
        <f>AVERAGE(O124:O128)</f>
        <v>71.765999999999991</v>
      </c>
      <c r="P129" s="291">
        <f t="shared" ref="P129:BW129" si="65">AVERAGE(P124:P128)</f>
        <v>14.778</v>
      </c>
      <c r="Q129" s="291">
        <f t="shared" si="65"/>
        <v>1.8480000000000001</v>
      </c>
      <c r="R129" s="291">
        <f t="shared" si="65"/>
        <v>3.2600000000000004E-2</v>
      </c>
      <c r="S129" s="291">
        <f t="shared" si="65"/>
        <v>0.53</v>
      </c>
      <c r="T129" s="291">
        <f t="shared" si="65"/>
        <v>2.2160000000000002</v>
      </c>
      <c r="U129" s="291">
        <f t="shared" si="65"/>
        <v>3.8079999999999998</v>
      </c>
      <c r="V129" s="291">
        <f t="shared" si="65"/>
        <v>3.8939999999999997</v>
      </c>
      <c r="W129" s="291">
        <f t="shared" si="65"/>
        <v>0.23840000000000003</v>
      </c>
      <c r="X129" s="291">
        <f t="shared" si="65"/>
        <v>6.0000000000000012E-2</v>
      </c>
      <c r="Y129" s="291">
        <f t="shared" si="65"/>
        <v>0.48799999999999999</v>
      </c>
      <c r="Z129" s="291">
        <f t="shared" si="65"/>
        <v>99.659000000000006</v>
      </c>
      <c r="AA129" s="291">
        <f t="shared" si="65"/>
        <v>2.6</v>
      </c>
      <c r="AB129" s="291">
        <f>AVERAGE(AB124:AB128)</f>
        <v>1.6</v>
      </c>
      <c r="AC129" s="291">
        <f t="shared" si="65"/>
        <v>21.8</v>
      </c>
      <c r="AD129" s="291">
        <f t="shared" si="65"/>
        <v>63.333333333333336</v>
      </c>
      <c r="AE129" s="291">
        <f t="shared" si="65"/>
        <v>3.2</v>
      </c>
      <c r="AF129" s="291">
        <f t="shared" si="65"/>
        <v>13.333333333333334</v>
      </c>
      <c r="AG129" s="291">
        <f t="shared" si="65"/>
        <v>30</v>
      </c>
      <c r="AH129" s="291">
        <f t="shared" si="65"/>
        <v>40</v>
      </c>
      <c r="AI129" s="291">
        <f t="shared" si="65"/>
        <v>18</v>
      </c>
      <c r="AJ129" s="291">
        <f t="shared" si="65"/>
        <v>0.5</v>
      </c>
      <c r="AK129" s="291">
        <f t="shared" si="65"/>
        <v>0</v>
      </c>
      <c r="AL129" s="291">
        <f t="shared" si="65"/>
        <v>113.4</v>
      </c>
      <c r="AM129" s="291">
        <f t="shared" si="65"/>
        <v>428.8</v>
      </c>
      <c r="AN129" s="68">
        <f>'O.G.Chem Results'!AN129/'O.G.Chem Results'!$AN$142</f>
        <v>3.3333333333333335</v>
      </c>
      <c r="AO129" s="291">
        <f t="shared" si="65"/>
        <v>137.6</v>
      </c>
      <c r="AP129" s="291">
        <f t="shared" si="65"/>
        <v>3.4</v>
      </c>
      <c r="AQ129" s="291">
        <f t="shared" si="65"/>
        <v>4</v>
      </c>
      <c r="AR129" s="291">
        <f t="shared" si="65"/>
        <v>0.5</v>
      </c>
      <c r="AS129" s="291" t="e">
        <f t="shared" si="65"/>
        <v>#DIV/0!</v>
      </c>
      <c r="AT129" s="291">
        <f t="shared" si="65"/>
        <v>1</v>
      </c>
      <c r="AU129" s="291" t="e">
        <f t="shared" si="65"/>
        <v>#DIV/0!</v>
      </c>
      <c r="AV129" s="291">
        <f t="shared" si="65"/>
        <v>1.65</v>
      </c>
      <c r="AW129" s="291">
        <f t="shared" si="65"/>
        <v>821.6</v>
      </c>
      <c r="AX129" s="291">
        <f t="shared" si="65"/>
        <v>9.75</v>
      </c>
      <c r="AY129" s="68">
        <f>'O.G.Chem Results'!AY129/'O.G.Chem Results'!AY$142</f>
        <v>149.53191489361703</v>
      </c>
      <c r="AZ129" s="68">
        <f>'O.G.Chem Results'!AZ129/'O.G.Chem Results'!AZ$142</f>
        <v>76.657824933686982</v>
      </c>
      <c r="BA129" s="68">
        <f>'O.G.Chem Results'!BA129/'O.G.Chem Results'!BA$142</f>
        <v>89.113355780022459</v>
      </c>
      <c r="BB129" s="68">
        <f>'O.G.Chem Results'!BB129/'O.G.Chem Results'!BB$142</f>
        <v>37.135278514588862</v>
      </c>
      <c r="BC129" s="68">
        <f>'O.G.Chem Results'!BC129/'O.G.Chem Results'!BC$142</f>
        <v>18.409245411284843</v>
      </c>
      <c r="BD129" s="68">
        <f>'O.G.Chem Results'!BD129/'O.G.Chem Results'!BD$142</f>
        <v>13.714285714285714</v>
      </c>
      <c r="BE129" s="68">
        <f>'O.G.Chem Results'!BE129/'O.G.Chem Results'!BE$142</f>
        <v>7.8409090909090917</v>
      </c>
      <c r="BF129" s="68">
        <f>'O.G.Chem Results'!BF129/'O.G.Chem Results'!BF$142</f>
        <v>11.019283746556473</v>
      </c>
      <c r="BG129" s="68">
        <f>'O.G.Chem Results'!BG129/'O.G.Chem Results'!BG$142</f>
        <v>3.296250515039143</v>
      </c>
      <c r="BH129" s="68">
        <f>'O.G.Chem Results'!BH129/'O.G.Chem Results'!BH$142</f>
        <v>5.3956834532374094</v>
      </c>
      <c r="BI129" s="68">
        <f>'O.G.Chem Results'!BI129/'O.G.Chem Results'!BI$142</f>
        <v>2.9200755191944623</v>
      </c>
      <c r="BJ129" s="68">
        <f>'O.G.Chem Results'!BJ129/'O.G.Chem Results'!BJ$142</f>
        <v>9.3388429752066138</v>
      </c>
      <c r="BK129" s="68">
        <f>'O.G.Chem Results'!BK129/'O.G.Chem Results'!BK$142</f>
        <v>3.3600000000000003</v>
      </c>
      <c r="BL129" s="68">
        <f>'O.G.Chem Results'!BL129/'O.G.Chem Results'!BL$142</f>
        <v>56.13168724279835</v>
      </c>
      <c r="BM129" s="291">
        <f t="shared" si="65"/>
        <v>2.68</v>
      </c>
      <c r="BN129" s="291">
        <f t="shared" si="65"/>
        <v>1.7249999999999999</v>
      </c>
      <c r="BO129" s="291">
        <f t="shared" si="65"/>
        <v>0.24</v>
      </c>
      <c r="BP129" s="291">
        <f t="shared" si="65"/>
        <v>12.18</v>
      </c>
      <c r="BQ129" s="291">
        <f t="shared" si="65"/>
        <v>25.666666666666668</v>
      </c>
      <c r="BR129" s="291">
        <f t="shared" si="65"/>
        <v>19.72</v>
      </c>
      <c r="BS129" s="291">
        <f t="shared" si="65"/>
        <v>1.72</v>
      </c>
      <c r="BT129" s="291">
        <f t="shared" si="65"/>
        <v>0.26297283342170569</v>
      </c>
      <c r="BU129" s="291">
        <f t="shared" si="65"/>
        <v>483.86463779042742</v>
      </c>
      <c r="BV129" s="291">
        <f t="shared" si="65"/>
        <v>1000</v>
      </c>
      <c r="BW129" s="291">
        <f t="shared" si="65"/>
        <v>59.891777656864022</v>
      </c>
      <c r="BX129" s="69">
        <f t="shared" si="36"/>
        <v>0.86022823697626061</v>
      </c>
      <c r="ER129" s="324"/>
      <c r="ES129" s="257"/>
    </row>
    <row r="130" spans="1:160" x14ac:dyDescent="0.2">
      <c r="P130" s="291">
        <f>STDEV(P124:P128)</f>
        <v>1.024387621947864</v>
      </c>
      <c r="Q130" s="291">
        <f t="shared" ref="Q130:BW130" si="66">STDEV(Q124:Q128)</f>
        <v>0.54997272659651086</v>
      </c>
      <c r="R130" s="291">
        <f t="shared" si="66"/>
        <v>1.7882952776317445E-2</v>
      </c>
      <c r="S130" s="291">
        <f t="shared" si="66"/>
        <v>0.36925600875273518</v>
      </c>
      <c r="T130" s="291">
        <f t="shared" si="66"/>
        <v>0.72369192340387523</v>
      </c>
      <c r="U130" s="291">
        <f t="shared" si="66"/>
        <v>0.74737540767675992</v>
      </c>
      <c r="V130" s="291">
        <f t="shared" si="66"/>
        <v>1.9408322956917226</v>
      </c>
      <c r="W130" s="291">
        <f t="shared" si="66"/>
        <v>0.13809163624202589</v>
      </c>
      <c r="X130" s="291">
        <f t="shared" si="66"/>
        <v>3.7416573867739403E-2</v>
      </c>
      <c r="Y130" s="291">
        <f t="shared" si="66"/>
        <v>0.2558710612789184</v>
      </c>
      <c r="Z130" s="291">
        <f t="shared" si="66"/>
        <v>0.97047488375537561</v>
      </c>
      <c r="AA130" s="291">
        <f t="shared" si="66"/>
        <v>1.5165750888103104</v>
      </c>
      <c r="AB130" s="291">
        <f t="shared" si="66"/>
        <v>0.54772255750516596</v>
      </c>
      <c r="AC130" s="291">
        <f t="shared" si="66"/>
        <v>8.7578536183245284</v>
      </c>
      <c r="AD130" s="291">
        <f t="shared" si="66"/>
        <v>109.6965511460289</v>
      </c>
      <c r="AE130" s="291">
        <f t="shared" si="66"/>
        <v>0.83666002653407512</v>
      </c>
      <c r="AF130" s="291">
        <f t="shared" si="66"/>
        <v>23.094010767585029</v>
      </c>
      <c r="AG130" s="291">
        <f t="shared" si="66"/>
        <v>22.360679774997898</v>
      </c>
      <c r="AH130" s="291">
        <f t="shared" si="66"/>
        <v>25.495097567963924</v>
      </c>
      <c r="AI130" s="291">
        <f t="shared" si="66"/>
        <v>4.8476798574163293</v>
      </c>
      <c r="AJ130" s="291">
        <f t="shared" si="66"/>
        <v>0.57735026918962573</v>
      </c>
      <c r="AK130" s="291">
        <f t="shared" si="66"/>
        <v>0</v>
      </c>
      <c r="AL130" s="291">
        <f t="shared" si="66"/>
        <v>74.714791038990398</v>
      </c>
      <c r="AM130" s="291">
        <f t="shared" si="66"/>
        <v>146.89349883504039</v>
      </c>
      <c r="AN130" s="68">
        <f>'O.G.Chem Results'!AN130/'O.G.Chem Results'!$AN$142</f>
        <v>3.1858393948177377</v>
      </c>
      <c r="AO130" s="291">
        <f t="shared" si="66"/>
        <v>65.922681984276096</v>
      </c>
      <c r="AP130" s="291">
        <f t="shared" si="66"/>
        <v>2.6076809620810595</v>
      </c>
      <c r="AQ130" s="291" t="e">
        <f t="shared" si="66"/>
        <v>#DIV/0!</v>
      </c>
      <c r="AR130" s="291" t="e">
        <f t="shared" si="66"/>
        <v>#DIV/0!</v>
      </c>
      <c r="AS130" s="291" t="e">
        <f t="shared" si="66"/>
        <v>#DIV/0!</v>
      </c>
      <c r="AT130" s="291">
        <f t="shared" si="66"/>
        <v>0.70710678118654757</v>
      </c>
      <c r="AU130" s="291" t="e">
        <f t="shared" si="66"/>
        <v>#DIV/0!</v>
      </c>
      <c r="AV130" s="291">
        <f t="shared" si="66"/>
        <v>0.65574385243020028</v>
      </c>
      <c r="AW130" s="291">
        <f t="shared" si="66"/>
        <v>504.71506813250585</v>
      </c>
      <c r="AX130" s="291">
        <f t="shared" si="66"/>
        <v>7.0710678118655765E-2</v>
      </c>
      <c r="AY130" s="68">
        <f>'O.G.Chem Results'!AY130/'O.G.Chem Results'!AY$142</f>
        <v>173.41237417359613</v>
      </c>
      <c r="AZ130" s="68">
        <f>'O.G.Chem Results'!AZ130/'O.G.Chem Results'!AZ$142</f>
        <v>134.95013894262289</v>
      </c>
      <c r="BA130" s="68">
        <f>'O.G.Chem Results'!BA130/'O.G.Chem Results'!BA$142</f>
        <v>87.731097576660275</v>
      </c>
      <c r="BB130" s="68">
        <f>'O.G.Chem Results'!BB130/'O.G.Chem Results'!BB$142</f>
        <v>62.762876672586437</v>
      </c>
      <c r="BC130" s="68">
        <f>'O.G.Chem Results'!BC130/'O.G.Chem Results'!BC$142</f>
        <v>27.65678394392727</v>
      </c>
      <c r="BD130" s="68">
        <f>'O.G.Chem Results'!BD130/'O.G.Chem Results'!BD$142</f>
        <v>6.6232910772423113</v>
      </c>
      <c r="BE130" s="68">
        <f>'O.G.Chem Results'!BE130/'O.G.Chem Results'!BE$142</f>
        <v>10.425788017465344</v>
      </c>
      <c r="BF130" s="68">
        <f>'O.G.Chem Results'!BF130/'O.G.Chem Results'!BF$142</f>
        <v>7.5443878444237766</v>
      </c>
      <c r="BG130" s="68">
        <f>'O.G.Chem Results'!BG130/'O.G.Chem Results'!BG$142</f>
        <v>4.1511004696353284</v>
      </c>
      <c r="BH130" s="68">
        <f>'O.G.Chem Results'!BH130/'O.G.Chem Results'!BH$142</f>
        <v>3.5971223021582746</v>
      </c>
      <c r="BI130" s="68">
        <f>'O.G.Chem Results'!BI130/'O.G.Chem Results'!BI$142</f>
        <v>4.1636983548085853</v>
      </c>
      <c r="BJ130" s="68">
        <f>'O.G.Chem Results'!BJ130/'O.G.Chem Results'!BJ$142</f>
        <v>8.4058159602454161</v>
      </c>
      <c r="BK130" s="68">
        <f>'O.G.Chem Results'!BK130/'O.G.Chem Results'!BK$142</f>
        <v>5.0543273392283377</v>
      </c>
      <c r="BL130" s="68">
        <f>'O.G.Chem Results'!BL130/'O.G.Chem Results'!BL$142</f>
        <v>72.076753127326</v>
      </c>
      <c r="BM130" s="291">
        <f t="shared" si="66"/>
        <v>2.5193253065056926</v>
      </c>
      <c r="BN130" s="291">
        <f t="shared" si="66"/>
        <v>2.8605069480775609</v>
      </c>
      <c r="BO130" s="291">
        <f t="shared" si="66"/>
        <v>0.33615472627943221</v>
      </c>
      <c r="BP130" s="291">
        <f t="shared" si="66"/>
        <v>15.918448416852693</v>
      </c>
      <c r="BQ130" s="291">
        <f t="shared" si="66"/>
        <v>26.652079343520899</v>
      </c>
      <c r="BR130" s="291">
        <f t="shared" si="66"/>
        <v>24.043127916309061</v>
      </c>
      <c r="BS130" s="291">
        <f t="shared" si="66"/>
        <v>1.1519548602267369</v>
      </c>
      <c r="BT130" s="291">
        <f t="shared" si="66"/>
        <v>0.21179195226295797</v>
      </c>
      <c r="BU130" s="291">
        <f t="shared" si="66"/>
        <v>472.45095903150428</v>
      </c>
      <c r="BV130" s="291">
        <f t="shared" si="66"/>
        <v>0</v>
      </c>
      <c r="BW130" s="291">
        <f t="shared" si="66"/>
        <v>1.840492132105676</v>
      </c>
      <c r="BX130" s="69">
        <f t="shared" si="36"/>
        <v>1.5382246736934091</v>
      </c>
      <c r="EP130" s="323"/>
      <c r="EQ130" s="323"/>
      <c r="ER130" s="324"/>
      <c r="ES130" s="325"/>
      <c r="ET130" s="323"/>
      <c r="EU130" s="323"/>
      <c r="EV130" s="323"/>
      <c r="EW130" s="323"/>
      <c r="EX130" s="323"/>
      <c r="EY130" s="323"/>
      <c r="EZ130" s="323"/>
      <c r="FA130" s="323"/>
      <c r="FB130" s="323"/>
      <c r="FC130" s="323"/>
      <c r="FD130" s="323"/>
    </row>
    <row r="131" spans="1:160" s="153" customFormat="1" x14ac:dyDescent="0.2">
      <c r="A131" s="316" t="s">
        <v>631</v>
      </c>
      <c r="B131" s="317" t="s">
        <v>630</v>
      </c>
      <c r="C131" s="318">
        <f>181-F131/100</f>
        <v>180.97</v>
      </c>
      <c r="D131" s="319"/>
      <c r="E131" s="319"/>
      <c r="F131" s="320">
        <v>3</v>
      </c>
      <c r="G131" s="321"/>
      <c r="H131" s="321"/>
      <c r="I131" s="321"/>
      <c r="J131" s="321"/>
      <c r="K131" s="322"/>
      <c r="L131" s="319"/>
      <c r="M131" s="319"/>
      <c r="N131" s="319"/>
      <c r="O131" s="322">
        <v>88.13</v>
      </c>
      <c r="P131" s="322">
        <v>3.13</v>
      </c>
      <c r="Q131" s="322">
        <v>1.46</v>
      </c>
      <c r="R131" s="322">
        <v>3.6999999999999998E-2</v>
      </c>
      <c r="S131" s="322">
        <v>0.06</v>
      </c>
      <c r="T131" s="322">
        <v>0.21</v>
      </c>
      <c r="U131" s="322">
        <v>0.08</v>
      </c>
      <c r="V131" s="322">
        <v>0.68</v>
      </c>
      <c r="W131" s="322">
        <v>0.48799999999999999</v>
      </c>
      <c r="X131" s="322">
        <v>0.03</v>
      </c>
      <c r="Y131" s="322">
        <v>4.4400000000000004</v>
      </c>
      <c r="Z131" s="322">
        <v>98.75</v>
      </c>
      <c r="AA131" s="322">
        <v>1</v>
      </c>
      <c r="AB131" s="322" t="s">
        <v>68</v>
      </c>
      <c r="AC131" s="322">
        <v>18</v>
      </c>
      <c r="AD131" s="322" t="s">
        <v>69</v>
      </c>
      <c r="AE131" s="322">
        <v>1</v>
      </c>
      <c r="AF131" s="322" t="s">
        <v>69</v>
      </c>
      <c r="AG131" s="322" t="s">
        <v>114</v>
      </c>
      <c r="AH131" s="322">
        <v>50</v>
      </c>
      <c r="AI131" s="322">
        <v>4</v>
      </c>
      <c r="AJ131" s="322">
        <v>1</v>
      </c>
      <c r="AK131" s="322" t="s">
        <v>71</v>
      </c>
      <c r="AL131" s="322">
        <v>28</v>
      </c>
      <c r="AM131" s="322">
        <v>31</v>
      </c>
      <c r="AN131" s="68">
        <f>'O.G.Chem Results'!AN131/'O.G.Chem Results'!$AN$142</f>
        <v>3.8461538461538458</v>
      </c>
      <c r="AO131" s="322">
        <v>402</v>
      </c>
      <c r="AP131" s="322">
        <v>7</v>
      </c>
      <c r="AQ131" s="322">
        <v>2</v>
      </c>
      <c r="AR131" s="322">
        <v>1.7</v>
      </c>
      <c r="AS131" s="322" t="s">
        <v>73</v>
      </c>
      <c r="AT131" s="322">
        <v>1</v>
      </c>
      <c r="AU131" s="322" t="s">
        <v>74</v>
      </c>
      <c r="AV131" s="322">
        <v>1.2</v>
      </c>
      <c r="AW131" s="322">
        <v>164</v>
      </c>
      <c r="AX131" s="33" t="s">
        <v>75</v>
      </c>
      <c r="AY131" s="68">
        <f>'O.G.Chem Results'!AY131/'O.G.Chem Results'!AY$142</f>
        <v>30.212765957446809</v>
      </c>
      <c r="AZ131" s="68">
        <f>'O.G.Chem Results'!AZ131/'O.G.Chem Results'!AZ$142</f>
        <v>38.627320954907155</v>
      </c>
      <c r="BA131" s="68">
        <f>'O.G.Chem Results'!BA131/'O.G.Chem Results'!BA$142</f>
        <v>16.049382716049383</v>
      </c>
      <c r="BB131" s="68">
        <f>'O.G.Chem Results'!BB131/'O.G.Chem Results'!BB$142</f>
        <v>11.052166224580018</v>
      </c>
      <c r="BC131" s="68">
        <f>'O.G.Chem Results'!BC131/'O.G.Chem Results'!BC$142</f>
        <v>6.1182868796736924</v>
      </c>
      <c r="BD131" s="68">
        <f>'O.G.Chem Results'!BD131/'O.G.Chem Results'!BD$142</f>
        <v>3.214285714285714</v>
      </c>
      <c r="BE131" s="68">
        <f>'O.G.Chem Results'!BE131/'O.G.Chem Results'!BE$142</f>
        <v>5.1136363636363642</v>
      </c>
      <c r="BF131" s="68">
        <f>'O.G.Chem Results'!BF131/'O.G.Chem Results'!BF$142</f>
        <v>5.5096418732782375</v>
      </c>
      <c r="BG131" s="68">
        <f>'O.G.Chem Results'!BG131/'O.G.Chem Results'!BG$142</f>
        <v>4.5323444581788221</v>
      </c>
      <c r="BH131" s="68">
        <f>'O.G.Chem Results'!BH131/'O.G.Chem Results'!BH$142</f>
        <v>3.5971223021582732</v>
      </c>
      <c r="BI131" s="68">
        <f>'O.G.Chem Results'!BI131/'O.G.Chem Results'!BI$142</f>
        <v>4.4052863436123344</v>
      </c>
      <c r="BJ131" s="68">
        <f>'O.G.Chem Results'!BJ131/'O.G.Chem Results'!BJ$142</f>
        <v>4.9586776859504136</v>
      </c>
      <c r="BK131" s="68">
        <f>'O.G.Chem Results'!BK131/'O.G.Chem Results'!BK$142</f>
        <v>5.5384615384615383</v>
      </c>
      <c r="BL131" s="68">
        <f>'O.G.Chem Results'!BL131/'O.G.Chem Results'!BL$142</f>
        <v>5.761316872427984</v>
      </c>
      <c r="BM131" s="322">
        <v>11.5</v>
      </c>
      <c r="BN131" s="322">
        <v>0.6</v>
      </c>
      <c r="BO131" s="322" t="s">
        <v>68</v>
      </c>
      <c r="BP131" s="322">
        <v>0.2</v>
      </c>
      <c r="BQ131" s="322">
        <v>11</v>
      </c>
      <c r="BR131" s="322">
        <v>4.3</v>
      </c>
      <c r="BS131" s="322">
        <v>1.8</v>
      </c>
      <c r="BT131" s="34">
        <f t="shared" ref="BT131:BT138" si="67">AZ131/(AY131+AZ131)</f>
        <v>0.561116679066469</v>
      </c>
      <c r="BU131" s="282">
        <f t="shared" ref="BU131:BU138" si="68">SUM(AY131:BL131)</f>
        <v>144.69069588464674</v>
      </c>
      <c r="BV131" s="282">
        <f t="shared" ref="BV131:BV138" si="69">F131</f>
        <v>3</v>
      </c>
      <c r="BW131" s="79">
        <f t="shared" ref="BW131:BW138" si="70">100*P131/(P131+T131+U131+V131)</f>
        <v>76.341463414634148</v>
      </c>
      <c r="BX131" s="69">
        <f t="shared" si="36"/>
        <v>2.4067792287288303</v>
      </c>
      <c r="EP131"/>
      <c r="EQ131"/>
      <c r="ER131" s="324">
        <f t="shared" ref="ER131:ER138" si="71">BD131/(0.67*BC131+0.33*BF131)</f>
        <v>0.54318910854158875</v>
      </c>
      <c r="ES131" s="257">
        <f t="shared" ref="ES131:ES138" si="72">BX131</f>
        <v>2.4067792287288303</v>
      </c>
      <c r="ET131">
        <f t="shared" ref="ET131:ET138" si="73">BV131</f>
        <v>3</v>
      </c>
      <c r="EU131" s="324">
        <f t="shared" ref="EU131:EU138" si="74">ER131/ES131</f>
        <v>0.22569128986063283</v>
      </c>
      <c r="EV131" s="39">
        <f t="shared" ref="EV131:EV138" si="75">C131</f>
        <v>180.97</v>
      </c>
      <c r="EW131"/>
      <c r="EX131">
        <f t="shared" ref="EX131:EX138" si="76">AN131/BH131</f>
        <v>1.0692307692307692</v>
      </c>
      <c r="EY131"/>
      <c r="EZ131"/>
      <c r="FA131"/>
      <c r="FB131"/>
      <c r="FC131"/>
      <c r="FD131"/>
    </row>
    <row r="132" spans="1:160" x14ac:dyDescent="0.2">
      <c r="A132" s="313" t="s">
        <v>632</v>
      </c>
      <c r="B132" s="102" t="s">
        <v>630</v>
      </c>
      <c r="C132" s="314">
        <f t="shared" ref="C132:C138" si="77">181-F132/100</f>
        <v>180.55</v>
      </c>
      <c r="F132" s="315">
        <v>44.999999999999993</v>
      </c>
      <c r="O132" s="81">
        <v>64.760000000000005</v>
      </c>
      <c r="P132" s="81">
        <v>19.239999999999998</v>
      </c>
      <c r="Q132" s="81">
        <v>4.26</v>
      </c>
      <c r="R132" s="81">
        <v>0.02</v>
      </c>
      <c r="S132" s="81">
        <v>0.19</v>
      </c>
      <c r="T132" s="81">
        <v>0.04</v>
      </c>
      <c r="U132" s="81">
        <v>0.04</v>
      </c>
      <c r="V132" s="81">
        <v>0.78</v>
      </c>
      <c r="W132" s="81">
        <v>0.67</v>
      </c>
      <c r="X132" s="81">
        <v>0.03</v>
      </c>
      <c r="Y132" s="81">
        <v>9.6999999999999993</v>
      </c>
      <c r="Z132" s="81">
        <v>99.74</v>
      </c>
      <c r="AA132" s="81">
        <v>5</v>
      </c>
      <c r="AB132" s="81" t="s">
        <v>68</v>
      </c>
      <c r="AC132" s="81">
        <v>71</v>
      </c>
      <c r="AD132" s="81">
        <v>30</v>
      </c>
      <c r="AE132" s="81">
        <v>3</v>
      </c>
      <c r="AF132" s="81">
        <v>20</v>
      </c>
      <c r="AG132" s="81">
        <v>10</v>
      </c>
      <c r="AH132" s="81">
        <v>40</v>
      </c>
      <c r="AI132" s="81">
        <v>26</v>
      </c>
      <c r="AJ132" s="81">
        <v>2</v>
      </c>
      <c r="AK132" s="81">
        <v>5</v>
      </c>
      <c r="AL132" s="81">
        <v>72</v>
      </c>
      <c r="AM132" s="81">
        <v>27</v>
      </c>
      <c r="AN132" s="68">
        <f>'O.G.Chem Results'!AN132/'O.G.Chem Results'!$AN$142</f>
        <v>3.8461538461538458</v>
      </c>
      <c r="AO132" s="81">
        <v>336</v>
      </c>
      <c r="AP132" s="81">
        <v>14</v>
      </c>
      <c r="AQ132" s="81">
        <v>2</v>
      </c>
      <c r="AR132" s="81">
        <v>1.4</v>
      </c>
      <c r="AS132" s="81" t="s">
        <v>73</v>
      </c>
      <c r="AT132" s="81">
        <v>2</v>
      </c>
      <c r="AU132" s="81" t="s">
        <v>74</v>
      </c>
      <c r="AV132" s="81">
        <v>4.2</v>
      </c>
      <c r="AW132" s="81">
        <v>159</v>
      </c>
      <c r="AX132" s="33" t="s">
        <v>75</v>
      </c>
      <c r="AY132" s="68">
        <f>'O.G.Chem Results'!AY132/'O.G.Chem Results'!AY$142</f>
        <v>79.148936170212778</v>
      </c>
      <c r="AZ132" s="68">
        <f>'O.G.Chem Results'!AZ132/'O.G.Chem Results'!AZ$142</f>
        <v>49.071618037135273</v>
      </c>
      <c r="BA132" s="68">
        <f>'O.G.Chem Results'!BA132/'O.G.Chem Results'!BA$142</f>
        <v>32.659932659932664</v>
      </c>
      <c r="BB132" s="68">
        <f>'O.G.Chem Results'!BB132/'O.G.Chem Results'!BB$142</f>
        <v>20.114942528735632</v>
      </c>
      <c r="BC132" s="68">
        <f>'O.G.Chem Results'!BC132/'O.G.Chem Results'!BC$142</f>
        <v>9.5173351461590769</v>
      </c>
      <c r="BD132" s="68">
        <f>'O.G.Chem Results'!BD132/'O.G.Chem Results'!BD$142</f>
        <v>5.1785714285714279</v>
      </c>
      <c r="BE132" s="68">
        <f>'O.G.Chem Results'!BE132/'O.G.Chem Results'!BE$142</f>
        <v>6.2500000000000009</v>
      </c>
      <c r="BF132" s="68">
        <f>'O.G.Chem Results'!BF132/'O.G.Chem Results'!BF$142</f>
        <v>5.5096418732782375</v>
      </c>
      <c r="BG132" s="68">
        <f>'O.G.Chem Results'!BG132/'O.G.Chem Results'!BG$142</f>
        <v>4.5323444581788221</v>
      </c>
      <c r="BH132" s="68">
        <f>'O.G.Chem Results'!BH132/'O.G.Chem Results'!BH$142</f>
        <v>3.5971223021582732</v>
      </c>
      <c r="BI132" s="68">
        <f>'O.G.Chem Results'!BI132/'O.G.Chem Results'!BI$142</f>
        <v>4.4052863436123344</v>
      </c>
      <c r="BJ132" s="68">
        <f>'O.G.Chem Results'!BJ132/'O.G.Chem Results'!BJ$142</f>
        <v>4.5454545454545459</v>
      </c>
      <c r="BK132" s="68">
        <f>'O.G.Chem Results'!BK132/'O.G.Chem Results'!BK$142</f>
        <v>4.9230769230769234</v>
      </c>
      <c r="BL132" s="68">
        <f>'O.G.Chem Results'!BL132/'O.G.Chem Results'!BL$142</f>
        <v>5.3497942386831276</v>
      </c>
      <c r="BM132" s="81">
        <v>9.6</v>
      </c>
      <c r="BN132" s="81">
        <v>0.9</v>
      </c>
      <c r="BO132" s="81" t="s">
        <v>68</v>
      </c>
      <c r="BP132" s="81">
        <v>0.6</v>
      </c>
      <c r="BQ132" s="81">
        <v>14</v>
      </c>
      <c r="BR132" s="81">
        <v>27.2</v>
      </c>
      <c r="BS132" s="81">
        <v>3.3</v>
      </c>
      <c r="BT132" s="34">
        <f t="shared" si="67"/>
        <v>0.38271257163481426</v>
      </c>
      <c r="BU132" s="282">
        <f t="shared" si="68"/>
        <v>234.8040566551891</v>
      </c>
      <c r="BV132" s="282">
        <f t="shared" si="69"/>
        <v>44.999999999999993</v>
      </c>
      <c r="BW132" s="79">
        <f t="shared" si="70"/>
        <v>95.721393034825866</v>
      </c>
      <c r="BX132" s="69">
        <f t="shared" si="36"/>
        <v>1.5025021192813581</v>
      </c>
      <c r="ER132" s="324">
        <f t="shared" si="71"/>
        <v>0.63193411980176661</v>
      </c>
      <c r="ES132" s="257">
        <f t="shared" si="72"/>
        <v>1.5025021192813581</v>
      </c>
      <c r="ET132">
        <f t="shared" si="73"/>
        <v>44.999999999999993</v>
      </c>
      <c r="EU132" s="324">
        <f t="shared" si="74"/>
        <v>0.42058783923979998</v>
      </c>
      <c r="EV132" s="39">
        <f t="shared" si="75"/>
        <v>180.55</v>
      </c>
      <c r="EX132">
        <f t="shared" si="76"/>
        <v>1.0692307692307692</v>
      </c>
    </row>
    <row r="133" spans="1:160" x14ac:dyDescent="0.2">
      <c r="A133" s="313" t="s">
        <v>633</v>
      </c>
      <c r="B133" s="102" t="s">
        <v>630</v>
      </c>
      <c r="C133" s="314">
        <f t="shared" si="77"/>
        <v>179.75</v>
      </c>
      <c r="F133" s="315">
        <v>125</v>
      </c>
      <c r="O133" s="81">
        <v>54.75</v>
      </c>
      <c r="P133" s="81">
        <v>27.1</v>
      </c>
      <c r="Q133" s="81">
        <v>4.32</v>
      </c>
      <c r="R133" s="81">
        <v>1.6E-2</v>
      </c>
      <c r="S133" s="81">
        <v>0.23</v>
      </c>
      <c r="T133" s="81">
        <v>0.02</v>
      </c>
      <c r="U133" s="81">
        <v>0.05</v>
      </c>
      <c r="V133" s="81">
        <v>1.1000000000000001</v>
      </c>
      <c r="W133" s="81">
        <v>0.52300000000000002</v>
      </c>
      <c r="X133" s="81">
        <v>0.03</v>
      </c>
      <c r="Y133" s="81">
        <v>12.26</v>
      </c>
      <c r="Z133" s="81">
        <v>100.4</v>
      </c>
      <c r="AA133" s="81">
        <v>7</v>
      </c>
      <c r="AB133" s="81">
        <v>1</v>
      </c>
      <c r="AC133" s="81">
        <v>66</v>
      </c>
      <c r="AD133" s="81" t="s">
        <v>69</v>
      </c>
      <c r="AE133" s="81">
        <v>3</v>
      </c>
      <c r="AF133" s="81" t="s">
        <v>69</v>
      </c>
      <c r="AG133" s="81">
        <v>20</v>
      </c>
      <c r="AH133" s="81">
        <v>40</v>
      </c>
      <c r="AI133" s="81">
        <v>36</v>
      </c>
      <c r="AJ133" s="81">
        <v>2</v>
      </c>
      <c r="AK133" s="81" t="s">
        <v>71</v>
      </c>
      <c r="AL133" s="81">
        <v>66</v>
      </c>
      <c r="AM133" s="81">
        <v>28</v>
      </c>
      <c r="AN133" s="68">
        <f>'O.G.Chem Results'!AN133/'O.G.Chem Results'!$AN$142</f>
        <v>1.9230769230769229</v>
      </c>
      <c r="AO133" s="81">
        <v>201</v>
      </c>
      <c r="AP133" s="81">
        <v>11</v>
      </c>
      <c r="AQ133" s="81">
        <v>3</v>
      </c>
      <c r="AR133" s="81">
        <v>0.8</v>
      </c>
      <c r="AS133" s="81" t="s">
        <v>73</v>
      </c>
      <c r="AT133" s="81">
        <v>3</v>
      </c>
      <c r="AU133" s="81" t="s">
        <v>74</v>
      </c>
      <c r="AV133" s="81">
        <v>2.8</v>
      </c>
      <c r="AW133" s="81">
        <v>162</v>
      </c>
      <c r="AX133" s="33" t="s">
        <v>75</v>
      </c>
      <c r="AY133" s="68">
        <f>'O.G.Chem Results'!AY133/'O.G.Chem Results'!AY$142</f>
        <v>97.446808510638292</v>
      </c>
      <c r="AZ133" s="68">
        <f>'O.G.Chem Results'!AZ133/'O.G.Chem Results'!AZ$142</f>
        <v>134.61538461538461</v>
      </c>
      <c r="BA133" s="68">
        <f>'O.G.Chem Results'!BA133/'O.G.Chem Results'!BA$142</f>
        <v>44.668911335578002</v>
      </c>
      <c r="BB133" s="68">
        <f>'O.G.Chem Results'!BB133/'O.G.Chem Results'!BB$142</f>
        <v>27.188328912466847</v>
      </c>
      <c r="BC133" s="68">
        <f>'O.G.Chem Results'!BC133/'O.G.Chem Results'!BC$142</f>
        <v>12.236573759347385</v>
      </c>
      <c r="BD133" s="68">
        <f>'O.G.Chem Results'!BD133/'O.G.Chem Results'!BD$142</f>
        <v>6.9642857142857144</v>
      </c>
      <c r="BE133" s="68">
        <f>'O.G.Chem Results'!BE133/'O.G.Chem Results'!BE$142</f>
        <v>6.8181818181818183</v>
      </c>
      <c r="BF133" s="68">
        <f>'O.G.Chem Results'!BF133/'O.G.Chem Results'!BF$142</f>
        <v>5.5096418732782375</v>
      </c>
      <c r="BG133" s="68">
        <f>'O.G.Chem Results'!BG133/'O.G.Chem Results'!BG$142</f>
        <v>3.296250515039143</v>
      </c>
      <c r="BH133" s="68">
        <f>'O.G.Chem Results'!BH133/'O.G.Chem Results'!BH$142</f>
        <v>3.5971223021582732</v>
      </c>
      <c r="BI133" s="68">
        <f>'O.G.Chem Results'!BI133/'O.G.Chem Results'!BI$142</f>
        <v>3.146633102580239</v>
      </c>
      <c r="BJ133" s="68">
        <f>'O.G.Chem Results'!BJ133/'O.G.Chem Results'!BJ$142</f>
        <v>2.892561983471075</v>
      </c>
      <c r="BK133" s="68">
        <f>'O.G.Chem Results'!BK133/'O.G.Chem Results'!BK$142</f>
        <v>3.0769230769230766</v>
      </c>
      <c r="BL133" s="68">
        <f>'O.G.Chem Results'!BL133/'O.G.Chem Results'!BL$142</f>
        <v>2.880658436213992</v>
      </c>
      <c r="BM133" s="81">
        <v>6.4</v>
      </c>
      <c r="BN133" s="81">
        <v>0.6</v>
      </c>
      <c r="BO133" s="81">
        <v>1</v>
      </c>
      <c r="BP133" s="81">
        <v>0.5</v>
      </c>
      <c r="BQ133" s="81">
        <v>25</v>
      </c>
      <c r="BR133" s="81">
        <v>58.4</v>
      </c>
      <c r="BS133" s="81">
        <v>3.2</v>
      </c>
      <c r="BT133" s="34">
        <f t="shared" si="67"/>
        <v>0.58008322166584381</v>
      </c>
      <c r="BU133" s="282">
        <f t="shared" si="68"/>
        <v>354.33826595554666</v>
      </c>
      <c r="BV133" s="282">
        <f t="shared" si="69"/>
        <v>125</v>
      </c>
      <c r="BW133" s="79">
        <f t="shared" si="70"/>
        <v>95.861337106473286</v>
      </c>
      <c r="BX133" s="69">
        <f t="shared" si="36"/>
        <v>3.0136258214147662</v>
      </c>
      <c r="ER133" s="324">
        <f t="shared" si="71"/>
        <v>0.69526843005217864</v>
      </c>
      <c r="ES133" s="257">
        <f t="shared" si="72"/>
        <v>3.0136258214147662</v>
      </c>
      <c r="ET133">
        <f t="shared" si="73"/>
        <v>125</v>
      </c>
      <c r="EU133" s="324">
        <f t="shared" si="74"/>
        <v>0.23070828007631697</v>
      </c>
      <c r="EV133" s="39">
        <f t="shared" si="75"/>
        <v>179.75</v>
      </c>
      <c r="EX133">
        <f t="shared" si="76"/>
        <v>0.5346153846153846</v>
      </c>
    </row>
    <row r="134" spans="1:160" x14ac:dyDescent="0.2">
      <c r="A134" s="313" t="s">
        <v>634</v>
      </c>
      <c r="B134" s="102" t="s">
        <v>630</v>
      </c>
      <c r="C134" s="314">
        <f t="shared" si="77"/>
        <v>178.75</v>
      </c>
      <c r="F134" s="315">
        <v>225</v>
      </c>
      <c r="O134" s="81">
        <v>59.23</v>
      </c>
      <c r="P134" s="81">
        <v>23.03</v>
      </c>
      <c r="Q134" s="81">
        <v>3.43</v>
      </c>
      <c r="R134" s="81">
        <v>2.4E-2</v>
      </c>
      <c r="S134" s="81">
        <v>0.34</v>
      </c>
      <c r="T134" s="81">
        <v>0.02</v>
      </c>
      <c r="U134" s="81">
        <v>0.13</v>
      </c>
      <c r="V134" s="81">
        <v>2.31</v>
      </c>
      <c r="W134" s="81">
        <v>0.48399999999999999</v>
      </c>
      <c r="X134" s="81">
        <v>0.02</v>
      </c>
      <c r="Y134" s="81">
        <v>9.41</v>
      </c>
      <c r="Z134" s="81">
        <v>98.44</v>
      </c>
      <c r="AA134" s="81">
        <v>8</v>
      </c>
      <c r="AB134" s="81">
        <v>1</v>
      </c>
      <c r="AC134" s="81">
        <v>49</v>
      </c>
      <c r="AD134" s="81" t="s">
        <v>69</v>
      </c>
      <c r="AE134" s="81">
        <v>2</v>
      </c>
      <c r="AF134" s="81" t="s">
        <v>69</v>
      </c>
      <c r="AG134" s="81">
        <v>20</v>
      </c>
      <c r="AH134" s="81">
        <v>50</v>
      </c>
      <c r="AI134" s="81">
        <v>27</v>
      </c>
      <c r="AJ134" s="81">
        <v>1</v>
      </c>
      <c r="AK134" s="81" t="s">
        <v>71</v>
      </c>
      <c r="AL134" s="81">
        <v>91</v>
      </c>
      <c r="AM134" s="81">
        <v>65</v>
      </c>
      <c r="AN134" s="68">
        <f>'O.G.Chem Results'!AN134/'O.G.Chem Results'!$AN$142</f>
        <v>2.5641025641025639</v>
      </c>
      <c r="AO134" s="81">
        <v>244</v>
      </c>
      <c r="AP134" s="81">
        <v>7</v>
      </c>
      <c r="AQ134" s="81">
        <v>2</v>
      </c>
      <c r="AR134" s="81">
        <v>0.9</v>
      </c>
      <c r="AS134" s="81" t="s">
        <v>73</v>
      </c>
      <c r="AT134" s="81">
        <v>2</v>
      </c>
      <c r="AU134" s="81" t="s">
        <v>74</v>
      </c>
      <c r="AV134" s="81">
        <v>1.9</v>
      </c>
      <c r="AW134" s="81">
        <v>343</v>
      </c>
      <c r="AX134" s="33" t="s">
        <v>75</v>
      </c>
      <c r="AY134" s="68">
        <f>'O.G.Chem Results'!AY134/'O.G.Chem Results'!AY$142</f>
        <v>135.74468085106383</v>
      </c>
      <c r="AZ134" s="68">
        <f>'O.G.Chem Results'!AZ134/'O.G.Chem Results'!AZ$142</f>
        <v>558.68700265251982</v>
      </c>
      <c r="BA134" s="68">
        <f>'O.G.Chem Results'!BA134/'O.G.Chem Results'!BA$142</f>
        <v>79.797979797979806</v>
      </c>
      <c r="BB134" s="68">
        <f>'O.G.Chem Results'!BB134/'O.G.Chem Results'!BB$142</f>
        <v>49.955791335101686</v>
      </c>
      <c r="BC134" s="68">
        <f>'O.G.Chem Results'!BC134/'O.G.Chem Results'!BC$142</f>
        <v>22.433718558803537</v>
      </c>
      <c r="BD134" s="68">
        <f>'O.G.Chem Results'!BD134/'O.G.Chem Results'!BD$142</f>
        <v>11.071428571428571</v>
      </c>
      <c r="BE134" s="68">
        <f>'O.G.Chem Results'!BE134/'O.G.Chem Results'!BE$142</f>
        <v>9.0909090909090917</v>
      </c>
      <c r="BF134" s="68">
        <f>'O.G.Chem Results'!BF134/'O.G.Chem Results'!BF$142</f>
        <v>5.5096418732782375</v>
      </c>
      <c r="BG134" s="68">
        <f>'O.G.Chem Results'!BG134/'O.G.Chem Results'!BG$142</f>
        <v>3.296250515039143</v>
      </c>
      <c r="BH134" s="68">
        <f>'O.G.Chem Results'!BH134/'O.G.Chem Results'!BH$142</f>
        <v>3.5971223021582732</v>
      </c>
      <c r="BI134" s="68">
        <f>'O.G.Chem Results'!BI134/'O.G.Chem Results'!BI$142</f>
        <v>3.146633102580239</v>
      </c>
      <c r="BJ134" s="68">
        <f>'O.G.Chem Results'!BJ134/'O.G.Chem Results'!BJ$142</f>
        <v>2.892561983471075</v>
      </c>
      <c r="BK134" s="68">
        <f>'O.G.Chem Results'!BK134/'O.G.Chem Results'!BK$142</f>
        <v>3.0769230769230766</v>
      </c>
      <c r="BL134" s="68">
        <f>'O.G.Chem Results'!BL134/'O.G.Chem Results'!BL$142</f>
        <v>3.2921810699588474</v>
      </c>
      <c r="BM134" s="81">
        <v>6.9</v>
      </c>
      <c r="BN134" s="81">
        <v>0.4</v>
      </c>
      <c r="BO134" s="81" t="s">
        <v>68</v>
      </c>
      <c r="BP134" s="81">
        <v>0.6</v>
      </c>
      <c r="BQ134" s="81">
        <v>40</v>
      </c>
      <c r="BR134" s="81">
        <v>36.5</v>
      </c>
      <c r="BS134" s="81">
        <v>3</v>
      </c>
      <c r="BT134" s="34">
        <f t="shared" si="67"/>
        <v>0.80452406755665651</v>
      </c>
      <c r="BU134" s="282">
        <f t="shared" si="68"/>
        <v>891.5928247812152</v>
      </c>
      <c r="BV134" s="282">
        <f t="shared" si="69"/>
        <v>225</v>
      </c>
      <c r="BW134" s="79">
        <f t="shared" si="70"/>
        <v>90.349156531973335</v>
      </c>
      <c r="BX134" s="69">
        <f t="shared" si="36"/>
        <v>7.0012675015948682</v>
      </c>
      <c r="ER134" s="324">
        <f t="shared" si="71"/>
        <v>0.65710591539553853</v>
      </c>
      <c r="ES134" s="257">
        <f t="shared" si="72"/>
        <v>7.0012675015948682</v>
      </c>
      <c r="ET134">
        <f t="shared" si="73"/>
        <v>225</v>
      </c>
      <c r="EU134" s="324">
        <f t="shared" si="74"/>
        <v>9.3855279097085173E-2</v>
      </c>
      <c r="EV134" s="39">
        <f t="shared" si="75"/>
        <v>178.75</v>
      </c>
      <c r="EX134">
        <f t="shared" si="76"/>
        <v>0.71282051282051284</v>
      </c>
    </row>
    <row r="135" spans="1:160" x14ac:dyDescent="0.2">
      <c r="A135" s="313" t="s">
        <v>635</v>
      </c>
      <c r="B135" s="102" t="s">
        <v>630</v>
      </c>
      <c r="C135" s="314">
        <f t="shared" si="77"/>
        <v>177.75</v>
      </c>
      <c r="F135" s="315">
        <v>325</v>
      </c>
      <c r="O135" s="81">
        <v>64.19</v>
      </c>
      <c r="P135" s="81">
        <v>20.57</v>
      </c>
      <c r="Q135" s="81">
        <v>3.01</v>
      </c>
      <c r="R135" s="81">
        <v>3.4000000000000002E-2</v>
      </c>
      <c r="S135" s="81">
        <v>0.52</v>
      </c>
      <c r="T135" s="81">
        <v>0.02</v>
      </c>
      <c r="U135" s="81">
        <v>0.17</v>
      </c>
      <c r="V135" s="81">
        <v>3.59</v>
      </c>
      <c r="W135" s="81">
        <v>0.51600000000000001</v>
      </c>
      <c r="X135" s="81">
        <v>0.03</v>
      </c>
      <c r="Y135" s="81">
        <v>7.36</v>
      </c>
      <c r="Z135" s="81">
        <v>100</v>
      </c>
      <c r="AA135" s="81">
        <v>7</v>
      </c>
      <c r="AB135" s="81">
        <v>1</v>
      </c>
      <c r="AC135" s="81">
        <v>39</v>
      </c>
      <c r="AD135" s="81" t="s">
        <v>69</v>
      </c>
      <c r="AE135" s="81">
        <v>3</v>
      </c>
      <c r="AF135" s="81" t="s">
        <v>69</v>
      </c>
      <c r="AG135" s="81" t="s">
        <v>114</v>
      </c>
      <c r="AH135" s="81">
        <v>60</v>
      </c>
      <c r="AI135" s="81">
        <v>27</v>
      </c>
      <c r="AJ135" s="81">
        <v>1</v>
      </c>
      <c r="AK135" s="81" t="s">
        <v>71</v>
      </c>
      <c r="AL135" s="81">
        <v>142</v>
      </c>
      <c r="AM135" s="81">
        <v>102</v>
      </c>
      <c r="AN135" s="68">
        <f>'O.G.Chem Results'!AN135/'O.G.Chem Results'!$AN$142</f>
        <v>7.6923076923076916</v>
      </c>
      <c r="AO135" s="81">
        <v>264</v>
      </c>
      <c r="AP135" s="81">
        <v>11</v>
      </c>
      <c r="AQ135" s="81">
        <v>10</v>
      </c>
      <c r="AR135" s="81">
        <v>1</v>
      </c>
      <c r="AS135" s="81" t="s">
        <v>73</v>
      </c>
      <c r="AT135" s="81">
        <v>3</v>
      </c>
      <c r="AU135" s="81" t="s">
        <v>74</v>
      </c>
      <c r="AV135" s="81">
        <v>2.4</v>
      </c>
      <c r="AW135" s="81">
        <v>620</v>
      </c>
      <c r="AX135" s="33" t="s">
        <v>75</v>
      </c>
      <c r="AY135" s="68">
        <f>'O.G.Chem Results'!AY135/'O.G.Chem Results'!AY$142</f>
        <v>604.25531914893622</v>
      </c>
      <c r="AZ135" s="68">
        <f>'O.G.Chem Results'!AZ135/'O.G.Chem Results'!AZ$142</f>
        <v>520.55702917771873</v>
      </c>
      <c r="BA135" s="68">
        <f>'O.G.Chem Results'!BA135/'O.G.Chem Results'!BA$142</f>
        <v>382.71604938271605</v>
      </c>
      <c r="BB135" s="68">
        <f>'O.G.Chem Results'!BB135/'O.G.Chem Results'!BB$142</f>
        <v>243.14765694076041</v>
      </c>
      <c r="BC135" s="68">
        <f>'O.G.Chem Results'!BC135/'O.G.Chem Results'!BC$142</f>
        <v>107.40992522093816</v>
      </c>
      <c r="BD135" s="68">
        <f>'O.G.Chem Results'!BD135/'O.G.Chem Results'!BD$142</f>
        <v>53.214285714285715</v>
      </c>
      <c r="BE135" s="68">
        <f>'O.G.Chem Results'!BE135/'O.G.Chem Results'!BE$142</f>
        <v>46.022727272727273</v>
      </c>
      <c r="BF135" s="68">
        <f>'O.G.Chem Results'!BF135/'O.G.Chem Results'!BF$142</f>
        <v>24.793388429752067</v>
      </c>
      <c r="BG135" s="68">
        <f>'O.G.Chem Results'!BG135/'O.G.Chem Results'!BG$142</f>
        <v>16.481252575195715</v>
      </c>
      <c r="BH135" s="68">
        <f>'O.G.Chem Results'!BH135/'O.G.Chem Results'!BH$142</f>
        <v>10.791366906474819</v>
      </c>
      <c r="BI135" s="68">
        <f>'O.G.Chem Results'!BI135/'O.G.Chem Results'!BI$142</f>
        <v>9.4398993077407169</v>
      </c>
      <c r="BJ135" s="68">
        <f>'O.G.Chem Results'!BJ135/'O.G.Chem Results'!BJ$142</f>
        <v>8.2644628099173563</v>
      </c>
      <c r="BK135" s="68">
        <f>'O.G.Chem Results'!BK135/'O.G.Chem Results'!BK$142</f>
        <v>8</v>
      </c>
      <c r="BL135" s="68">
        <f>'O.G.Chem Results'!BL135/'O.G.Chem Results'!BL$142</f>
        <v>7.4074074074074066</v>
      </c>
      <c r="BM135" s="81">
        <v>7.8</v>
      </c>
      <c r="BN135" s="81">
        <v>0.7</v>
      </c>
      <c r="BO135" s="81">
        <v>1</v>
      </c>
      <c r="BP135" s="81">
        <v>0.8</v>
      </c>
      <c r="BQ135" s="81">
        <v>45</v>
      </c>
      <c r="BR135" s="81">
        <v>38.700000000000003</v>
      </c>
      <c r="BS135" s="81">
        <v>4.8</v>
      </c>
      <c r="BT135" s="34">
        <f t="shared" si="67"/>
        <v>0.46279455408907422</v>
      </c>
      <c r="BU135" s="282">
        <f t="shared" si="68"/>
        <v>2042.5007702945707</v>
      </c>
      <c r="BV135" s="282">
        <f t="shared" si="69"/>
        <v>325</v>
      </c>
      <c r="BW135" s="79">
        <f t="shared" si="70"/>
        <v>84.476386036960974</v>
      </c>
      <c r="BX135" s="69">
        <f t="shared" si="36"/>
        <v>1.3601651407546844</v>
      </c>
      <c r="ER135" s="324">
        <f t="shared" si="71"/>
        <v>0.66396295419119944</v>
      </c>
      <c r="ES135" s="257">
        <f t="shared" si="72"/>
        <v>1.3601651407546844</v>
      </c>
      <c r="ET135">
        <f t="shared" si="73"/>
        <v>325</v>
      </c>
      <c r="EU135" s="324">
        <f t="shared" si="74"/>
        <v>0.48814878009798218</v>
      </c>
      <c r="EV135" s="39">
        <f t="shared" si="75"/>
        <v>177.75</v>
      </c>
      <c r="EX135">
        <f t="shared" si="76"/>
        <v>0.71282051282051284</v>
      </c>
    </row>
    <row r="136" spans="1:160" x14ac:dyDescent="0.2">
      <c r="A136" s="313" t="s">
        <v>636</v>
      </c>
      <c r="B136" s="102" t="s">
        <v>630</v>
      </c>
      <c r="C136" s="314">
        <f t="shared" si="77"/>
        <v>175.45</v>
      </c>
      <c r="F136" s="315">
        <v>555</v>
      </c>
      <c r="O136" s="81">
        <v>64.44</v>
      </c>
      <c r="P136" s="81">
        <v>19.5</v>
      </c>
      <c r="Q136" s="81">
        <v>2.97</v>
      </c>
      <c r="R136" s="81">
        <v>3.7999999999999999E-2</v>
      </c>
      <c r="S136" s="81">
        <v>0.48</v>
      </c>
      <c r="T136" s="81">
        <v>0.02</v>
      </c>
      <c r="U136" s="81">
        <v>0.19</v>
      </c>
      <c r="V136" s="81">
        <v>4.33</v>
      </c>
      <c r="W136" s="81">
        <v>0.49099999999999999</v>
      </c>
      <c r="X136" s="81">
        <v>0.04</v>
      </c>
      <c r="Y136" s="81">
        <v>6.4</v>
      </c>
      <c r="Z136" s="81">
        <v>98.9</v>
      </c>
      <c r="AA136" s="81">
        <v>5</v>
      </c>
      <c r="AB136" s="81">
        <v>1</v>
      </c>
      <c r="AC136" s="81">
        <v>40</v>
      </c>
      <c r="AD136" s="81" t="s">
        <v>69</v>
      </c>
      <c r="AE136" s="81">
        <v>5</v>
      </c>
      <c r="AF136" s="81" t="s">
        <v>69</v>
      </c>
      <c r="AG136" s="81">
        <v>10</v>
      </c>
      <c r="AH136" s="81">
        <v>60</v>
      </c>
      <c r="AI136" s="81">
        <v>27</v>
      </c>
      <c r="AJ136" s="81">
        <v>1</v>
      </c>
      <c r="AK136" s="81" t="s">
        <v>71</v>
      </c>
      <c r="AL136" s="81">
        <v>144</v>
      </c>
      <c r="AM136" s="81">
        <v>137</v>
      </c>
      <c r="AN136" s="68">
        <f>'O.G.Chem Results'!AN136/'O.G.Chem Results'!$AN$142</f>
        <v>8.9743589743589745</v>
      </c>
      <c r="AO136" s="81">
        <v>280</v>
      </c>
      <c r="AP136" s="81">
        <v>9</v>
      </c>
      <c r="AQ136" s="81" t="s">
        <v>72</v>
      </c>
      <c r="AR136" s="81">
        <v>1.2</v>
      </c>
      <c r="AS136" s="81" t="s">
        <v>73</v>
      </c>
      <c r="AT136" s="81">
        <v>2</v>
      </c>
      <c r="AU136" s="81" t="s">
        <v>74</v>
      </c>
      <c r="AV136" s="81">
        <v>1.9</v>
      </c>
      <c r="AW136" s="81">
        <v>852</v>
      </c>
      <c r="AX136" s="33" t="s">
        <v>75</v>
      </c>
      <c r="AY136" s="68">
        <f>'O.G.Chem Results'!AY136/'O.G.Chem Results'!AY$142</f>
        <v>910.63829787234044</v>
      </c>
      <c r="AZ136" s="68">
        <f>'O.G.Chem Results'!AZ136/'O.G.Chem Results'!AZ$142</f>
        <v>618.36870026525196</v>
      </c>
      <c r="BA136" s="68">
        <f>'O.G.Chem Results'!BA136/'O.G.Chem Results'!BA$142</f>
        <v>588.10325476992148</v>
      </c>
      <c r="BB136" s="68">
        <f>'O.G.Chem Results'!BB136/'O.G.Chem Results'!BB$142</f>
        <v>382.40495137046867</v>
      </c>
      <c r="BC136" s="68">
        <f>'O.G.Chem Results'!BC136/'O.G.Chem Results'!BC$142</f>
        <v>170.6322229775663</v>
      </c>
      <c r="BD136" s="68">
        <f>'O.G.Chem Results'!BD136/'O.G.Chem Results'!BD$142</f>
        <v>71.964285714285722</v>
      </c>
      <c r="BE136" s="68">
        <f>'O.G.Chem Results'!BE136/'O.G.Chem Results'!BE$142</f>
        <v>64.204545454545467</v>
      </c>
      <c r="BF136" s="68">
        <f>'O.G.Chem Results'!BF136/'O.G.Chem Results'!BF$142</f>
        <v>27.548209366391184</v>
      </c>
      <c r="BG136" s="68">
        <f>'O.G.Chem Results'!BG136/'O.G.Chem Results'!BG$142</f>
        <v>18.129377832715289</v>
      </c>
      <c r="BH136" s="68">
        <f>'O.G.Chem Results'!BH136/'O.G.Chem Results'!BH$142</f>
        <v>12.589928057553955</v>
      </c>
      <c r="BI136" s="68">
        <f>'O.G.Chem Results'!BI136/'O.G.Chem Results'!BI$142</f>
        <v>11.32787916928886</v>
      </c>
      <c r="BJ136" s="68">
        <f>'O.G.Chem Results'!BJ136/'O.G.Chem Results'!BJ$142</f>
        <v>9.9173553719008272</v>
      </c>
      <c r="BK136" s="68">
        <f>'O.G.Chem Results'!BK136/'O.G.Chem Results'!BK$142</f>
        <v>9.2307692307692299</v>
      </c>
      <c r="BL136" s="68">
        <f>'O.G.Chem Results'!BL136/'O.G.Chem Results'!BL$142</f>
        <v>9.4650205761316872</v>
      </c>
      <c r="BM136" s="81">
        <v>8.5</v>
      </c>
      <c r="BN136" s="81">
        <v>0.4</v>
      </c>
      <c r="BO136" s="81">
        <v>2</v>
      </c>
      <c r="BP136" s="81">
        <v>0.9</v>
      </c>
      <c r="BQ136" s="81">
        <v>53</v>
      </c>
      <c r="BR136" s="81">
        <v>54.6</v>
      </c>
      <c r="BS136" s="81">
        <v>4.9000000000000004</v>
      </c>
      <c r="BT136" s="34">
        <f t="shared" si="67"/>
        <v>0.40442502945928716</v>
      </c>
      <c r="BU136" s="282">
        <f t="shared" si="68"/>
        <v>2904.524798029131</v>
      </c>
      <c r="BV136" s="282">
        <f t="shared" si="69"/>
        <v>555</v>
      </c>
      <c r="BW136" s="79">
        <f t="shared" si="70"/>
        <v>81.114808652246253</v>
      </c>
      <c r="BX136" s="69">
        <f t="shared" ref="BX136:BX138" si="78">AZ136/BA136</f>
        <v>1.0514628090388158</v>
      </c>
      <c r="ER136" s="324">
        <f t="shared" si="71"/>
        <v>0.58311046592730842</v>
      </c>
      <c r="ES136" s="257">
        <f t="shared" si="72"/>
        <v>1.0514628090388158</v>
      </c>
      <c r="ET136">
        <f t="shared" si="73"/>
        <v>555</v>
      </c>
      <c r="EU136" s="324">
        <f t="shared" si="74"/>
        <v>0.55457069989984054</v>
      </c>
      <c r="EV136" s="39">
        <f t="shared" si="75"/>
        <v>175.45</v>
      </c>
      <c r="EX136">
        <f t="shared" si="76"/>
        <v>0.71282051282051295</v>
      </c>
    </row>
    <row r="137" spans="1:160" x14ac:dyDescent="0.2">
      <c r="A137" s="313" t="s">
        <v>637</v>
      </c>
      <c r="B137" s="102" t="s">
        <v>630</v>
      </c>
      <c r="C137" s="314">
        <f t="shared" si="77"/>
        <v>172.99875</v>
      </c>
      <c r="F137" s="315">
        <v>800.125</v>
      </c>
      <c r="O137" s="81">
        <v>64.52028</v>
      </c>
      <c r="P137" s="81">
        <v>18.73724</v>
      </c>
      <c r="Q137" s="81">
        <v>3.2429400000000004</v>
      </c>
      <c r="R137" s="81">
        <v>4.224E-2</v>
      </c>
      <c r="S137" s="81">
        <v>0.55208000000000002</v>
      </c>
      <c r="T137" s="81">
        <v>6.6439999999999999E-2</v>
      </c>
      <c r="U137" s="81">
        <v>0.28258000000000005</v>
      </c>
      <c r="V137" s="81">
        <v>4.6798999999999999</v>
      </c>
      <c r="W137" s="81">
        <v>0.53782600000000003</v>
      </c>
      <c r="X137" s="81">
        <v>4.9880000000000008E-2</v>
      </c>
      <c r="Y137" s="81">
        <v>5.8925200000000011</v>
      </c>
      <c r="Z137" s="81">
        <v>98.605919999999998</v>
      </c>
      <c r="AA137" s="81">
        <v>4.99</v>
      </c>
      <c r="AB137" s="81">
        <v>1.33</v>
      </c>
      <c r="AC137" s="81">
        <v>41.248000000000005</v>
      </c>
      <c r="AD137" s="81" t="s">
        <v>69</v>
      </c>
      <c r="AE137" s="81">
        <v>4.99</v>
      </c>
      <c r="AF137" s="81" t="s">
        <v>69</v>
      </c>
      <c r="AG137" s="81">
        <v>9.98</v>
      </c>
      <c r="AH137" s="81">
        <v>69.84</v>
      </c>
      <c r="AI137" s="81">
        <v>25.617999999999999</v>
      </c>
      <c r="AJ137" s="81">
        <v>1.33</v>
      </c>
      <c r="AK137" s="81" t="s">
        <v>71</v>
      </c>
      <c r="AL137" s="81">
        <v>172.596</v>
      </c>
      <c r="AM137" s="81">
        <v>149.34200000000001</v>
      </c>
      <c r="AN137" s="68">
        <f>'O.G.Chem Results'!AN137/'O.G.Chem Results'!$AN$142</f>
        <v>8.5307692307692307</v>
      </c>
      <c r="AO137" s="81">
        <v>292.38800000000003</v>
      </c>
      <c r="AP137" s="81">
        <v>9.9780000000000015</v>
      </c>
      <c r="AQ137" s="81" t="s">
        <v>72</v>
      </c>
      <c r="AR137" s="81">
        <v>1.2308000000000001</v>
      </c>
      <c r="AS137" s="81" t="s">
        <v>73</v>
      </c>
      <c r="AT137" s="81">
        <v>2.3280000000000003</v>
      </c>
      <c r="AU137" s="81" t="s">
        <v>74</v>
      </c>
      <c r="AV137" s="81">
        <v>1.9958</v>
      </c>
      <c r="AW137" s="81">
        <v>831.70399999999995</v>
      </c>
      <c r="AX137" s="33" t="s">
        <v>75</v>
      </c>
      <c r="AY137" s="68">
        <f>'O.G.Chem Results'!AY137/'O.G.Chem Results'!AY$142</f>
        <v>764.71489361702129</v>
      </c>
      <c r="AZ137" s="68">
        <f>'O.G.Chem Results'!AZ137/'O.G.Chem Results'!AZ$142</f>
        <v>538.42506631299727</v>
      </c>
      <c r="BA137" s="68">
        <f>'O.G.Chem Results'!BA137/'O.G.Chem Results'!BA$142</f>
        <v>486.32098765432102</v>
      </c>
      <c r="BB137" s="68">
        <f>'O.G.Chem Results'!BB137/'O.G.Chem Results'!BB$142</f>
        <v>316.91335101679931</v>
      </c>
      <c r="BC137" s="68">
        <f>'O.G.Chem Results'!BC137/'O.G.Chem Results'!BC$142</f>
        <v>139.59619306594158</v>
      </c>
      <c r="BD137" s="68">
        <f>'O.G.Chem Results'!BD137/'O.G.Chem Results'!BD$142</f>
        <v>59.311071428571438</v>
      </c>
      <c r="BE137" s="68">
        <f>'O.G.Chem Results'!BE137/'O.G.Chem Results'!BE$142</f>
        <v>54.45568181818183</v>
      </c>
      <c r="BF137" s="68">
        <f>'O.G.Chem Results'!BF137/'O.G.Chem Results'!BF$142</f>
        <v>23.834710743801654</v>
      </c>
      <c r="BG137" s="68">
        <f>'O.G.Chem Results'!BG137/'O.G.Chem Results'!BG$142</f>
        <v>15.630819942315618</v>
      </c>
      <c r="BH137" s="68">
        <f>'O.G.Chem Results'!BH137/'O.G.Chem Results'!BH$142</f>
        <v>10.773381294964027</v>
      </c>
      <c r="BI137" s="68">
        <f>'O.G.Chem Results'!BI137/'O.G.Chem Results'!BI$142</f>
        <v>10.051604782882317</v>
      </c>
      <c r="BJ137" s="68">
        <f>'O.G.Chem Results'!BJ137/'O.G.Chem Results'!BJ$142</f>
        <v>8.93719008264463</v>
      </c>
      <c r="BK137" s="68">
        <f>'O.G.Chem Results'!BK137/'O.G.Chem Results'!BK$142</f>
        <v>8.5993846153846167</v>
      </c>
      <c r="BL137" s="68">
        <f>'O.G.Chem Results'!BL137/'O.G.Chem Results'!BL$142</f>
        <v>9.0362139917695465</v>
      </c>
      <c r="BM137" s="81">
        <v>8.7154000000000007</v>
      </c>
      <c r="BN137" s="81">
        <v>0.46560000000000001</v>
      </c>
      <c r="BO137" s="81">
        <v>1.996</v>
      </c>
      <c r="BP137" s="81">
        <v>1.0642</v>
      </c>
      <c r="BQ137" s="81">
        <v>49.574000000000005</v>
      </c>
      <c r="BR137" s="81">
        <v>50.606400000000008</v>
      </c>
      <c r="BS137" s="81">
        <v>4.5914000000000001</v>
      </c>
      <c r="BT137" s="34">
        <f t="shared" si="67"/>
        <v>0.41317516373445562</v>
      </c>
      <c r="BU137" s="282">
        <f t="shared" si="68"/>
        <v>2446.600550367596</v>
      </c>
      <c r="BV137" s="282">
        <f t="shared" si="69"/>
        <v>800.125</v>
      </c>
      <c r="BW137" s="79">
        <f t="shared" si="70"/>
        <v>78.839997711031145</v>
      </c>
      <c r="BX137" s="69">
        <f t="shared" si="78"/>
        <v>1.1071392762833259</v>
      </c>
      <c r="ER137" s="324">
        <f t="shared" si="71"/>
        <v>0.58495120708709214</v>
      </c>
      <c r="ES137" s="257">
        <f t="shared" si="72"/>
        <v>1.1071392762833259</v>
      </c>
      <c r="ET137">
        <f t="shared" si="73"/>
        <v>800.125</v>
      </c>
      <c r="EU137" s="324">
        <f t="shared" si="74"/>
        <v>0.52834473459452846</v>
      </c>
      <c r="EV137" s="39">
        <f t="shared" si="75"/>
        <v>172.99875</v>
      </c>
      <c r="EX137">
        <f t="shared" si="76"/>
        <v>0.79183767818158479</v>
      </c>
    </row>
    <row r="138" spans="1:160" x14ac:dyDescent="0.2">
      <c r="A138" s="313" t="s">
        <v>638</v>
      </c>
      <c r="B138" s="102" t="s">
        <v>630</v>
      </c>
      <c r="C138" s="314">
        <f t="shared" si="77"/>
        <v>168.05</v>
      </c>
      <c r="F138" s="315">
        <v>1295</v>
      </c>
      <c r="O138" s="81">
        <v>65.069999999999993</v>
      </c>
      <c r="P138" s="81">
        <v>17.32</v>
      </c>
      <c r="Q138" s="81">
        <v>3.81</v>
      </c>
      <c r="R138" s="81">
        <v>5.0999999999999997E-2</v>
      </c>
      <c r="S138" s="81">
        <v>0.7</v>
      </c>
      <c r="T138" s="81">
        <v>0.16</v>
      </c>
      <c r="U138" s="81">
        <v>0.47</v>
      </c>
      <c r="V138" s="81">
        <v>5.41</v>
      </c>
      <c r="W138" s="81">
        <v>0.63500000000000001</v>
      </c>
      <c r="X138" s="81">
        <v>7.0000000000000007E-2</v>
      </c>
      <c r="Y138" s="81">
        <v>4.91</v>
      </c>
      <c r="Z138" s="81">
        <v>98.61</v>
      </c>
      <c r="AA138" s="81">
        <v>5</v>
      </c>
      <c r="AB138" s="81">
        <v>2</v>
      </c>
      <c r="AC138" s="81">
        <v>44</v>
      </c>
      <c r="AD138" s="81" t="s">
        <v>69</v>
      </c>
      <c r="AE138" s="81">
        <v>5</v>
      </c>
      <c r="AF138" s="81" t="s">
        <v>69</v>
      </c>
      <c r="AG138" s="81">
        <v>10</v>
      </c>
      <c r="AH138" s="81">
        <v>90</v>
      </c>
      <c r="AI138" s="81">
        <v>23</v>
      </c>
      <c r="AJ138" s="81">
        <v>2</v>
      </c>
      <c r="AK138" s="81" t="s">
        <v>71</v>
      </c>
      <c r="AL138" s="81">
        <v>231</v>
      </c>
      <c r="AM138" s="81">
        <v>175</v>
      </c>
      <c r="AN138" s="68">
        <f>'O.G.Chem Results'!AN138/'O.G.Chem Results'!$AN$142</f>
        <v>7.6923076923076916</v>
      </c>
      <c r="AO138" s="81">
        <v>319</v>
      </c>
      <c r="AP138" s="81">
        <v>12</v>
      </c>
      <c r="AQ138" s="81">
        <v>2</v>
      </c>
      <c r="AR138" s="81">
        <v>1.3</v>
      </c>
      <c r="AS138" s="81" t="s">
        <v>73</v>
      </c>
      <c r="AT138" s="81">
        <v>3</v>
      </c>
      <c r="AU138" s="81" t="s">
        <v>74</v>
      </c>
      <c r="AV138" s="81">
        <v>2.2000000000000002</v>
      </c>
      <c r="AW138" s="81">
        <v>796</v>
      </c>
      <c r="AX138" s="33" t="s">
        <v>75</v>
      </c>
      <c r="AY138" s="68">
        <f>'O.G.Chem Results'!AY138/'O.G.Chem Results'!AY$142</f>
        <v>476.59574468085111</v>
      </c>
      <c r="AZ138" s="68">
        <f>'O.G.Chem Results'!AZ138/'O.G.Chem Results'!AZ$142</f>
        <v>381.29973474801056</v>
      </c>
      <c r="BA138" s="68">
        <f>'O.G.Chem Results'!BA138/'O.G.Chem Results'!BA$142</f>
        <v>285.07295173961842</v>
      </c>
      <c r="BB138" s="68">
        <f>'O.G.Chem Results'!BB138/'O.G.Chem Results'!BB$142</f>
        <v>187.44473916887711</v>
      </c>
      <c r="BC138" s="68">
        <f>'O.G.Chem Results'!BC138/'O.G.Chem Results'!BC$142</f>
        <v>78.178110129163841</v>
      </c>
      <c r="BD138" s="68">
        <f>'O.G.Chem Results'!BD138/'O.G.Chem Results'!BD$142</f>
        <v>34.285714285714285</v>
      </c>
      <c r="BE138" s="68">
        <f>'O.G.Chem Results'!BE138/'O.G.Chem Results'!BE$142</f>
        <v>35.227272727272734</v>
      </c>
      <c r="BF138" s="68">
        <f>'O.G.Chem Results'!BF138/'O.G.Chem Results'!BF$142</f>
        <v>16.528925619834709</v>
      </c>
      <c r="BG138" s="68">
        <f>'O.G.Chem Results'!BG138/'O.G.Chem Results'!BG$142</f>
        <v>10.712814173877215</v>
      </c>
      <c r="BH138" s="68">
        <f>'O.G.Chem Results'!BH138/'O.G.Chem Results'!BH$142</f>
        <v>7.1942446043165464</v>
      </c>
      <c r="BI138" s="68">
        <f>'O.G.Chem Results'!BI138/'O.G.Chem Results'!BI$142</f>
        <v>7.5519194461925734</v>
      </c>
      <c r="BJ138" s="68">
        <f>'O.G.Chem Results'!BJ138/'O.G.Chem Results'!BJ$142</f>
        <v>7.0247933884297531</v>
      </c>
      <c r="BK138" s="68">
        <f>'O.G.Chem Results'!BK138/'O.G.Chem Results'!BK$142</f>
        <v>7.3846153846153841</v>
      </c>
      <c r="BL138" s="68">
        <f>'O.G.Chem Results'!BL138/'O.G.Chem Results'!BL$142</f>
        <v>8.2304526748971192</v>
      </c>
      <c r="BM138" s="81">
        <v>9.1999999999999993</v>
      </c>
      <c r="BN138" s="81">
        <v>0.6</v>
      </c>
      <c r="BO138" s="81">
        <v>2</v>
      </c>
      <c r="BP138" s="81">
        <v>1.4</v>
      </c>
      <c r="BQ138" s="81">
        <v>43</v>
      </c>
      <c r="BR138" s="81">
        <v>42.9</v>
      </c>
      <c r="BS138" s="81">
        <v>4</v>
      </c>
      <c r="BT138" s="34">
        <f t="shared" si="67"/>
        <v>0.44445942878945854</v>
      </c>
      <c r="BU138" s="282">
        <f t="shared" si="68"/>
        <v>1542.7320327716714</v>
      </c>
      <c r="BV138" s="282">
        <f t="shared" si="69"/>
        <v>1295</v>
      </c>
      <c r="BW138" s="79">
        <f t="shared" si="70"/>
        <v>74.143835616438352</v>
      </c>
      <c r="BX138" s="69">
        <f t="shared" si="78"/>
        <v>1.337551431734163</v>
      </c>
      <c r="ER138" s="324">
        <f t="shared" si="71"/>
        <v>0.59283096232904409</v>
      </c>
      <c r="ES138" s="257">
        <f t="shared" si="72"/>
        <v>1.337551431734163</v>
      </c>
      <c r="ET138">
        <f t="shared" si="73"/>
        <v>1295</v>
      </c>
      <c r="EU138" s="324">
        <f t="shared" si="74"/>
        <v>0.44322105921596339</v>
      </c>
      <c r="EV138" s="39">
        <f t="shared" si="75"/>
        <v>168.05</v>
      </c>
      <c r="EX138">
        <f t="shared" si="76"/>
        <v>1.0692307692307692</v>
      </c>
    </row>
    <row r="139" spans="1:160" x14ac:dyDescent="0.2">
      <c r="A139" s="31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BO123">
    <sortCondition ref="A7:A123"/>
  </sortState>
  <phoneticPr fontId="7" type="noConversion"/>
  <pageMargins left="0.51" right="0.51" top="0.51" bottom="0.51" header="0.3" footer="0.3"/>
  <pageSetup orientation="landscape"/>
  <headerFooter>
    <oddHeader>&amp;12&amp;BFinal Report
Activation Laboratories</oddHeader>
    <oddFooter>&amp;C&amp;"Arial,Normal"Page &amp;P of &amp;N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2B8E-C412-5540-AEB3-B427B5E05B50}">
  <dimension ref="A1:CJ297"/>
  <sheetViews>
    <sheetView zoomScale="120" zoomScaleNormal="120" zoomScalePageLayoutView="150" workbookViewId="0">
      <pane xSplit="1" ySplit="1" topLeftCell="AQ2" activePane="bottomRight" state="frozen"/>
      <selection pane="topRight" activeCell="B1" sqref="B1"/>
      <selection pane="bottomLeft" activeCell="A2" sqref="A2"/>
      <selection pane="bottomRight" activeCell="G134" sqref="G134"/>
    </sheetView>
  </sheetViews>
  <sheetFormatPr baseColWidth="10" defaultColWidth="8.83203125" defaultRowHeight="15" x14ac:dyDescent="0.2"/>
  <cols>
    <col min="1" max="1" width="17.1640625" style="80" customWidth="1"/>
    <col min="2" max="3" width="9.5" style="80" customWidth="1"/>
    <col min="4" max="4" width="11.1640625" style="80" customWidth="1"/>
    <col min="5" max="6" width="9.1640625" style="108" bestFit="1" customWidth="1"/>
    <col min="7" max="16" width="9.1640625" style="35" bestFit="1" customWidth="1"/>
    <col min="17" max="17" width="10.5" style="35" customWidth="1"/>
    <col min="18" max="18" width="9.1640625" style="35" bestFit="1" customWidth="1"/>
    <col min="19" max="19" width="9.5" style="35" customWidth="1"/>
    <col min="20" max="30" width="9.1640625" style="35" bestFit="1" customWidth="1"/>
    <col min="31" max="31" width="9.5" style="180" customWidth="1"/>
    <col min="32" max="55" width="9.1640625" style="35" bestFit="1" customWidth="1"/>
    <col min="56" max="56" width="9.83203125" style="112" customWidth="1"/>
    <col min="57" max="57" width="8.1640625" style="35" bestFit="1" customWidth="1"/>
    <col min="58" max="58" width="7.33203125" style="35" bestFit="1" customWidth="1"/>
    <col min="59" max="59" width="8" style="35" bestFit="1" customWidth="1"/>
    <col min="60" max="60" width="7.1640625" style="35" bestFit="1" customWidth="1"/>
    <col min="61" max="61" width="6.1640625" style="35" bestFit="1" customWidth="1"/>
    <col min="62" max="62" width="7" style="35" customWidth="1"/>
    <col min="63" max="63" width="7.1640625" style="35" bestFit="1" customWidth="1"/>
    <col min="64" max="64" width="7.1640625" style="35" customWidth="1"/>
    <col min="65" max="65" width="7.33203125" style="35" customWidth="1"/>
    <col min="66" max="66" width="7.1640625" style="35" bestFit="1" customWidth="1"/>
    <col min="67" max="67" width="6.83203125" style="35" bestFit="1" customWidth="1"/>
    <col min="68" max="68" width="9.33203125" style="35" bestFit="1" customWidth="1"/>
    <col min="69" max="69" width="7.5" style="35" customWidth="1"/>
    <col min="70" max="70" width="8" style="35" bestFit="1" customWidth="1"/>
    <col min="71" max="71" width="9.1640625" style="35" bestFit="1" customWidth="1"/>
    <col min="72" max="72" width="8.83203125" style="35"/>
    <col min="73" max="73" width="8.83203125" style="263"/>
    <col min="74" max="16384" width="8.83203125" style="35"/>
  </cols>
  <sheetData>
    <row r="1" spans="1:88" s="56" customFormat="1" ht="17" x14ac:dyDescent="0.25">
      <c r="A1" s="31" t="s">
        <v>2</v>
      </c>
      <c r="B1" s="31" t="s">
        <v>426</v>
      </c>
      <c r="C1" s="31" t="s">
        <v>426</v>
      </c>
      <c r="D1" s="31" t="s">
        <v>426</v>
      </c>
      <c r="E1" s="105" t="s">
        <v>546</v>
      </c>
      <c r="F1" s="105" t="s">
        <v>547</v>
      </c>
      <c r="G1" s="56" t="s">
        <v>548</v>
      </c>
      <c r="H1" s="56" t="s">
        <v>549</v>
      </c>
      <c r="I1" s="56" t="s">
        <v>551</v>
      </c>
      <c r="J1" s="56" t="s">
        <v>550</v>
      </c>
      <c r="K1" s="56" t="s">
        <v>562</v>
      </c>
      <c r="L1" s="56" t="s">
        <v>563</v>
      </c>
      <c r="M1" s="56" t="s">
        <v>552</v>
      </c>
      <c r="N1" s="56" t="s">
        <v>553</v>
      </c>
      <c r="O1" s="56" t="s">
        <v>554</v>
      </c>
      <c r="P1" s="56" t="s">
        <v>555</v>
      </c>
      <c r="Q1" s="102" t="s">
        <v>557</v>
      </c>
      <c r="R1" s="102" t="s">
        <v>556</v>
      </c>
      <c r="S1" s="56" t="s">
        <v>558</v>
      </c>
      <c r="T1" s="56" t="s">
        <v>559</v>
      </c>
      <c r="U1" s="56" t="s">
        <v>560</v>
      </c>
      <c r="V1" s="102" t="s">
        <v>568</v>
      </c>
      <c r="W1" s="56" t="s">
        <v>561</v>
      </c>
      <c r="X1" s="102" t="s">
        <v>605</v>
      </c>
      <c r="Y1" s="102" t="s">
        <v>608</v>
      </c>
      <c r="Z1" s="102" t="s">
        <v>597</v>
      </c>
      <c r="AA1" s="102" t="s">
        <v>598</v>
      </c>
      <c r="AB1" s="102" t="s">
        <v>599</v>
      </c>
      <c r="AC1" s="102" t="s">
        <v>600</v>
      </c>
      <c r="AD1" s="102" t="s">
        <v>601</v>
      </c>
      <c r="AE1" s="177"/>
      <c r="AF1" s="56" t="str">
        <f>G1</f>
        <v>quartz</v>
      </c>
      <c r="AG1" s="56" t="str">
        <f t="shared" ref="AG1:AV1" si="0">H1</f>
        <v>orthoclase</v>
      </c>
      <c r="AH1" s="56" t="str">
        <f t="shared" si="0"/>
        <v>albite</v>
      </c>
      <c r="AI1" s="56" t="str">
        <f t="shared" si="0"/>
        <v>anorthite</v>
      </c>
      <c r="AJ1" s="56" t="str">
        <f t="shared" si="0"/>
        <v>epidote</v>
      </c>
      <c r="AK1" s="56" t="str">
        <f t="shared" si="0"/>
        <v>amphibole</v>
      </c>
      <c r="AL1" s="56" t="str">
        <f t="shared" si="0"/>
        <v>hematite</v>
      </c>
      <c r="AM1" s="56" t="str">
        <f t="shared" si="0"/>
        <v>goethite</v>
      </c>
      <c r="AN1" s="56" t="str">
        <f t="shared" si="0"/>
        <v>gibbsite</v>
      </c>
      <c r="AO1" s="56" t="str">
        <f t="shared" si="0"/>
        <v>dolomite</v>
      </c>
      <c r="AP1" s="56" t="str">
        <f t="shared" si="0"/>
        <v>kaolin pc</v>
      </c>
      <c r="AQ1" s="56" t="str">
        <f t="shared" si="0"/>
        <v>kaolin wc</v>
      </c>
      <c r="AR1" s="56" t="str">
        <f t="shared" si="0"/>
        <v>HIV</v>
      </c>
      <c r="AS1" s="56" t="str">
        <f t="shared" si="0"/>
        <v>biotite wc</v>
      </c>
      <c r="AT1" s="56" t="str">
        <f t="shared" si="0"/>
        <v>biotite pc</v>
      </c>
      <c r="AU1" s="56" t="str">
        <f t="shared" si="0"/>
        <v>phengite</v>
      </c>
      <c r="AV1" s="56" t="str">
        <f t="shared" si="0"/>
        <v>smectite</v>
      </c>
      <c r="AW1" s="56" t="str">
        <f t="shared" ref="AW1" si="1">X1</f>
        <v>sillimanite</v>
      </c>
      <c r="AX1" s="56" t="str">
        <f t="shared" ref="AX1" si="2">Y1</f>
        <v>microcline</v>
      </c>
      <c r="AY1" s="56" t="str">
        <f t="shared" ref="AY1" si="3">Z1</f>
        <v xml:space="preserve">mineral C </v>
      </c>
      <c r="AZ1" s="56" t="str">
        <f t="shared" ref="AZ1" si="4">AA1</f>
        <v>mineral D</v>
      </c>
      <c r="BA1" s="56" t="str">
        <f t="shared" ref="BA1" si="5">AB1</f>
        <v>mineral E</v>
      </c>
      <c r="BB1" s="56" t="str">
        <f>AC1</f>
        <v>mineral F</v>
      </c>
      <c r="BC1" s="56" t="str">
        <f>AD1</f>
        <v>mineral G</v>
      </c>
      <c r="BD1" s="109"/>
      <c r="BE1" s="31" t="s">
        <v>3</v>
      </c>
      <c r="BF1" s="31" t="s">
        <v>4</v>
      </c>
      <c r="BG1" s="31" t="s">
        <v>596</v>
      </c>
      <c r="BH1" s="31" t="s">
        <v>588</v>
      </c>
      <c r="BI1" s="31" t="s">
        <v>6</v>
      </c>
      <c r="BJ1" s="31" t="s">
        <v>7</v>
      </c>
      <c r="BK1" s="31" t="s">
        <v>8</v>
      </c>
      <c r="BL1" s="31" t="s">
        <v>9</v>
      </c>
      <c r="BM1" s="31" t="s">
        <v>10</v>
      </c>
      <c r="BN1" s="31" t="s">
        <v>11</v>
      </c>
      <c r="BO1" s="31" t="s">
        <v>12</v>
      </c>
      <c r="BP1" s="31" t="s">
        <v>570</v>
      </c>
      <c r="BQ1" s="102" t="s">
        <v>571</v>
      </c>
      <c r="BR1" s="102" t="s">
        <v>14</v>
      </c>
      <c r="BS1" s="102" t="s">
        <v>467</v>
      </c>
      <c r="BT1" s="102" t="s">
        <v>603</v>
      </c>
      <c r="BU1" s="262" t="s">
        <v>5</v>
      </c>
    </row>
    <row r="2" spans="1:88" s="34" customFormat="1" x14ac:dyDescent="0.2">
      <c r="A2" s="103" t="s">
        <v>566</v>
      </c>
      <c r="B2" s="103"/>
      <c r="C2" s="103"/>
      <c r="D2" s="103"/>
      <c r="E2" s="106">
        <f>65.38+16</f>
        <v>81.38</v>
      </c>
      <c r="F2" s="106">
        <f>BF3</f>
        <v>101.97999999999999</v>
      </c>
      <c r="G2" s="34">
        <f>BE3</f>
        <v>60.05</v>
      </c>
      <c r="H2" s="34">
        <f>0.5*BM3+0.5*BF3+3*BE3</f>
        <v>278.22999999999996</v>
      </c>
      <c r="I2" s="34">
        <f>0.5*BL3+0.5*BF3+3*BE3</f>
        <v>262.13</v>
      </c>
      <c r="J2" s="104">
        <f>BK3+BF3+2*BE3</f>
        <v>278.15800000000002</v>
      </c>
      <c r="K2" s="34">
        <f>BK3+1.125*BG3+0.375*BF3+BE3*3+0.5*BP3</f>
        <v>463.12624999999997</v>
      </c>
      <c r="L2" s="34">
        <f>2*BK3+2*BH3+2*BJ3+0.5*BF3+7*BE3+BP3</f>
        <v>827.69599999999991</v>
      </c>
      <c r="M2" s="34">
        <f>BG3</f>
        <v>159.69400000000002</v>
      </c>
      <c r="N2" s="34">
        <f>0.05*BF3+0.45*BG3+0.5*BP3</f>
        <v>85.961300000000008</v>
      </c>
      <c r="O2" s="34">
        <f>0.5*BF3+1.5*BP3</f>
        <v>77.989999999999995</v>
      </c>
      <c r="P2" s="104">
        <f>BK3+BJ3+2*BQ3</f>
        <v>184.37799999999999</v>
      </c>
      <c r="Q2" s="34">
        <f>BF3*1.95/2+BG3*0.05/2+2*BE3+BP3*2</f>
        <v>259.52284999999995</v>
      </c>
      <c r="R2" s="34">
        <f>BF3+BE3*2+2*BP3</f>
        <v>258.08</v>
      </c>
      <c r="S2" s="34">
        <f>BM3*0.5*0.41+BK3*0.08+BE3*3.24+BF3*0.5*0.76+BF3*0.5*1.56+BG3*0.5*0.24+BJ3*0.2+BF3*0.5*1.45+BP3*0.5*3.79+BP3</f>
        <v>489.92071999999996</v>
      </c>
      <c r="T2" s="34">
        <f>0.5*BM3+0.39*BH3+0.23*BJ3+0.03*BN3+2.62*0.5*BF3+3.47*BE3+BP3</f>
        <v>447.11530000000005</v>
      </c>
      <c r="U2" s="34">
        <f>0.47*0.5*BM3+0.01*BK3+0.87*BH3+0.56*BJ3+0.11*BN3+0.5*2.03*BF3+2.8*BE3+BP3</f>
        <v>407.03577999999993</v>
      </c>
      <c r="V2" s="34">
        <f>0.5*BM3+0.25*BJ3+0.25*BH3+BF3+3.5*BE3+BP3</f>
        <v>405.52</v>
      </c>
      <c r="W2" s="34">
        <f>0.35*0.5*BM3+1.21*BJ3+0.09*BN3+0.3*0.5*BG3+0.63*BH3+1.4*0.5*BF3+3*BE3+BP3</f>
        <v>411.78959999999995</v>
      </c>
      <c r="X2" s="34">
        <f>BF3+BE3</f>
        <v>162.02999999999997</v>
      </c>
      <c r="Y2" s="34">
        <f>0.5*BM3+0.5*BF3+3*BE3</f>
        <v>278.22999999999996</v>
      </c>
      <c r="AE2" s="178" t="s">
        <v>592</v>
      </c>
      <c r="AF2" s="34">
        <f>G2</f>
        <v>60.05</v>
      </c>
      <c r="AG2" s="34">
        <f>H2</f>
        <v>278.22999999999996</v>
      </c>
      <c r="AH2" s="34">
        <f>I2</f>
        <v>262.13</v>
      </c>
      <c r="AI2" s="34">
        <f t="shared" ref="AI2:AW2" si="6">J2</f>
        <v>278.15800000000002</v>
      </c>
      <c r="AJ2" s="34">
        <f t="shared" si="6"/>
        <v>463.12624999999997</v>
      </c>
      <c r="AK2" s="34">
        <f t="shared" si="6"/>
        <v>827.69599999999991</v>
      </c>
      <c r="AL2" s="34">
        <f t="shared" si="6"/>
        <v>159.69400000000002</v>
      </c>
      <c r="AM2" s="34">
        <f t="shared" si="6"/>
        <v>85.961300000000008</v>
      </c>
      <c r="AN2" s="34">
        <f t="shared" si="6"/>
        <v>77.989999999999995</v>
      </c>
      <c r="AO2" s="34">
        <f t="shared" si="6"/>
        <v>184.37799999999999</v>
      </c>
      <c r="AP2" s="34">
        <f t="shared" si="6"/>
        <v>259.52284999999995</v>
      </c>
      <c r="AQ2" s="34">
        <f t="shared" si="6"/>
        <v>258.08</v>
      </c>
      <c r="AR2" s="34">
        <f t="shared" si="6"/>
        <v>489.92071999999996</v>
      </c>
      <c r="AS2" s="34">
        <f t="shared" si="6"/>
        <v>447.11530000000005</v>
      </c>
      <c r="AT2" s="34">
        <f t="shared" si="6"/>
        <v>407.03577999999993</v>
      </c>
      <c r="AU2" s="34">
        <f t="shared" si="6"/>
        <v>405.52</v>
      </c>
      <c r="AV2" s="34">
        <f t="shared" si="6"/>
        <v>411.78959999999995</v>
      </c>
      <c r="AW2" s="34">
        <f t="shared" si="6"/>
        <v>162.02999999999997</v>
      </c>
      <c r="AX2" s="34">
        <f>Y2</f>
        <v>278.22999999999996</v>
      </c>
      <c r="BD2" s="110"/>
      <c r="BU2" s="263"/>
    </row>
    <row r="3" spans="1:88" s="100" customFormat="1" ht="108" x14ac:dyDescent="0.25">
      <c r="A3" s="98"/>
      <c r="B3" s="99"/>
      <c r="C3" s="99"/>
      <c r="D3" s="99"/>
      <c r="E3" s="107" t="s">
        <v>580</v>
      </c>
      <c r="F3" s="107" t="s">
        <v>587</v>
      </c>
      <c r="G3" s="101" t="s">
        <v>581</v>
      </c>
      <c r="H3" s="101" t="s">
        <v>582</v>
      </c>
      <c r="I3" s="101" t="s">
        <v>583</v>
      </c>
      <c r="J3" s="101" t="s">
        <v>584</v>
      </c>
      <c r="K3" s="101" t="s">
        <v>586</v>
      </c>
      <c r="L3" s="101" t="s">
        <v>585</v>
      </c>
      <c r="M3" s="101" t="s">
        <v>575</v>
      </c>
      <c r="N3" s="101" t="s">
        <v>574</v>
      </c>
      <c r="O3" s="101" t="s">
        <v>569</v>
      </c>
      <c r="P3" s="101" t="s">
        <v>572</v>
      </c>
      <c r="Q3" s="101" t="s">
        <v>576</v>
      </c>
      <c r="R3" s="101" t="s">
        <v>573</v>
      </c>
      <c r="S3" s="101" t="s">
        <v>604</v>
      </c>
      <c r="T3" s="101" t="s">
        <v>590</v>
      </c>
      <c r="U3" s="101" t="s">
        <v>578</v>
      </c>
      <c r="V3" s="101" t="s">
        <v>577</v>
      </c>
      <c r="W3" s="101" t="s">
        <v>579</v>
      </c>
      <c r="X3" s="101" t="s">
        <v>606</v>
      </c>
      <c r="Y3" s="101" t="s">
        <v>607</v>
      </c>
      <c r="AE3" s="179" t="s">
        <v>589</v>
      </c>
      <c r="AF3" s="101" t="s">
        <v>581</v>
      </c>
      <c r="AG3" s="101" t="s">
        <v>582</v>
      </c>
      <c r="AH3" s="101" t="s">
        <v>583</v>
      </c>
      <c r="AI3" s="101" t="s">
        <v>584</v>
      </c>
      <c r="AJ3" s="101" t="s">
        <v>586</v>
      </c>
      <c r="AK3" s="101" t="s">
        <v>585</v>
      </c>
      <c r="AL3" s="101" t="s">
        <v>575</v>
      </c>
      <c r="AM3" s="101" t="s">
        <v>574</v>
      </c>
      <c r="AN3" s="101" t="s">
        <v>569</v>
      </c>
      <c r="AO3" s="101" t="s">
        <v>572</v>
      </c>
      <c r="AP3" s="101" t="s">
        <v>576</v>
      </c>
      <c r="AQ3" s="101" t="s">
        <v>573</v>
      </c>
      <c r="AR3" s="101" t="s">
        <v>604</v>
      </c>
      <c r="AS3" s="101" t="s">
        <v>590</v>
      </c>
      <c r="AT3" s="101" t="s">
        <v>578</v>
      </c>
      <c r="AU3" s="101" t="s">
        <v>577</v>
      </c>
      <c r="AV3" s="101" t="s">
        <v>579</v>
      </c>
      <c r="AW3" s="101" t="s">
        <v>606</v>
      </c>
      <c r="AX3" s="34" t="str">
        <f>Y3</f>
        <v>KAlSi3O8</v>
      </c>
      <c r="BD3" s="111" t="s">
        <v>591</v>
      </c>
      <c r="BE3" s="100">
        <f>28.05+2*16</f>
        <v>60.05</v>
      </c>
      <c r="BF3" s="100">
        <f>2*26.99+3*16</f>
        <v>101.97999999999999</v>
      </c>
      <c r="BG3" s="100">
        <f>2*55.847+3*16</f>
        <v>159.69400000000002</v>
      </c>
      <c r="BH3" s="100">
        <v>72.8</v>
      </c>
      <c r="BI3" s="100">
        <f>54.94+16</f>
        <v>70.94</v>
      </c>
      <c r="BJ3" s="100">
        <f>24.3+16</f>
        <v>40.299999999999997</v>
      </c>
      <c r="BK3" s="100">
        <f>56.078</f>
        <v>56.078000000000003</v>
      </c>
      <c r="BL3" s="101">
        <f>2*22.99+16</f>
        <v>61.98</v>
      </c>
      <c r="BM3" s="100">
        <f>2*39.09+16</f>
        <v>94.18</v>
      </c>
      <c r="BN3" s="100">
        <f>47.9+2*16</f>
        <v>79.900000000000006</v>
      </c>
      <c r="BO3" s="100">
        <f>2*30.97+5*16</f>
        <v>141.94</v>
      </c>
      <c r="BP3" s="100">
        <f>1+1+16</f>
        <v>18</v>
      </c>
      <c r="BQ3" s="100">
        <f>12+2*16</f>
        <v>44</v>
      </c>
      <c r="BU3" s="264"/>
    </row>
    <row r="4" spans="1:88" s="56" customFormat="1" ht="17" x14ac:dyDescent="0.25">
      <c r="A4" s="31" t="s">
        <v>2</v>
      </c>
      <c r="B4" s="31" t="s">
        <v>426</v>
      </c>
      <c r="C4" s="31" t="s">
        <v>426</v>
      </c>
      <c r="D4" s="31" t="s">
        <v>426</v>
      </c>
      <c r="E4" s="105" t="s">
        <v>546</v>
      </c>
      <c r="F4" s="105" t="s">
        <v>547</v>
      </c>
      <c r="G4" s="56" t="str">
        <f>G1</f>
        <v>quartz</v>
      </c>
      <c r="H4" s="56" t="str">
        <f t="shared" ref="H4:AD4" si="7">H1</f>
        <v>orthoclase</v>
      </c>
      <c r="I4" s="56" t="str">
        <f t="shared" si="7"/>
        <v>albite</v>
      </c>
      <c r="J4" s="56" t="str">
        <f t="shared" si="7"/>
        <v>anorthite</v>
      </c>
      <c r="K4" s="56" t="str">
        <f t="shared" si="7"/>
        <v>epidote</v>
      </c>
      <c r="L4" s="56" t="str">
        <f t="shared" si="7"/>
        <v>amphibole</v>
      </c>
      <c r="M4" s="56" t="str">
        <f t="shared" si="7"/>
        <v>hematite</v>
      </c>
      <c r="N4" s="56" t="str">
        <f t="shared" si="7"/>
        <v>goethite</v>
      </c>
      <c r="O4" s="56" t="str">
        <f t="shared" si="7"/>
        <v>gibbsite</v>
      </c>
      <c r="P4" s="56" t="str">
        <f t="shared" si="7"/>
        <v>dolomite</v>
      </c>
      <c r="Q4" s="56" t="str">
        <f t="shared" si="7"/>
        <v>kaolin pc</v>
      </c>
      <c r="R4" s="56" t="str">
        <f t="shared" si="7"/>
        <v>kaolin wc</v>
      </c>
      <c r="S4" s="56" t="str">
        <f t="shared" si="7"/>
        <v>HIV</v>
      </c>
      <c r="T4" s="56" t="str">
        <f t="shared" si="7"/>
        <v>biotite wc</v>
      </c>
      <c r="U4" s="56" t="str">
        <f t="shared" si="7"/>
        <v>biotite pc</v>
      </c>
      <c r="V4" s="56" t="str">
        <f t="shared" si="7"/>
        <v>phengite</v>
      </c>
      <c r="W4" s="56" t="str">
        <f t="shared" si="7"/>
        <v>smectite</v>
      </c>
      <c r="X4" s="56" t="str">
        <f t="shared" si="7"/>
        <v>sillimanite</v>
      </c>
      <c r="Y4" s="56" t="str">
        <f t="shared" si="7"/>
        <v>microcline</v>
      </c>
      <c r="Z4" s="56" t="str">
        <f t="shared" si="7"/>
        <v xml:space="preserve">mineral C </v>
      </c>
      <c r="AA4" s="56" t="str">
        <f t="shared" si="7"/>
        <v>mineral D</v>
      </c>
      <c r="AB4" s="56" t="str">
        <f t="shared" si="7"/>
        <v>mineral E</v>
      </c>
      <c r="AC4" s="56" t="str">
        <f t="shared" si="7"/>
        <v>mineral F</v>
      </c>
      <c r="AD4" s="56" t="str">
        <f t="shared" si="7"/>
        <v>mineral G</v>
      </c>
      <c r="AE4" s="177" t="s">
        <v>595</v>
      </c>
      <c r="AF4" s="56" t="str">
        <f>AF1</f>
        <v>quartz</v>
      </c>
      <c r="AG4" s="56" t="str">
        <f t="shared" ref="AG4:BB4" si="8">AG1</f>
        <v>orthoclase</v>
      </c>
      <c r="AH4" s="56" t="str">
        <f t="shared" si="8"/>
        <v>albite</v>
      </c>
      <c r="AI4" s="56" t="str">
        <f t="shared" si="8"/>
        <v>anorthite</v>
      </c>
      <c r="AJ4" s="56" t="str">
        <f t="shared" si="8"/>
        <v>epidote</v>
      </c>
      <c r="AK4" s="56" t="str">
        <f t="shared" si="8"/>
        <v>amphibole</v>
      </c>
      <c r="AL4" s="56" t="str">
        <f t="shared" si="8"/>
        <v>hematite</v>
      </c>
      <c r="AM4" s="56" t="str">
        <f t="shared" si="8"/>
        <v>goethite</v>
      </c>
      <c r="AN4" s="56" t="str">
        <f t="shared" si="8"/>
        <v>gibbsite</v>
      </c>
      <c r="AO4" s="56" t="str">
        <f t="shared" si="8"/>
        <v>dolomite</v>
      </c>
      <c r="AP4" s="56" t="str">
        <f t="shared" si="8"/>
        <v>kaolin pc</v>
      </c>
      <c r="AQ4" s="56" t="str">
        <f t="shared" si="8"/>
        <v>kaolin wc</v>
      </c>
      <c r="AR4" s="56" t="str">
        <f t="shared" si="8"/>
        <v>HIV</v>
      </c>
      <c r="AS4" s="56" t="str">
        <f t="shared" si="8"/>
        <v>biotite wc</v>
      </c>
      <c r="AT4" s="56" t="str">
        <f t="shared" si="8"/>
        <v>biotite pc</v>
      </c>
      <c r="AU4" s="56" t="str">
        <f t="shared" si="8"/>
        <v>phengite</v>
      </c>
      <c r="AV4" s="56" t="str">
        <f t="shared" si="8"/>
        <v>smectite</v>
      </c>
      <c r="AW4" s="56" t="str">
        <f t="shared" si="8"/>
        <v>sillimanite</v>
      </c>
      <c r="AX4" s="56" t="str">
        <f t="shared" si="8"/>
        <v>microcline</v>
      </c>
      <c r="AY4" s="56" t="str">
        <f t="shared" si="8"/>
        <v xml:space="preserve">mineral C </v>
      </c>
      <c r="AZ4" s="56" t="str">
        <f t="shared" si="8"/>
        <v>mineral D</v>
      </c>
      <c r="BA4" s="56" t="str">
        <f t="shared" si="8"/>
        <v>mineral E</v>
      </c>
      <c r="BB4" s="56" t="str">
        <f t="shared" si="8"/>
        <v>mineral F</v>
      </c>
      <c r="BC4" s="56" t="str">
        <f t="shared" ref="BC4" si="9">BC1</f>
        <v>mineral G</v>
      </c>
      <c r="BD4" s="109" t="s">
        <v>593</v>
      </c>
      <c r="BE4" s="31" t="s">
        <v>3</v>
      </c>
      <c r="BF4" s="31" t="s">
        <v>4</v>
      </c>
      <c r="BG4" s="31" t="s">
        <v>596</v>
      </c>
      <c r="BH4" s="31" t="s">
        <v>588</v>
      </c>
      <c r="BI4" s="31" t="s">
        <v>6</v>
      </c>
      <c r="BJ4" s="31" t="s">
        <v>7</v>
      </c>
      <c r="BK4" s="31" t="s">
        <v>8</v>
      </c>
      <c r="BL4" s="31" t="s">
        <v>9</v>
      </c>
      <c r="BM4" s="31" t="s">
        <v>10</v>
      </c>
      <c r="BN4" s="31" t="s">
        <v>11</v>
      </c>
      <c r="BO4" s="31" t="s">
        <v>12</v>
      </c>
      <c r="BP4" s="31" t="s">
        <v>570</v>
      </c>
      <c r="BQ4" s="102" t="s">
        <v>571</v>
      </c>
      <c r="BR4" s="102" t="s">
        <v>14</v>
      </c>
      <c r="BS4" s="102" t="s">
        <v>467</v>
      </c>
      <c r="BT4" s="102" t="s">
        <v>603</v>
      </c>
      <c r="BU4" s="265"/>
      <c r="BV4" s="31" t="s">
        <v>3</v>
      </c>
      <c r="BW4" s="31" t="s">
        <v>4</v>
      </c>
      <c r="BX4" s="31" t="s">
        <v>596</v>
      </c>
      <c r="BY4" s="31" t="s">
        <v>588</v>
      </c>
      <c r="BZ4" s="31" t="s">
        <v>6</v>
      </c>
      <c r="CA4" s="31" t="s">
        <v>7</v>
      </c>
      <c r="CB4" s="31" t="s">
        <v>8</v>
      </c>
      <c r="CC4" s="31" t="s">
        <v>9</v>
      </c>
      <c r="CD4" s="31" t="s">
        <v>10</v>
      </c>
      <c r="CE4" s="31" t="s">
        <v>11</v>
      </c>
      <c r="CF4" s="31" t="s">
        <v>12</v>
      </c>
      <c r="CG4" s="31" t="s">
        <v>570</v>
      </c>
      <c r="CH4" s="102" t="s">
        <v>571</v>
      </c>
      <c r="CI4" s="102" t="s">
        <v>14</v>
      </c>
      <c r="CJ4" s="102" t="s">
        <v>467</v>
      </c>
    </row>
    <row r="5" spans="1:88" s="56" customFormat="1" x14ac:dyDescent="0.2">
      <c r="A5" s="31" t="s">
        <v>60</v>
      </c>
      <c r="B5" s="31" t="s">
        <v>425</v>
      </c>
      <c r="C5" s="31" t="s">
        <v>425</v>
      </c>
      <c r="D5" s="31" t="s">
        <v>425</v>
      </c>
      <c r="E5" s="105" t="s">
        <v>567</v>
      </c>
      <c r="F5" s="105" t="s">
        <v>567</v>
      </c>
      <c r="G5" s="102" t="s">
        <v>567</v>
      </c>
      <c r="H5" s="102" t="s">
        <v>567</v>
      </c>
      <c r="I5" s="102" t="s">
        <v>567</v>
      </c>
      <c r="J5" s="102" t="s">
        <v>567</v>
      </c>
      <c r="K5" s="102" t="s">
        <v>567</v>
      </c>
      <c r="L5" s="102" t="s">
        <v>567</v>
      </c>
      <c r="M5" s="102" t="s">
        <v>567</v>
      </c>
      <c r="N5" s="102" t="s">
        <v>567</v>
      </c>
      <c r="O5" s="102" t="s">
        <v>567</v>
      </c>
      <c r="P5" s="102" t="s">
        <v>567</v>
      </c>
      <c r="Q5" s="102" t="s">
        <v>567</v>
      </c>
      <c r="R5" s="102" t="s">
        <v>567</v>
      </c>
      <c r="S5" s="102" t="s">
        <v>567</v>
      </c>
      <c r="T5" s="102" t="s">
        <v>567</v>
      </c>
      <c r="U5" s="102" t="s">
        <v>567</v>
      </c>
      <c r="V5" s="102" t="s">
        <v>567</v>
      </c>
      <c r="W5" s="102" t="s">
        <v>567</v>
      </c>
      <c r="X5" s="102" t="s">
        <v>567</v>
      </c>
      <c r="Y5" s="102" t="s">
        <v>567</v>
      </c>
      <c r="Z5" s="102" t="s">
        <v>567</v>
      </c>
      <c r="AA5" s="102" t="s">
        <v>567</v>
      </c>
      <c r="AB5" s="102" t="s">
        <v>567</v>
      </c>
      <c r="AC5" s="102" t="s">
        <v>567</v>
      </c>
      <c r="AD5" s="102" t="s">
        <v>567</v>
      </c>
      <c r="AE5" s="177" t="s">
        <v>567</v>
      </c>
      <c r="AF5" s="102" t="s">
        <v>567</v>
      </c>
      <c r="AG5" s="102" t="s">
        <v>567</v>
      </c>
      <c r="AH5" s="102" t="s">
        <v>567</v>
      </c>
      <c r="AI5" s="102" t="s">
        <v>567</v>
      </c>
      <c r="AJ5" s="102" t="s">
        <v>567</v>
      </c>
      <c r="AK5" s="102" t="s">
        <v>567</v>
      </c>
      <c r="AL5" s="102" t="s">
        <v>567</v>
      </c>
      <c r="AM5" s="102" t="s">
        <v>567</v>
      </c>
      <c r="AN5" s="102" t="s">
        <v>567</v>
      </c>
      <c r="AO5" s="102" t="s">
        <v>567</v>
      </c>
      <c r="AP5" s="102" t="s">
        <v>567</v>
      </c>
      <c r="AQ5" s="102" t="s">
        <v>567</v>
      </c>
      <c r="AR5" s="102" t="s">
        <v>567</v>
      </c>
      <c r="AS5" s="102" t="s">
        <v>567</v>
      </c>
      <c r="AT5" s="102" t="s">
        <v>567</v>
      </c>
      <c r="AU5" s="102" t="s">
        <v>567</v>
      </c>
      <c r="AV5" s="102" t="s">
        <v>567</v>
      </c>
      <c r="AW5" s="102" t="s">
        <v>567</v>
      </c>
      <c r="AX5" s="102" t="s">
        <v>567</v>
      </c>
      <c r="AY5" s="102" t="s">
        <v>567</v>
      </c>
      <c r="AZ5" s="102" t="s">
        <v>567</v>
      </c>
      <c r="BA5" s="102" t="s">
        <v>567</v>
      </c>
      <c r="BB5" s="102" t="s">
        <v>567</v>
      </c>
      <c r="BC5" s="102" t="s">
        <v>567</v>
      </c>
      <c r="BD5" s="109" t="s">
        <v>594</v>
      </c>
      <c r="BE5" s="31" t="s">
        <v>61</v>
      </c>
      <c r="BF5" s="31" t="s">
        <v>61</v>
      </c>
      <c r="BG5" s="31" t="s">
        <v>61</v>
      </c>
      <c r="BH5" s="31" t="s">
        <v>61</v>
      </c>
      <c r="BI5" s="31" t="s">
        <v>61</v>
      </c>
      <c r="BJ5" s="31" t="s">
        <v>61</v>
      </c>
      <c r="BK5" s="31" t="s">
        <v>61</v>
      </c>
      <c r="BL5" s="31" t="s">
        <v>61</v>
      </c>
      <c r="BM5" s="31" t="s">
        <v>61</v>
      </c>
      <c r="BN5" s="31" t="s">
        <v>61</v>
      </c>
      <c r="BO5" s="31" t="s">
        <v>61</v>
      </c>
      <c r="BP5" s="31" t="s">
        <v>61</v>
      </c>
      <c r="BQ5" s="102" t="s">
        <v>61</v>
      </c>
      <c r="BU5" s="265"/>
      <c r="BV5" s="31" t="s">
        <v>61</v>
      </c>
      <c r="BW5" s="31" t="s">
        <v>61</v>
      </c>
      <c r="BX5" s="31" t="s">
        <v>61</v>
      </c>
      <c r="BY5" s="31" t="s">
        <v>61</v>
      </c>
      <c r="BZ5" s="31" t="s">
        <v>61</v>
      </c>
      <c r="CA5" s="31" t="s">
        <v>61</v>
      </c>
      <c r="CB5" s="31" t="s">
        <v>61</v>
      </c>
      <c r="CC5" s="31" t="s">
        <v>61</v>
      </c>
      <c r="CD5" s="31" t="s">
        <v>61</v>
      </c>
      <c r="CE5" s="31" t="s">
        <v>61</v>
      </c>
      <c r="CF5" s="31" t="s">
        <v>61</v>
      </c>
      <c r="CG5" s="31" t="s">
        <v>61</v>
      </c>
      <c r="CH5" s="102" t="s">
        <v>61</v>
      </c>
    </row>
    <row r="6" spans="1:88" x14ac:dyDescent="0.2">
      <c r="A6" s="30" t="s">
        <v>63</v>
      </c>
      <c r="B6" s="30">
        <v>1</v>
      </c>
      <c r="C6" s="30">
        <v>1</v>
      </c>
      <c r="D6" s="30">
        <v>1</v>
      </c>
    </row>
    <row r="7" spans="1:88" x14ac:dyDescent="0.2">
      <c r="A7" s="30" t="s">
        <v>64</v>
      </c>
      <c r="B7" s="30" t="s">
        <v>423</v>
      </c>
      <c r="C7" s="30" t="s">
        <v>424</v>
      </c>
      <c r="D7" s="30" t="s">
        <v>427</v>
      </c>
    </row>
    <row r="8" spans="1:88" s="61" customFormat="1" x14ac:dyDescent="0.2">
      <c r="A8" s="57" t="str">
        <f>G1</f>
        <v>quartz</v>
      </c>
      <c r="B8" s="115" t="s">
        <v>602</v>
      </c>
      <c r="C8" s="115"/>
      <c r="D8" s="115"/>
      <c r="E8" s="108">
        <v>10</v>
      </c>
      <c r="F8" s="108">
        <v>0</v>
      </c>
      <c r="G8" s="61">
        <v>90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181">
        <f>SUM(E8:AD8)</f>
        <v>100</v>
      </c>
      <c r="AF8" s="193">
        <f t="shared" ref="AF8" si="10">G8/SUM($G8:$AD8)</f>
        <v>1</v>
      </c>
      <c r="AG8" s="193">
        <f t="shared" ref="AG8" si="11">H8/SUM($G8:$AD8)</f>
        <v>0</v>
      </c>
      <c r="AH8" s="193">
        <f t="shared" ref="AH8" si="12">I8/SUM($G8:$AD8)</f>
        <v>0</v>
      </c>
      <c r="AI8" s="193">
        <f t="shared" ref="AI8" si="13">J8/SUM($G8:$AD8)</f>
        <v>0</v>
      </c>
      <c r="AJ8" s="193">
        <f t="shared" ref="AJ8" si="14">K8/SUM($G8:$AD8)</f>
        <v>0</v>
      </c>
      <c r="AK8" s="193">
        <f t="shared" ref="AK8" si="15">L8/SUM($G8:$AD8)</f>
        <v>0</v>
      </c>
      <c r="AL8" s="193">
        <f t="shared" ref="AL8" si="16">M8/SUM($G8:$AD8)</f>
        <v>0</v>
      </c>
      <c r="AM8" s="193">
        <f t="shared" ref="AM8" si="17">N8/SUM($G8:$AD8)</f>
        <v>0</v>
      </c>
      <c r="AN8" s="193">
        <f t="shared" ref="AN8" si="18">O8/SUM($G8:$AD8)</f>
        <v>0</v>
      </c>
      <c r="AO8" s="193">
        <f t="shared" ref="AO8" si="19">P8/SUM($G8:$AD8)</f>
        <v>0</v>
      </c>
      <c r="AP8" s="193">
        <f t="shared" ref="AP8" si="20">Q8/SUM($G8:$AD8)</f>
        <v>0</v>
      </c>
      <c r="AQ8" s="193">
        <f t="shared" ref="AQ8" si="21">R8/SUM($G8:$AD8)</f>
        <v>0</v>
      </c>
      <c r="AR8" s="193">
        <f t="shared" ref="AR8" si="22">S8/SUM($G8:$AD8)</f>
        <v>0</v>
      </c>
      <c r="AS8" s="193">
        <f t="shared" ref="AS8" si="23">T8/SUM($G8:$AD8)</f>
        <v>0</v>
      </c>
      <c r="AT8" s="193">
        <f t="shared" ref="AT8" si="24">U8/SUM($G8:$AD8)</f>
        <v>0</v>
      </c>
      <c r="AU8" s="193">
        <f t="shared" ref="AU8" si="25">V8/SUM($G8:$AD8)</f>
        <v>0</v>
      </c>
      <c r="AV8" s="193">
        <f t="shared" ref="AV8" si="26">W8/SUM($G8:$AD8)</f>
        <v>0</v>
      </c>
      <c r="AW8" s="193">
        <f t="shared" ref="AW8" si="27">X8/SUM($G8:$AD8)</f>
        <v>0</v>
      </c>
      <c r="AX8" s="193">
        <f t="shared" ref="AX8" si="28">Y8/SUM($G8:$AD8)</f>
        <v>0</v>
      </c>
      <c r="AY8" s="193">
        <f t="shared" ref="AY8" si="29">Z8/SUM($G8:$AD8)</f>
        <v>0</v>
      </c>
      <c r="AZ8" s="193">
        <f t="shared" ref="AZ8" si="30">AA8/SUM($G8:$AD8)</f>
        <v>0</v>
      </c>
      <c r="BA8" s="193">
        <f t="shared" ref="BA8" si="31">AB8/SUM($G8:$AD8)</f>
        <v>0</v>
      </c>
      <c r="BB8" s="193">
        <f t="shared" ref="BB8:BB40" si="32">AC8/SUM($G8:$AD8)</f>
        <v>0</v>
      </c>
      <c r="BC8" s="193">
        <f t="shared" ref="BC8:BC40" si="33">AD8/SUM($G8:$AD8)</f>
        <v>0</v>
      </c>
      <c r="BD8" s="194">
        <f>SUM(AF8:BC8)</f>
        <v>1</v>
      </c>
      <c r="BE8" s="195">
        <f>$BE$3*(AF8/$AF$2+3*AG8/$AG$2+3*AH8/$AH$2+2*AI8/$AI$2+3*AJ8/$AJ$2+AK8*7/$AK$2+AP8*2/$AP$2+2*AQ8/$AQ$2+3.24*AR8/$AR$2+3.47*AS8/$AS$2+2.8*AT8/$AT$2+3.5*AU8/$AU$2+3*AV8/$AV$2+AW8/$AW$2+3*AX8/$AX$2)</f>
        <v>0.99999999999999989</v>
      </c>
      <c r="BF8" s="193">
        <f>$BF$3*(AG8*0.5/$AG$2+AH8*0.5/$AH$2+AI8/$AI$2+AJ8*0.75*0.5/$AJ$2+AK8*0.5/$AK$2+AM8*0.1*0.5/$AM$2+AN8*0.5/$AN$2+AP8*1.95*0.5/$AP$2+AQ8/$AQ$2+AR8*(0.76+1.56+1.45)*0.5/$AR$2+AS8*2.62*0.5/$AS$2+AT8*2.03*0.5/$AT$2+AU8/$AU$2+AV8*1.4*0.5/$AV$2+AW8/$AW$2+0.5*AX8/$AX$2)</f>
        <v>0</v>
      </c>
      <c r="BG8" s="193">
        <f t="shared" ref="BG8:BG19" si="34">$BG$3*(AJ8*2.25*0.5/$AJ$2+AL8/$AL$2+AM8*0.9*0.5/$AM$2+AP8*0.05*0.5/$AP$2+AR8*0.24*0.5/$AR$2+AV8*0.3*0.5/$AV$2)</f>
        <v>0</v>
      </c>
      <c r="BH8" s="193">
        <f t="shared" ref="BH8:BH22" si="35">$BH$3*(AK8*2/$AK$2+AS8*0.39/$AS$2+AT8*0.87/$AT$2+AU8*0.25/$AU$2+AV8*0.63/$AV$2)</f>
        <v>0</v>
      </c>
      <c r="BI8" s="193">
        <v>0</v>
      </c>
      <c r="BJ8" s="193">
        <f t="shared" ref="BJ8:BJ19" si="36">$BJ$3*(AK8*2/$AK$2+AO8/$AO$2+AR8*0.2/$AR$2+AS8*0.23/$AS$2+AT8*0.56/$AT$2+AU8*0.25/$AU$2+AV8*1.21/$AV$2)</f>
        <v>0</v>
      </c>
      <c r="BK8" s="193">
        <f t="shared" ref="BK8:BK19" si="37">$BK$3*(AI8/$AI$2+AJ8/$AJ$2+AK8*2/$AK$2+AO8/$AO$2+AR8*0.08/$AR$2+AT8*0.01/$AT$2)</f>
        <v>0</v>
      </c>
      <c r="BL8" s="193">
        <f t="shared" ref="BL8:BL19" si="38">$BL$3*(0.5*AH8/$AH$2)</f>
        <v>0</v>
      </c>
      <c r="BM8" s="193">
        <f>$BM$3*(AG8*0.5/$AG$2+AR8*0.41*0.5/$AR$2+AS8*0.5/$AS$2+AT8*0.47*0.5/$AT$2+AU8*0.5/$AU$2+AV8*0.35*0.5/$AV$2+0.5*AX8/$AX$2)</f>
        <v>0</v>
      </c>
      <c r="BN8" s="193">
        <f t="shared" ref="BN8:BN19" si="39">$BN$3*(AS8*0.03/$AS$2+AT8*0.11/$AT$2+AV8*0.09/$AV$2)</f>
        <v>0</v>
      </c>
      <c r="BO8" s="193">
        <v>0</v>
      </c>
      <c r="BP8" s="193">
        <f t="shared" ref="BP8:BP19" si="40">$BP$3*(AJ8*0.5/$AJ$2+AK8/$AK$2+AM8*0.5/$AM$2+AN8*1.5/$AN$2+AP8*2/$AP$2+AQ8*2/$AQ$2+3.79*0.5*AR8/$AR$2+AR8/$AR$2+AS8/$AS$2+AT8/$AT$2+AU8/$AU$2+AV8/$AV$2)</f>
        <v>0</v>
      </c>
      <c r="BQ8" s="193">
        <f t="shared" ref="BQ8:BQ19" si="41">$BQ$3*(AO8*2/$AO$2)</f>
        <v>0</v>
      </c>
      <c r="BR8" s="193">
        <f t="shared" ref="BR8" si="42">SUM(BE8:BQ8)</f>
        <v>0.99999999999999989</v>
      </c>
      <c r="BS8" s="116"/>
      <c r="BT8" s="61" t="str">
        <f>A8</f>
        <v>quartz</v>
      </c>
      <c r="BU8" s="266">
        <f>BG8+BH8*1.09</f>
        <v>0</v>
      </c>
    </row>
    <row r="9" spans="1:88" s="61" customFormat="1" x14ac:dyDescent="0.2">
      <c r="A9" s="57" t="str">
        <f>H1</f>
        <v>orthoclase</v>
      </c>
      <c r="B9" s="115" t="s">
        <v>602</v>
      </c>
      <c r="C9" s="57"/>
      <c r="D9" s="57"/>
      <c r="E9" s="108">
        <v>10</v>
      </c>
      <c r="F9" s="108">
        <v>0</v>
      </c>
      <c r="G9" s="61">
        <v>0</v>
      </c>
      <c r="H9" s="61">
        <v>90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181">
        <f t="shared" ref="AE9:AE31" si="43">SUM(E9:AD9)</f>
        <v>100</v>
      </c>
      <c r="AF9" s="193">
        <f t="shared" ref="AF9:AF31" si="44">G9/SUM($G9:$AD9)</f>
        <v>0</v>
      </c>
      <c r="AG9" s="193">
        <f t="shared" ref="AG9:AG31" si="45">H9/SUM($G9:$AD9)</f>
        <v>1</v>
      </c>
      <c r="AH9" s="193">
        <f t="shared" ref="AH9:AH31" si="46">I9/SUM($G9:$AD9)</f>
        <v>0</v>
      </c>
      <c r="AI9" s="193">
        <f t="shared" ref="AI9:AI31" si="47">J9/SUM($G9:$AD9)</f>
        <v>0</v>
      </c>
      <c r="AJ9" s="193">
        <f t="shared" ref="AJ9:AJ31" si="48">K9/SUM($G9:$AD9)</f>
        <v>0</v>
      </c>
      <c r="AK9" s="193">
        <f t="shared" ref="AK9:AK31" si="49">L9/SUM($G9:$AD9)</f>
        <v>0</v>
      </c>
      <c r="AL9" s="193">
        <f t="shared" ref="AL9:AL31" si="50">M9/SUM($G9:$AD9)</f>
        <v>0</v>
      </c>
      <c r="AM9" s="193">
        <f t="shared" ref="AM9:AM31" si="51">N9/SUM($G9:$AD9)</f>
        <v>0</v>
      </c>
      <c r="AN9" s="193">
        <f t="shared" ref="AN9:AN31" si="52">O9/SUM($G9:$AD9)</f>
        <v>0</v>
      </c>
      <c r="AO9" s="193">
        <f t="shared" ref="AO9:AO31" si="53">P9/SUM($G9:$AD9)</f>
        <v>0</v>
      </c>
      <c r="AP9" s="193">
        <f t="shared" ref="AP9:AP31" si="54">Q9/SUM($G9:$AD9)</f>
        <v>0</v>
      </c>
      <c r="AQ9" s="193">
        <f t="shared" ref="AQ9:AQ31" si="55">R9/SUM($G9:$AD9)</f>
        <v>0</v>
      </c>
      <c r="AR9" s="193">
        <f t="shared" ref="AR9:AR31" si="56">S9/SUM($G9:$AD9)</f>
        <v>0</v>
      </c>
      <c r="AS9" s="193">
        <f t="shared" ref="AS9:AS31" si="57">T9/SUM($G9:$AD9)</f>
        <v>0</v>
      </c>
      <c r="AT9" s="193">
        <f t="shared" ref="AT9:AT31" si="58">U9/SUM($G9:$AD9)</f>
        <v>0</v>
      </c>
      <c r="AU9" s="193">
        <f t="shared" ref="AU9:AU31" si="59">V9/SUM($G9:$AD9)</f>
        <v>0</v>
      </c>
      <c r="AV9" s="193">
        <f t="shared" ref="AV9:AV31" si="60">W9/SUM($G9:$AD9)</f>
        <v>0</v>
      </c>
      <c r="AW9" s="193">
        <f t="shared" ref="AW9:AW31" si="61">X9/SUM($G9:$AD9)</f>
        <v>0</v>
      </c>
      <c r="AX9" s="193">
        <f t="shared" ref="AX9:AX31" si="62">Y9/SUM($G9:$AD9)</f>
        <v>0</v>
      </c>
      <c r="AY9" s="193">
        <f t="shared" ref="AY9:AY31" si="63">Z9/SUM($G9:$AD9)</f>
        <v>0</v>
      </c>
      <c r="AZ9" s="193">
        <f t="shared" ref="AZ9:AZ31" si="64">AA9/SUM($G9:$AD9)</f>
        <v>0</v>
      </c>
      <c r="BA9" s="193">
        <f t="shared" ref="BA9:BA31" si="65">AB9/SUM($G9:$AD9)</f>
        <v>0</v>
      </c>
      <c r="BB9" s="193">
        <f t="shared" si="32"/>
        <v>0</v>
      </c>
      <c r="BC9" s="193">
        <f t="shared" si="33"/>
        <v>0</v>
      </c>
      <c r="BD9" s="194">
        <f t="shared" ref="BD9:BD31" si="66">SUM(AF9:BC9)</f>
        <v>1</v>
      </c>
      <c r="BE9" s="195">
        <f t="shared" ref="BE9:BE72" si="67">$BE$3*(AF9/$AF$2+3*AG9/$AG$2+3*AH9/$AH$2+2*AI9/$AI$2+3*AJ9/$AJ$2+AK9*7/$AK$2+AP9*2/$AP$2+2*AQ9/$AQ$2+3.24*AR9/$AR$2+3.47*AS9/$AS$2+2.8*AT9/$AT$2+3.5*AU9/$AU$2+3*AV9/$AV$2+AW9/$AW$2+3*AX9/$AX$2)</f>
        <v>0.64748589296625092</v>
      </c>
      <c r="BF9" s="195">
        <f t="shared" ref="BF9:BF72" si="68">$BF$3*(AG9*0.5/$AG$2+AH9*0.5/$AH$2+AI9/$AI$2+AJ9*0.75*0.5/$AJ$2+AK9*0.5/$AK$2+AM9*0.1*0.5/$AM$2+AN9*0.5/$AN$2+AP9*1.95*0.5/$AP$2+AQ9/$AQ$2+AR9*(0.76+1.56+1.45)*0.5/$AR$2+AS9*2.62*0.5/$AS$2+AT9*2.03*0.5/$AT$2+AU9/$AU$2+AV9*1.4*0.5/$AV$2+AW9/$AW$2+0.5*AX9/$AX$2)</f>
        <v>0.18326564353232938</v>
      </c>
      <c r="BG9" s="193">
        <f t="shared" si="34"/>
        <v>0</v>
      </c>
      <c r="BH9" s="193">
        <f t="shared" si="35"/>
        <v>0</v>
      </c>
      <c r="BI9" s="193">
        <v>0</v>
      </c>
      <c r="BJ9" s="193">
        <f t="shared" si="36"/>
        <v>0</v>
      </c>
      <c r="BK9" s="193">
        <f t="shared" si="37"/>
        <v>0</v>
      </c>
      <c r="BL9" s="193">
        <f t="shared" si="38"/>
        <v>0</v>
      </c>
      <c r="BM9" s="195">
        <f t="shared" ref="BM9:BM72" si="69">$BM$3*(AG9*0.5/$AG$2+AR9*0.41*0.5/$AR$2+AS9*0.5/$AS$2+AT9*0.47*0.5/$AT$2+AU9*0.5/$AU$2+AV9*0.35*0.5/$AV$2+0.5*AX9/$AX$2)</f>
        <v>0.16924846350141973</v>
      </c>
      <c r="BN9" s="193">
        <f t="shared" si="39"/>
        <v>0</v>
      </c>
      <c r="BO9" s="193">
        <v>0</v>
      </c>
      <c r="BP9" s="193">
        <f t="shared" si="40"/>
        <v>0</v>
      </c>
      <c r="BQ9" s="193">
        <f t="shared" si="41"/>
        <v>0</v>
      </c>
      <c r="BR9" s="193">
        <f t="shared" ref="BR9" si="70">SUM(BE9:BQ9)</f>
        <v>1</v>
      </c>
      <c r="BS9" s="116">
        <f>100*BF9/(BF9+BK9+BL9+BM9)</f>
        <v>51.988172920065253</v>
      </c>
      <c r="BT9" s="61" t="str">
        <f t="shared" ref="BT9:BT40" si="71">A9</f>
        <v>orthoclase</v>
      </c>
      <c r="BU9" s="266">
        <f t="shared" ref="BU9:BU72" si="72">BG9+BH9*1.09</f>
        <v>0</v>
      </c>
    </row>
    <row r="10" spans="1:88" s="61" customFormat="1" x14ac:dyDescent="0.2">
      <c r="A10" s="57" t="str">
        <f>I1</f>
        <v>albite</v>
      </c>
      <c r="B10" s="115" t="s">
        <v>602</v>
      </c>
      <c r="C10" s="57"/>
      <c r="D10" s="57"/>
      <c r="E10" s="108">
        <v>10</v>
      </c>
      <c r="F10" s="108">
        <v>0</v>
      </c>
      <c r="G10" s="61">
        <v>0</v>
      </c>
      <c r="H10" s="61">
        <v>0</v>
      </c>
      <c r="I10" s="61">
        <v>90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181">
        <f t="shared" si="43"/>
        <v>100</v>
      </c>
      <c r="AF10" s="193">
        <f t="shared" si="44"/>
        <v>0</v>
      </c>
      <c r="AG10" s="193">
        <f t="shared" si="45"/>
        <v>0</v>
      </c>
      <c r="AH10" s="193">
        <f t="shared" si="46"/>
        <v>1</v>
      </c>
      <c r="AI10" s="193">
        <f t="shared" si="47"/>
        <v>0</v>
      </c>
      <c r="AJ10" s="193">
        <f t="shared" si="48"/>
        <v>0</v>
      </c>
      <c r="AK10" s="193">
        <f t="shared" si="49"/>
        <v>0</v>
      </c>
      <c r="AL10" s="193">
        <f t="shared" si="50"/>
        <v>0</v>
      </c>
      <c r="AM10" s="193">
        <f t="shared" si="51"/>
        <v>0</v>
      </c>
      <c r="AN10" s="193">
        <f t="shared" si="52"/>
        <v>0</v>
      </c>
      <c r="AO10" s="193">
        <f t="shared" si="53"/>
        <v>0</v>
      </c>
      <c r="AP10" s="193">
        <f t="shared" si="54"/>
        <v>0</v>
      </c>
      <c r="AQ10" s="193">
        <f t="shared" si="55"/>
        <v>0</v>
      </c>
      <c r="AR10" s="193">
        <f t="shared" si="56"/>
        <v>0</v>
      </c>
      <c r="AS10" s="193">
        <f t="shared" si="57"/>
        <v>0</v>
      </c>
      <c r="AT10" s="193">
        <f t="shared" si="58"/>
        <v>0</v>
      </c>
      <c r="AU10" s="193">
        <f t="shared" si="59"/>
        <v>0</v>
      </c>
      <c r="AV10" s="193">
        <f t="shared" si="60"/>
        <v>0</v>
      </c>
      <c r="AW10" s="193">
        <f t="shared" si="61"/>
        <v>0</v>
      </c>
      <c r="AX10" s="193">
        <f t="shared" si="62"/>
        <v>0</v>
      </c>
      <c r="AY10" s="193">
        <f t="shared" si="63"/>
        <v>0</v>
      </c>
      <c r="AZ10" s="193">
        <f t="shared" si="64"/>
        <v>0</v>
      </c>
      <c r="BA10" s="193">
        <f t="shared" si="65"/>
        <v>0</v>
      </c>
      <c r="BB10" s="193">
        <f t="shared" si="32"/>
        <v>0</v>
      </c>
      <c r="BC10" s="193">
        <f t="shared" si="33"/>
        <v>0</v>
      </c>
      <c r="BD10" s="194">
        <f t="shared" si="66"/>
        <v>1</v>
      </c>
      <c r="BE10" s="195">
        <f t="shared" si="67"/>
        <v>0.68725441574791135</v>
      </c>
      <c r="BF10" s="195">
        <f t="shared" si="68"/>
        <v>0.19452180215923395</v>
      </c>
      <c r="BG10" s="193">
        <f t="shared" si="34"/>
        <v>0</v>
      </c>
      <c r="BH10" s="193">
        <f t="shared" si="35"/>
        <v>0</v>
      </c>
      <c r="BI10" s="193">
        <v>0</v>
      </c>
      <c r="BJ10" s="193">
        <f t="shared" si="36"/>
        <v>0</v>
      </c>
      <c r="BK10" s="193">
        <f t="shared" si="37"/>
        <v>0</v>
      </c>
      <c r="BL10" s="195">
        <f t="shared" si="38"/>
        <v>0.11822378209285468</v>
      </c>
      <c r="BM10" s="193">
        <f t="shared" si="69"/>
        <v>0</v>
      </c>
      <c r="BN10" s="193">
        <f t="shared" si="39"/>
        <v>0</v>
      </c>
      <c r="BO10" s="193">
        <v>0</v>
      </c>
      <c r="BP10" s="193">
        <f t="shared" si="40"/>
        <v>0</v>
      </c>
      <c r="BQ10" s="193">
        <f t="shared" si="41"/>
        <v>0</v>
      </c>
      <c r="BR10" s="193">
        <f t="shared" ref="BR10" si="73">SUM(BE10:BQ10)</f>
        <v>1</v>
      </c>
      <c r="BS10" s="116">
        <f t="shared" ref="BS10" si="74">100*BF10/(BF10+BK10+BL10+BM10)</f>
        <v>62.198097096852884</v>
      </c>
      <c r="BT10" s="61" t="str">
        <f t="shared" si="71"/>
        <v>albite</v>
      </c>
      <c r="BU10" s="266">
        <f t="shared" si="72"/>
        <v>0</v>
      </c>
    </row>
    <row r="11" spans="1:88" s="61" customFormat="1" x14ac:dyDescent="0.2">
      <c r="A11" s="57" t="str">
        <f>J1</f>
        <v>anorthite</v>
      </c>
      <c r="B11" s="115" t="s">
        <v>602</v>
      </c>
      <c r="C11" s="57"/>
      <c r="D11" s="57"/>
      <c r="E11" s="108">
        <v>10</v>
      </c>
      <c r="F11" s="108">
        <v>0</v>
      </c>
      <c r="G11" s="61">
        <v>0</v>
      </c>
      <c r="H11" s="61">
        <v>0</v>
      </c>
      <c r="I11" s="61">
        <v>0</v>
      </c>
      <c r="J11" s="61">
        <v>90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181">
        <f t="shared" si="43"/>
        <v>100</v>
      </c>
      <c r="AF11" s="193">
        <f t="shared" si="44"/>
        <v>0</v>
      </c>
      <c r="AG11" s="193">
        <f t="shared" si="45"/>
        <v>0</v>
      </c>
      <c r="AH11" s="193">
        <f t="shared" si="46"/>
        <v>0</v>
      </c>
      <c r="AI11" s="193">
        <f t="shared" si="47"/>
        <v>1</v>
      </c>
      <c r="AJ11" s="193">
        <f t="shared" si="48"/>
        <v>0</v>
      </c>
      <c r="AK11" s="193">
        <f t="shared" si="49"/>
        <v>0</v>
      </c>
      <c r="AL11" s="193">
        <f t="shared" si="50"/>
        <v>0</v>
      </c>
      <c r="AM11" s="193">
        <f t="shared" si="51"/>
        <v>0</v>
      </c>
      <c r="AN11" s="193">
        <f t="shared" si="52"/>
        <v>0</v>
      </c>
      <c r="AO11" s="193">
        <f t="shared" si="53"/>
        <v>0</v>
      </c>
      <c r="AP11" s="193">
        <f t="shared" si="54"/>
        <v>0</v>
      </c>
      <c r="AQ11" s="193">
        <f t="shared" si="55"/>
        <v>0</v>
      </c>
      <c r="AR11" s="193">
        <f t="shared" si="56"/>
        <v>0</v>
      </c>
      <c r="AS11" s="193">
        <f t="shared" si="57"/>
        <v>0</v>
      </c>
      <c r="AT11" s="193">
        <f t="shared" si="58"/>
        <v>0</v>
      </c>
      <c r="AU11" s="193">
        <f t="shared" si="59"/>
        <v>0</v>
      </c>
      <c r="AV11" s="193">
        <f t="shared" si="60"/>
        <v>0</v>
      </c>
      <c r="AW11" s="193">
        <f t="shared" si="61"/>
        <v>0</v>
      </c>
      <c r="AX11" s="193">
        <f t="shared" si="62"/>
        <v>0</v>
      </c>
      <c r="AY11" s="193">
        <f t="shared" si="63"/>
        <v>0</v>
      </c>
      <c r="AZ11" s="193">
        <f t="shared" si="64"/>
        <v>0</v>
      </c>
      <c r="BA11" s="193">
        <f t="shared" si="65"/>
        <v>0</v>
      </c>
      <c r="BB11" s="193">
        <f t="shared" si="32"/>
        <v>0</v>
      </c>
      <c r="BC11" s="193">
        <f t="shared" si="33"/>
        <v>0</v>
      </c>
      <c r="BD11" s="194">
        <f t="shared" si="66"/>
        <v>1</v>
      </c>
      <c r="BE11" s="195">
        <f t="shared" si="67"/>
        <v>0.43176899460019119</v>
      </c>
      <c r="BF11" s="195">
        <f t="shared" si="68"/>
        <v>0.36662616210930471</v>
      </c>
      <c r="BG11" s="193">
        <f t="shared" si="34"/>
        <v>0</v>
      </c>
      <c r="BH11" s="193">
        <f t="shared" si="35"/>
        <v>0</v>
      </c>
      <c r="BI11" s="193">
        <v>0</v>
      </c>
      <c r="BJ11" s="193">
        <f t="shared" si="36"/>
        <v>0</v>
      </c>
      <c r="BK11" s="195">
        <f t="shared" si="37"/>
        <v>0.20160484329050396</v>
      </c>
      <c r="BL11" s="193">
        <f t="shared" si="38"/>
        <v>0</v>
      </c>
      <c r="BM11" s="193">
        <f t="shared" si="69"/>
        <v>0</v>
      </c>
      <c r="BN11" s="193">
        <f t="shared" si="39"/>
        <v>0</v>
      </c>
      <c r="BO11" s="193">
        <v>0</v>
      </c>
      <c r="BP11" s="193">
        <f t="shared" si="40"/>
        <v>0</v>
      </c>
      <c r="BQ11" s="193">
        <f t="shared" si="41"/>
        <v>0</v>
      </c>
      <c r="BR11" s="193">
        <f t="shared" ref="BR11" si="75">SUM(BE11:BQ11)</f>
        <v>0.99999999999999989</v>
      </c>
      <c r="BS11" s="116">
        <f t="shared" ref="BS11" si="76">100*BF11/(BF11+BK11+BL11+BM11)</f>
        <v>64.520619013273617</v>
      </c>
      <c r="BT11" s="61" t="str">
        <f t="shared" si="71"/>
        <v>anorthite</v>
      </c>
      <c r="BU11" s="266">
        <f t="shared" si="72"/>
        <v>0</v>
      </c>
    </row>
    <row r="12" spans="1:88" s="61" customFormat="1" x14ac:dyDescent="0.2">
      <c r="A12" s="57" t="str">
        <f>K1</f>
        <v>epidote</v>
      </c>
      <c r="B12" s="115" t="s">
        <v>602</v>
      </c>
      <c r="C12" s="57"/>
      <c r="D12" s="57"/>
      <c r="E12" s="108">
        <v>10</v>
      </c>
      <c r="F12" s="108">
        <v>0</v>
      </c>
      <c r="G12" s="61">
        <v>0</v>
      </c>
      <c r="H12" s="61">
        <v>0</v>
      </c>
      <c r="I12" s="61">
        <v>0</v>
      </c>
      <c r="J12" s="61">
        <v>0</v>
      </c>
      <c r="K12" s="61">
        <v>90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181">
        <f t="shared" si="43"/>
        <v>100</v>
      </c>
      <c r="AF12" s="193">
        <f t="shared" si="44"/>
        <v>0</v>
      </c>
      <c r="AG12" s="193">
        <f t="shared" si="45"/>
        <v>0</v>
      </c>
      <c r="AH12" s="193">
        <f t="shared" si="46"/>
        <v>0</v>
      </c>
      <c r="AI12" s="193">
        <f t="shared" si="47"/>
        <v>0</v>
      </c>
      <c r="AJ12" s="193">
        <f t="shared" si="48"/>
        <v>1</v>
      </c>
      <c r="AK12" s="193">
        <f t="shared" si="49"/>
        <v>0</v>
      </c>
      <c r="AL12" s="193">
        <f t="shared" si="50"/>
        <v>0</v>
      </c>
      <c r="AM12" s="193">
        <f t="shared" si="51"/>
        <v>0</v>
      </c>
      <c r="AN12" s="193">
        <f t="shared" si="52"/>
        <v>0</v>
      </c>
      <c r="AO12" s="193">
        <f t="shared" si="53"/>
        <v>0</v>
      </c>
      <c r="AP12" s="193">
        <f t="shared" si="54"/>
        <v>0</v>
      </c>
      <c r="AQ12" s="193">
        <f t="shared" si="55"/>
        <v>0</v>
      </c>
      <c r="AR12" s="193">
        <f t="shared" si="56"/>
        <v>0</v>
      </c>
      <c r="AS12" s="193">
        <f t="shared" si="57"/>
        <v>0</v>
      </c>
      <c r="AT12" s="193">
        <f t="shared" si="58"/>
        <v>0</v>
      </c>
      <c r="AU12" s="193">
        <f t="shared" si="59"/>
        <v>0</v>
      </c>
      <c r="AV12" s="193">
        <f t="shared" si="60"/>
        <v>0</v>
      </c>
      <c r="AW12" s="193">
        <f t="shared" si="61"/>
        <v>0</v>
      </c>
      <c r="AX12" s="193">
        <f t="shared" si="62"/>
        <v>0</v>
      </c>
      <c r="AY12" s="193">
        <f t="shared" si="63"/>
        <v>0</v>
      </c>
      <c r="AZ12" s="193">
        <f t="shared" si="64"/>
        <v>0</v>
      </c>
      <c r="BA12" s="193">
        <f t="shared" si="65"/>
        <v>0</v>
      </c>
      <c r="BB12" s="193">
        <f t="shared" si="32"/>
        <v>0</v>
      </c>
      <c r="BC12" s="193">
        <f t="shared" si="33"/>
        <v>0</v>
      </c>
      <c r="BD12" s="194">
        <f t="shared" si="66"/>
        <v>1</v>
      </c>
      <c r="BE12" s="195">
        <f t="shared" si="67"/>
        <v>0.38898680435410432</v>
      </c>
      <c r="BF12" s="195">
        <f t="shared" si="68"/>
        <v>8.2574675911805909E-2</v>
      </c>
      <c r="BG12" s="195">
        <f t="shared" si="34"/>
        <v>0.38791960075681314</v>
      </c>
      <c r="BH12" s="193">
        <f t="shared" si="35"/>
        <v>0</v>
      </c>
      <c r="BI12" s="193">
        <v>0</v>
      </c>
      <c r="BJ12" s="193">
        <f t="shared" si="36"/>
        <v>0</v>
      </c>
      <c r="BK12" s="195">
        <f t="shared" si="37"/>
        <v>0.12108577304784604</v>
      </c>
      <c r="BL12" s="193">
        <f t="shared" si="38"/>
        <v>0</v>
      </c>
      <c r="BM12" s="193">
        <f t="shared" si="69"/>
        <v>0</v>
      </c>
      <c r="BN12" s="193">
        <f t="shared" si="39"/>
        <v>0</v>
      </c>
      <c r="BO12" s="193">
        <v>0</v>
      </c>
      <c r="BP12" s="195">
        <f t="shared" si="40"/>
        <v>1.9433145929430691E-2</v>
      </c>
      <c r="BQ12" s="193">
        <f t="shared" si="41"/>
        <v>0</v>
      </c>
      <c r="BR12" s="193">
        <f t="shared" ref="BR12:BR13" si="77">SUM(BE12:BQ12)</f>
        <v>1.0000000000000002</v>
      </c>
      <c r="BS12" s="116">
        <f t="shared" ref="BS12:BS26" si="78">100*BF12/(BF12+BK12+BL12+BM12)</f>
        <v>40.545268525930197</v>
      </c>
      <c r="BT12" s="61" t="str">
        <f t="shared" si="71"/>
        <v>epidote</v>
      </c>
      <c r="BU12" s="266">
        <f t="shared" si="72"/>
        <v>0.38791960075681314</v>
      </c>
    </row>
    <row r="13" spans="1:88" s="61" customFormat="1" x14ac:dyDescent="0.2">
      <c r="A13" s="57" t="str">
        <f>L1</f>
        <v>amphibole</v>
      </c>
      <c r="B13" s="115" t="s">
        <v>602</v>
      </c>
      <c r="C13" s="57"/>
      <c r="D13" s="57"/>
      <c r="E13" s="108">
        <v>10</v>
      </c>
      <c r="F13" s="108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90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181">
        <f t="shared" si="43"/>
        <v>100</v>
      </c>
      <c r="AF13" s="193">
        <f t="shared" si="44"/>
        <v>0</v>
      </c>
      <c r="AG13" s="193">
        <f t="shared" si="45"/>
        <v>0</v>
      </c>
      <c r="AH13" s="193">
        <f t="shared" si="46"/>
        <v>0</v>
      </c>
      <c r="AI13" s="193">
        <f t="shared" si="47"/>
        <v>0</v>
      </c>
      <c r="AJ13" s="193">
        <f t="shared" si="48"/>
        <v>0</v>
      </c>
      <c r="AK13" s="193">
        <f t="shared" si="49"/>
        <v>1</v>
      </c>
      <c r="AL13" s="193">
        <f t="shared" si="50"/>
        <v>0</v>
      </c>
      <c r="AM13" s="193">
        <f t="shared" si="51"/>
        <v>0</v>
      </c>
      <c r="AN13" s="193">
        <f t="shared" si="52"/>
        <v>0</v>
      </c>
      <c r="AO13" s="193">
        <f t="shared" si="53"/>
        <v>0</v>
      </c>
      <c r="AP13" s="193">
        <f t="shared" si="54"/>
        <v>0</v>
      </c>
      <c r="AQ13" s="193">
        <f t="shared" si="55"/>
        <v>0</v>
      </c>
      <c r="AR13" s="193">
        <f t="shared" si="56"/>
        <v>0</v>
      </c>
      <c r="AS13" s="193">
        <f t="shared" si="57"/>
        <v>0</v>
      </c>
      <c r="AT13" s="193">
        <f t="shared" si="58"/>
        <v>0</v>
      </c>
      <c r="AU13" s="193">
        <f t="shared" si="59"/>
        <v>0</v>
      </c>
      <c r="AV13" s="193">
        <f t="shared" si="60"/>
        <v>0</v>
      </c>
      <c r="AW13" s="193">
        <f t="shared" si="61"/>
        <v>0</v>
      </c>
      <c r="AX13" s="193">
        <f t="shared" si="62"/>
        <v>0</v>
      </c>
      <c r="AY13" s="193">
        <f t="shared" si="63"/>
        <v>0</v>
      </c>
      <c r="AZ13" s="193">
        <f t="shared" si="64"/>
        <v>0</v>
      </c>
      <c r="BA13" s="193">
        <f t="shared" si="65"/>
        <v>0</v>
      </c>
      <c r="BB13" s="193">
        <f t="shared" si="32"/>
        <v>0</v>
      </c>
      <c r="BC13" s="193">
        <f t="shared" si="33"/>
        <v>0</v>
      </c>
      <c r="BD13" s="194">
        <f t="shared" si="66"/>
        <v>1</v>
      </c>
      <c r="BE13" s="195">
        <f t="shared" si="67"/>
        <v>0.50785554116487219</v>
      </c>
      <c r="BF13" s="195">
        <f t="shared" si="68"/>
        <v>6.1604743770659762E-2</v>
      </c>
      <c r="BG13" s="193">
        <f t="shared" si="34"/>
        <v>0</v>
      </c>
      <c r="BH13" s="195">
        <f t="shared" si="35"/>
        <v>0.17590999594053858</v>
      </c>
      <c r="BI13" s="193">
        <v>0</v>
      </c>
      <c r="BJ13" s="195">
        <f t="shared" si="36"/>
        <v>9.7378747752798145E-2</v>
      </c>
      <c r="BK13" s="195">
        <f t="shared" si="37"/>
        <v>0.13550385648837257</v>
      </c>
      <c r="BL13" s="193">
        <f t="shared" si="38"/>
        <v>0</v>
      </c>
      <c r="BM13" s="193">
        <f t="shared" si="69"/>
        <v>0</v>
      </c>
      <c r="BN13" s="193">
        <f t="shared" si="39"/>
        <v>0</v>
      </c>
      <c r="BO13" s="193">
        <v>0</v>
      </c>
      <c r="BP13" s="195">
        <f t="shared" si="40"/>
        <v>2.1747114882758892E-2</v>
      </c>
      <c r="BQ13" s="193">
        <f t="shared" si="41"/>
        <v>0</v>
      </c>
      <c r="BR13" s="193">
        <f t="shared" si="77"/>
        <v>1</v>
      </c>
      <c r="BS13" s="116">
        <f t="shared" si="78"/>
        <v>31.254214016892846</v>
      </c>
      <c r="BT13" s="61" t="str">
        <f t="shared" si="71"/>
        <v>amphibole</v>
      </c>
      <c r="BU13" s="266">
        <f t="shared" si="72"/>
        <v>0.19174189557518706</v>
      </c>
    </row>
    <row r="14" spans="1:88" s="61" customFormat="1" x14ac:dyDescent="0.2">
      <c r="A14" s="57" t="str">
        <f>M1</f>
        <v>hematite</v>
      </c>
      <c r="B14" s="115" t="s">
        <v>602</v>
      </c>
      <c r="C14" s="57"/>
      <c r="D14" s="57"/>
      <c r="E14" s="108">
        <v>10</v>
      </c>
      <c r="F14" s="108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90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181">
        <f t="shared" si="43"/>
        <v>100</v>
      </c>
      <c r="AF14" s="193">
        <f t="shared" si="44"/>
        <v>0</v>
      </c>
      <c r="AG14" s="193">
        <f t="shared" si="45"/>
        <v>0</v>
      </c>
      <c r="AH14" s="193">
        <f t="shared" si="46"/>
        <v>0</v>
      </c>
      <c r="AI14" s="193">
        <f t="shared" si="47"/>
        <v>0</v>
      </c>
      <c r="AJ14" s="193">
        <f t="shared" si="48"/>
        <v>0</v>
      </c>
      <c r="AK14" s="193">
        <f t="shared" si="49"/>
        <v>0</v>
      </c>
      <c r="AL14" s="193">
        <f t="shared" si="50"/>
        <v>1</v>
      </c>
      <c r="AM14" s="193">
        <f t="shared" si="51"/>
        <v>0</v>
      </c>
      <c r="AN14" s="193">
        <f t="shared" si="52"/>
        <v>0</v>
      </c>
      <c r="AO14" s="193">
        <f t="shared" si="53"/>
        <v>0</v>
      </c>
      <c r="AP14" s="193">
        <f t="shared" si="54"/>
        <v>0</v>
      </c>
      <c r="AQ14" s="193">
        <f t="shared" si="55"/>
        <v>0</v>
      </c>
      <c r="AR14" s="193">
        <f t="shared" si="56"/>
        <v>0</v>
      </c>
      <c r="AS14" s="193">
        <f t="shared" si="57"/>
        <v>0</v>
      </c>
      <c r="AT14" s="193">
        <f t="shared" si="58"/>
        <v>0</v>
      </c>
      <c r="AU14" s="193">
        <f t="shared" si="59"/>
        <v>0</v>
      </c>
      <c r="AV14" s="193">
        <f t="shared" si="60"/>
        <v>0</v>
      </c>
      <c r="AW14" s="193">
        <f t="shared" si="61"/>
        <v>0</v>
      </c>
      <c r="AX14" s="193">
        <f t="shared" si="62"/>
        <v>0</v>
      </c>
      <c r="AY14" s="193">
        <f t="shared" si="63"/>
        <v>0</v>
      </c>
      <c r="AZ14" s="193">
        <f t="shared" si="64"/>
        <v>0</v>
      </c>
      <c r="BA14" s="193">
        <f t="shared" si="65"/>
        <v>0</v>
      </c>
      <c r="BB14" s="193">
        <f t="shared" si="32"/>
        <v>0</v>
      </c>
      <c r="BC14" s="193">
        <f t="shared" si="33"/>
        <v>0</v>
      </c>
      <c r="BD14" s="194">
        <f t="shared" si="66"/>
        <v>1</v>
      </c>
      <c r="BE14" s="195">
        <f t="shared" si="67"/>
        <v>0</v>
      </c>
      <c r="BF14" s="195">
        <f t="shared" si="68"/>
        <v>0</v>
      </c>
      <c r="BG14" s="195">
        <f t="shared" si="34"/>
        <v>1</v>
      </c>
      <c r="BH14" s="193">
        <f t="shared" si="35"/>
        <v>0</v>
      </c>
      <c r="BI14" s="193">
        <v>0</v>
      </c>
      <c r="BJ14" s="193">
        <f t="shared" si="36"/>
        <v>0</v>
      </c>
      <c r="BK14" s="193">
        <f t="shared" si="37"/>
        <v>0</v>
      </c>
      <c r="BL14" s="193">
        <f t="shared" si="38"/>
        <v>0</v>
      </c>
      <c r="BM14" s="193">
        <f t="shared" si="69"/>
        <v>0</v>
      </c>
      <c r="BN14" s="193">
        <f t="shared" si="39"/>
        <v>0</v>
      </c>
      <c r="BO14" s="193">
        <v>0</v>
      </c>
      <c r="BP14" s="193">
        <f t="shared" si="40"/>
        <v>0</v>
      </c>
      <c r="BQ14" s="193">
        <f t="shared" si="41"/>
        <v>0</v>
      </c>
      <c r="BR14" s="193">
        <f t="shared" ref="BR14" si="79">SUM(BE14:BQ14)</f>
        <v>1</v>
      </c>
      <c r="BS14" s="116"/>
      <c r="BT14" s="61" t="str">
        <f t="shared" si="71"/>
        <v>hematite</v>
      </c>
      <c r="BU14" s="266">
        <f t="shared" si="72"/>
        <v>1</v>
      </c>
    </row>
    <row r="15" spans="1:88" s="61" customFormat="1" x14ac:dyDescent="0.2">
      <c r="A15" s="57" t="str">
        <f>N1</f>
        <v>goethite</v>
      </c>
      <c r="B15" s="115" t="s">
        <v>602</v>
      </c>
      <c r="C15" s="57"/>
      <c r="D15" s="57"/>
      <c r="E15" s="108">
        <v>10</v>
      </c>
      <c r="F15" s="108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90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181">
        <f t="shared" si="43"/>
        <v>100</v>
      </c>
      <c r="AF15" s="193">
        <f t="shared" si="44"/>
        <v>0</v>
      </c>
      <c r="AG15" s="193">
        <f t="shared" si="45"/>
        <v>0</v>
      </c>
      <c r="AH15" s="193">
        <f t="shared" si="46"/>
        <v>0</v>
      </c>
      <c r="AI15" s="193">
        <f t="shared" si="47"/>
        <v>0</v>
      </c>
      <c r="AJ15" s="193">
        <f t="shared" si="48"/>
        <v>0</v>
      </c>
      <c r="AK15" s="193">
        <f t="shared" si="49"/>
        <v>0</v>
      </c>
      <c r="AL15" s="193">
        <f t="shared" si="50"/>
        <v>0</v>
      </c>
      <c r="AM15" s="193">
        <f t="shared" si="51"/>
        <v>1</v>
      </c>
      <c r="AN15" s="193">
        <f t="shared" si="52"/>
        <v>0</v>
      </c>
      <c r="AO15" s="193">
        <f t="shared" si="53"/>
        <v>0</v>
      </c>
      <c r="AP15" s="193">
        <f t="shared" si="54"/>
        <v>0</v>
      </c>
      <c r="AQ15" s="193">
        <f t="shared" si="55"/>
        <v>0</v>
      </c>
      <c r="AR15" s="193">
        <f t="shared" si="56"/>
        <v>0</v>
      </c>
      <c r="AS15" s="193">
        <f t="shared" si="57"/>
        <v>0</v>
      </c>
      <c r="AT15" s="193">
        <f t="shared" si="58"/>
        <v>0</v>
      </c>
      <c r="AU15" s="193">
        <f t="shared" si="59"/>
        <v>0</v>
      </c>
      <c r="AV15" s="193">
        <f t="shared" si="60"/>
        <v>0</v>
      </c>
      <c r="AW15" s="193">
        <f t="shared" si="61"/>
        <v>0</v>
      </c>
      <c r="AX15" s="193">
        <f t="shared" si="62"/>
        <v>0</v>
      </c>
      <c r="AY15" s="193">
        <f t="shared" si="63"/>
        <v>0</v>
      </c>
      <c r="AZ15" s="193">
        <f t="shared" si="64"/>
        <v>0</v>
      </c>
      <c r="BA15" s="193">
        <f t="shared" si="65"/>
        <v>0</v>
      </c>
      <c r="BB15" s="193">
        <f t="shared" si="32"/>
        <v>0</v>
      </c>
      <c r="BC15" s="193">
        <f t="shared" si="33"/>
        <v>0</v>
      </c>
      <c r="BD15" s="194">
        <f t="shared" si="66"/>
        <v>1</v>
      </c>
      <c r="BE15" s="195">
        <f t="shared" si="67"/>
        <v>0</v>
      </c>
      <c r="BF15" s="195">
        <f t="shared" si="68"/>
        <v>5.9317390500143667E-2</v>
      </c>
      <c r="BG15" s="195">
        <f t="shared" si="34"/>
        <v>0.83598433248450177</v>
      </c>
      <c r="BH15" s="193">
        <f t="shared" si="35"/>
        <v>0</v>
      </c>
      <c r="BI15" s="193">
        <v>0</v>
      </c>
      <c r="BJ15" s="193">
        <f t="shared" si="36"/>
        <v>0</v>
      </c>
      <c r="BK15" s="193">
        <f t="shared" si="37"/>
        <v>0</v>
      </c>
      <c r="BL15" s="193">
        <f t="shared" si="38"/>
        <v>0</v>
      </c>
      <c r="BM15" s="193">
        <f t="shared" si="69"/>
        <v>0</v>
      </c>
      <c r="BN15" s="193">
        <f t="shared" si="39"/>
        <v>0</v>
      </c>
      <c r="BO15" s="193">
        <v>0</v>
      </c>
      <c r="BP15" s="195">
        <f t="shared" si="40"/>
        <v>0.10469827701535458</v>
      </c>
      <c r="BQ15" s="193">
        <f t="shared" si="41"/>
        <v>0</v>
      </c>
      <c r="BR15" s="193">
        <f t="shared" ref="BR15" si="80">SUM(BE15:BQ15)</f>
        <v>1</v>
      </c>
      <c r="BS15" s="116">
        <f t="shared" si="78"/>
        <v>100</v>
      </c>
      <c r="BT15" s="61" t="str">
        <f t="shared" si="71"/>
        <v>goethite</v>
      </c>
      <c r="BU15" s="266">
        <f t="shared" si="72"/>
        <v>0.83598433248450177</v>
      </c>
    </row>
    <row r="16" spans="1:88" s="61" customFormat="1" x14ac:dyDescent="0.2">
      <c r="A16" s="57" t="str">
        <f>O1</f>
        <v>gibbsite</v>
      </c>
      <c r="B16" s="115" t="s">
        <v>602</v>
      </c>
      <c r="C16" s="57"/>
      <c r="D16" s="57"/>
      <c r="E16" s="108">
        <v>10</v>
      </c>
      <c r="F16" s="108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90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181">
        <f t="shared" si="43"/>
        <v>100</v>
      </c>
      <c r="AF16" s="193">
        <f t="shared" si="44"/>
        <v>0</v>
      </c>
      <c r="AG16" s="193">
        <f t="shared" si="45"/>
        <v>0</v>
      </c>
      <c r="AH16" s="193">
        <f t="shared" si="46"/>
        <v>0</v>
      </c>
      <c r="AI16" s="193">
        <f t="shared" si="47"/>
        <v>0</v>
      </c>
      <c r="AJ16" s="193">
        <f t="shared" si="48"/>
        <v>0</v>
      </c>
      <c r="AK16" s="193">
        <f t="shared" si="49"/>
        <v>0</v>
      </c>
      <c r="AL16" s="193">
        <f t="shared" si="50"/>
        <v>0</v>
      </c>
      <c r="AM16" s="193">
        <f t="shared" si="51"/>
        <v>0</v>
      </c>
      <c r="AN16" s="193">
        <f t="shared" si="52"/>
        <v>1</v>
      </c>
      <c r="AO16" s="193">
        <f t="shared" si="53"/>
        <v>0</v>
      </c>
      <c r="AP16" s="193">
        <f t="shared" si="54"/>
        <v>0</v>
      </c>
      <c r="AQ16" s="193">
        <f t="shared" si="55"/>
        <v>0</v>
      </c>
      <c r="AR16" s="193">
        <f t="shared" si="56"/>
        <v>0</v>
      </c>
      <c r="AS16" s="193">
        <f t="shared" si="57"/>
        <v>0</v>
      </c>
      <c r="AT16" s="193">
        <f t="shared" si="58"/>
        <v>0</v>
      </c>
      <c r="AU16" s="193">
        <f t="shared" si="59"/>
        <v>0</v>
      </c>
      <c r="AV16" s="193">
        <f t="shared" si="60"/>
        <v>0</v>
      </c>
      <c r="AW16" s="193">
        <f t="shared" si="61"/>
        <v>0</v>
      </c>
      <c r="AX16" s="193">
        <f t="shared" si="62"/>
        <v>0</v>
      </c>
      <c r="AY16" s="193">
        <f t="shared" si="63"/>
        <v>0</v>
      </c>
      <c r="AZ16" s="193">
        <f t="shared" si="64"/>
        <v>0</v>
      </c>
      <c r="BA16" s="193">
        <f t="shared" si="65"/>
        <v>0</v>
      </c>
      <c r="BB16" s="193">
        <f t="shared" si="32"/>
        <v>0</v>
      </c>
      <c r="BC16" s="193">
        <f t="shared" si="33"/>
        <v>0</v>
      </c>
      <c r="BD16" s="194">
        <f t="shared" si="66"/>
        <v>1</v>
      </c>
      <c r="BE16" s="195">
        <f t="shared" si="67"/>
        <v>0</v>
      </c>
      <c r="BF16" s="195">
        <f t="shared" si="68"/>
        <v>0.65380176945762281</v>
      </c>
      <c r="BG16" s="193">
        <f t="shared" si="34"/>
        <v>0</v>
      </c>
      <c r="BH16" s="193">
        <f t="shared" si="35"/>
        <v>0</v>
      </c>
      <c r="BI16" s="193">
        <v>0</v>
      </c>
      <c r="BJ16" s="193">
        <f t="shared" si="36"/>
        <v>0</v>
      </c>
      <c r="BK16" s="193">
        <f t="shared" si="37"/>
        <v>0</v>
      </c>
      <c r="BL16" s="193">
        <f t="shared" si="38"/>
        <v>0</v>
      </c>
      <c r="BM16" s="193">
        <f t="shared" si="69"/>
        <v>0</v>
      </c>
      <c r="BN16" s="193">
        <f t="shared" si="39"/>
        <v>0</v>
      </c>
      <c r="BO16" s="193">
        <v>0</v>
      </c>
      <c r="BP16" s="195">
        <f t="shared" si="40"/>
        <v>0.34619823054237725</v>
      </c>
      <c r="BQ16" s="193">
        <f t="shared" si="41"/>
        <v>0</v>
      </c>
      <c r="BR16" s="193">
        <f t="shared" ref="BR16" si="81">SUM(BE16:BQ16)</f>
        <v>1</v>
      </c>
      <c r="BS16" s="116">
        <f t="shared" si="78"/>
        <v>100.00000000000001</v>
      </c>
      <c r="BT16" s="61" t="str">
        <f t="shared" si="71"/>
        <v>gibbsite</v>
      </c>
      <c r="BU16" s="266">
        <f t="shared" si="72"/>
        <v>0</v>
      </c>
    </row>
    <row r="17" spans="1:85" s="61" customFormat="1" x14ac:dyDescent="0.2">
      <c r="A17" s="57" t="str">
        <f>P1</f>
        <v>dolomite</v>
      </c>
      <c r="B17" s="115" t="s">
        <v>602</v>
      </c>
      <c r="C17" s="57"/>
      <c r="D17" s="57"/>
      <c r="E17" s="108">
        <v>10</v>
      </c>
      <c r="F17" s="108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90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181">
        <f t="shared" si="43"/>
        <v>100</v>
      </c>
      <c r="AF17" s="193">
        <f t="shared" si="44"/>
        <v>0</v>
      </c>
      <c r="AG17" s="193">
        <f t="shared" si="45"/>
        <v>0</v>
      </c>
      <c r="AH17" s="193">
        <f t="shared" si="46"/>
        <v>0</v>
      </c>
      <c r="AI17" s="193">
        <f t="shared" si="47"/>
        <v>0</v>
      </c>
      <c r="AJ17" s="193">
        <f t="shared" si="48"/>
        <v>0</v>
      </c>
      <c r="AK17" s="193">
        <f t="shared" si="49"/>
        <v>0</v>
      </c>
      <c r="AL17" s="193">
        <f t="shared" si="50"/>
        <v>0</v>
      </c>
      <c r="AM17" s="193">
        <f t="shared" si="51"/>
        <v>0</v>
      </c>
      <c r="AN17" s="193">
        <f t="shared" si="52"/>
        <v>0</v>
      </c>
      <c r="AO17" s="193">
        <f t="shared" si="53"/>
        <v>1</v>
      </c>
      <c r="AP17" s="193">
        <f t="shared" si="54"/>
        <v>0</v>
      </c>
      <c r="AQ17" s="193">
        <f t="shared" si="55"/>
        <v>0</v>
      </c>
      <c r="AR17" s="193">
        <f t="shared" si="56"/>
        <v>0</v>
      </c>
      <c r="AS17" s="193">
        <f t="shared" si="57"/>
        <v>0</v>
      </c>
      <c r="AT17" s="193">
        <f t="shared" si="58"/>
        <v>0</v>
      </c>
      <c r="AU17" s="193">
        <f t="shared" si="59"/>
        <v>0</v>
      </c>
      <c r="AV17" s="193">
        <f t="shared" si="60"/>
        <v>0</v>
      </c>
      <c r="AW17" s="193">
        <f t="shared" si="61"/>
        <v>0</v>
      </c>
      <c r="AX17" s="193">
        <f t="shared" si="62"/>
        <v>0</v>
      </c>
      <c r="AY17" s="193">
        <f t="shared" si="63"/>
        <v>0</v>
      </c>
      <c r="AZ17" s="193">
        <f t="shared" si="64"/>
        <v>0</v>
      </c>
      <c r="BA17" s="193">
        <f t="shared" si="65"/>
        <v>0</v>
      </c>
      <c r="BB17" s="193">
        <f t="shared" si="32"/>
        <v>0</v>
      </c>
      <c r="BC17" s="193">
        <f t="shared" si="33"/>
        <v>0</v>
      </c>
      <c r="BD17" s="194">
        <f t="shared" si="66"/>
        <v>1</v>
      </c>
      <c r="BE17" s="195">
        <f t="shared" si="67"/>
        <v>0</v>
      </c>
      <c r="BF17" s="195">
        <f t="shared" si="68"/>
        <v>0</v>
      </c>
      <c r="BG17" s="193">
        <f t="shared" si="34"/>
        <v>0</v>
      </c>
      <c r="BH17" s="193">
        <f t="shared" si="35"/>
        <v>0</v>
      </c>
      <c r="BI17" s="193">
        <v>0</v>
      </c>
      <c r="BJ17" s="195">
        <f t="shared" si="36"/>
        <v>0.21857271474904816</v>
      </c>
      <c r="BK17" s="195">
        <f t="shared" si="37"/>
        <v>0.30414691557561102</v>
      </c>
      <c r="BL17" s="193">
        <f t="shared" si="38"/>
        <v>0</v>
      </c>
      <c r="BM17" s="193">
        <f t="shared" si="69"/>
        <v>0</v>
      </c>
      <c r="BN17" s="193">
        <f t="shared" si="39"/>
        <v>0</v>
      </c>
      <c r="BO17" s="193">
        <v>0</v>
      </c>
      <c r="BP17" s="193">
        <f t="shared" si="40"/>
        <v>0</v>
      </c>
      <c r="BQ17" s="195">
        <f t="shared" si="41"/>
        <v>0.47728036967534093</v>
      </c>
      <c r="BR17" s="193">
        <f t="shared" ref="BR17" si="82">SUM(BE17:BQ17)</f>
        <v>1</v>
      </c>
      <c r="BS17" s="116"/>
      <c r="BT17" s="61" t="str">
        <f t="shared" si="71"/>
        <v>dolomite</v>
      </c>
      <c r="BU17" s="266">
        <f t="shared" si="72"/>
        <v>0</v>
      </c>
    </row>
    <row r="18" spans="1:85" s="61" customFormat="1" x14ac:dyDescent="0.2">
      <c r="A18" s="57" t="str">
        <f>Q1</f>
        <v>kaolin pc</v>
      </c>
      <c r="B18" s="115" t="s">
        <v>602</v>
      </c>
      <c r="C18" s="57"/>
      <c r="D18" s="57"/>
      <c r="E18" s="108">
        <v>10</v>
      </c>
      <c r="F18" s="108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90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181">
        <f t="shared" si="43"/>
        <v>100</v>
      </c>
      <c r="AF18" s="193">
        <f t="shared" si="44"/>
        <v>0</v>
      </c>
      <c r="AG18" s="193">
        <f t="shared" si="45"/>
        <v>0</v>
      </c>
      <c r="AH18" s="193">
        <f t="shared" si="46"/>
        <v>0</v>
      </c>
      <c r="AI18" s="193">
        <f t="shared" si="47"/>
        <v>0</v>
      </c>
      <c r="AJ18" s="193">
        <f t="shared" si="48"/>
        <v>0</v>
      </c>
      <c r="AK18" s="193">
        <f t="shared" si="49"/>
        <v>0</v>
      </c>
      <c r="AL18" s="193">
        <f t="shared" si="50"/>
        <v>0</v>
      </c>
      <c r="AM18" s="193">
        <f t="shared" si="51"/>
        <v>0</v>
      </c>
      <c r="AN18" s="193">
        <f t="shared" si="52"/>
        <v>0</v>
      </c>
      <c r="AO18" s="193">
        <f t="shared" si="53"/>
        <v>0</v>
      </c>
      <c r="AP18" s="193">
        <f t="shared" si="54"/>
        <v>1</v>
      </c>
      <c r="AQ18" s="193">
        <f t="shared" si="55"/>
        <v>0</v>
      </c>
      <c r="AR18" s="193">
        <f t="shared" si="56"/>
        <v>0</v>
      </c>
      <c r="AS18" s="193">
        <f t="shared" si="57"/>
        <v>0</v>
      </c>
      <c r="AT18" s="193">
        <f t="shared" si="58"/>
        <v>0</v>
      </c>
      <c r="AU18" s="193">
        <f t="shared" si="59"/>
        <v>0</v>
      </c>
      <c r="AV18" s="193">
        <f t="shared" si="60"/>
        <v>0</v>
      </c>
      <c r="AW18" s="193">
        <f t="shared" si="61"/>
        <v>0</v>
      </c>
      <c r="AX18" s="193">
        <f t="shared" si="62"/>
        <v>0</v>
      </c>
      <c r="AY18" s="193">
        <f t="shared" si="63"/>
        <v>0</v>
      </c>
      <c r="AZ18" s="193">
        <f t="shared" si="64"/>
        <v>0</v>
      </c>
      <c r="BA18" s="193">
        <f t="shared" si="65"/>
        <v>0</v>
      </c>
      <c r="BB18" s="193">
        <f t="shared" si="32"/>
        <v>0</v>
      </c>
      <c r="BC18" s="193">
        <f t="shared" si="33"/>
        <v>0</v>
      </c>
      <c r="BD18" s="194">
        <f t="shared" si="66"/>
        <v>1</v>
      </c>
      <c r="BE18" s="195">
        <f t="shared" si="67"/>
        <v>0.46277235318585636</v>
      </c>
      <c r="BF18" s="195">
        <f t="shared" si="68"/>
        <v>0.38312811376724631</v>
      </c>
      <c r="BG18" s="195">
        <f t="shared" si="34"/>
        <v>1.5383423848805613E-2</v>
      </c>
      <c r="BH18" s="193">
        <f t="shared" si="35"/>
        <v>0</v>
      </c>
      <c r="BI18" s="193">
        <v>0</v>
      </c>
      <c r="BJ18" s="193">
        <f t="shared" si="36"/>
        <v>0</v>
      </c>
      <c r="BK18" s="193">
        <f t="shared" si="37"/>
        <v>0</v>
      </c>
      <c r="BL18" s="193">
        <f t="shared" si="38"/>
        <v>0</v>
      </c>
      <c r="BM18" s="193">
        <f t="shared" si="69"/>
        <v>0</v>
      </c>
      <c r="BN18" s="193">
        <f t="shared" si="39"/>
        <v>0</v>
      </c>
      <c r="BO18" s="193">
        <v>0</v>
      </c>
      <c r="BP18" s="195">
        <f t="shared" si="40"/>
        <v>0.13871610919809182</v>
      </c>
      <c r="BQ18" s="193">
        <f t="shared" si="41"/>
        <v>0</v>
      </c>
      <c r="BR18" s="193">
        <f t="shared" ref="BR18" si="83">SUM(BE18:BQ18)</f>
        <v>1.0000000000000002</v>
      </c>
      <c r="BS18" s="116">
        <f t="shared" si="78"/>
        <v>100</v>
      </c>
      <c r="BT18" s="61" t="str">
        <f t="shared" si="71"/>
        <v>kaolin pc</v>
      </c>
      <c r="BU18" s="266">
        <f t="shared" si="72"/>
        <v>1.5383423848805613E-2</v>
      </c>
    </row>
    <row r="19" spans="1:85" s="61" customFormat="1" x14ac:dyDescent="0.2">
      <c r="A19" s="57" t="str">
        <f>R1</f>
        <v>kaolin wc</v>
      </c>
      <c r="B19" s="115" t="s">
        <v>602</v>
      </c>
      <c r="C19" s="57"/>
      <c r="D19" s="57"/>
      <c r="E19" s="108">
        <v>10</v>
      </c>
      <c r="F19" s="108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90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181">
        <f t="shared" si="43"/>
        <v>100</v>
      </c>
      <c r="AF19" s="193">
        <f t="shared" si="44"/>
        <v>0</v>
      </c>
      <c r="AG19" s="193">
        <f t="shared" si="45"/>
        <v>0</v>
      </c>
      <c r="AH19" s="193">
        <f t="shared" si="46"/>
        <v>0</v>
      </c>
      <c r="AI19" s="193">
        <f t="shared" si="47"/>
        <v>0</v>
      </c>
      <c r="AJ19" s="193">
        <f t="shared" si="48"/>
        <v>0</v>
      </c>
      <c r="AK19" s="193">
        <f t="shared" si="49"/>
        <v>0</v>
      </c>
      <c r="AL19" s="193">
        <f t="shared" si="50"/>
        <v>0</v>
      </c>
      <c r="AM19" s="193">
        <f t="shared" si="51"/>
        <v>0</v>
      </c>
      <c r="AN19" s="193">
        <f t="shared" si="52"/>
        <v>0</v>
      </c>
      <c r="AO19" s="193">
        <f t="shared" si="53"/>
        <v>0</v>
      </c>
      <c r="AP19" s="193">
        <f t="shared" si="54"/>
        <v>0</v>
      </c>
      <c r="AQ19" s="193">
        <f t="shared" si="55"/>
        <v>1</v>
      </c>
      <c r="AR19" s="193">
        <f t="shared" si="56"/>
        <v>0</v>
      </c>
      <c r="AS19" s="193">
        <f t="shared" si="57"/>
        <v>0</v>
      </c>
      <c r="AT19" s="193">
        <f t="shared" si="58"/>
        <v>0</v>
      </c>
      <c r="AU19" s="193">
        <f t="shared" si="59"/>
        <v>0</v>
      </c>
      <c r="AV19" s="193">
        <f t="shared" si="60"/>
        <v>0</v>
      </c>
      <c r="AW19" s="193">
        <f t="shared" si="61"/>
        <v>0</v>
      </c>
      <c r="AX19" s="193">
        <f t="shared" si="62"/>
        <v>0</v>
      </c>
      <c r="AY19" s="193">
        <f t="shared" si="63"/>
        <v>0</v>
      </c>
      <c r="AZ19" s="193">
        <f t="shared" si="64"/>
        <v>0</v>
      </c>
      <c r="BA19" s="193">
        <f t="shared" si="65"/>
        <v>0</v>
      </c>
      <c r="BB19" s="193">
        <f t="shared" si="32"/>
        <v>0</v>
      </c>
      <c r="BC19" s="193">
        <f t="shared" si="33"/>
        <v>0</v>
      </c>
      <c r="BD19" s="194">
        <f t="shared" si="66"/>
        <v>1</v>
      </c>
      <c r="BE19" s="195">
        <f t="shared" si="67"/>
        <v>0.46535957842529452</v>
      </c>
      <c r="BF19" s="195">
        <f t="shared" si="68"/>
        <v>0.39514879107253564</v>
      </c>
      <c r="BG19" s="193">
        <f t="shared" si="34"/>
        <v>0</v>
      </c>
      <c r="BH19" s="193">
        <f t="shared" si="35"/>
        <v>0</v>
      </c>
      <c r="BI19" s="193">
        <v>0</v>
      </c>
      <c r="BJ19" s="193">
        <f t="shared" si="36"/>
        <v>0</v>
      </c>
      <c r="BK19" s="193">
        <f t="shared" si="37"/>
        <v>0</v>
      </c>
      <c r="BL19" s="193">
        <f t="shared" si="38"/>
        <v>0</v>
      </c>
      <c r="BM19" s="193">
        <f t="shared" si="69"/>
        <v>0</v>
      </c>
      <c r="BN19" s="193">
        <f t="shared" si="39"/>
        <v>0</v>
      </c>
      <c r="BO19" s="193">
        <v>0</v>
      </c>
      <c r="BP19" s="195">
        <f t="shared" si="40"/>
        <v>0.13949163050216989</v>
      </c>
      <c r="BQ19" s="193">
        <f t="shared" si="41"/>
        <v>0</v>
      </c>
      <c r="BR19" s="193">
        <f t="shared" ref="BR19" si="84">SUM(BE19:BQ19)</f>
        <v>1</v>
      </c>
      <c r="BS19" s="116">
        <f t="shared" si="78"/>
        <v>100</v>
      </c>
      <c r="BT19" s="61" t="str">
        <f t="shared" si="71"/>
        <v>kaolin wc</v>
      </c>
      <c r="BU19" s="266">
        <f t="shared" si="72"/>
        <v>0</v>
      </c>
    </row>
    <row r="20" spans="1:85" s="61" customFormat="1" x14ac:dyDescent="0.2">
      <c r="A20" s="57" t="str">
        <f>S1</f>
        <v>HIV</v>
      </c>
      <c r="B20" s="115" t="s">
        <v>602</v>
      </c>
      <c r="C20" s="57"/>
      <c r="D20" s="57"/>
      <c r="E20" s="108">
        <v>10</v>
      </c>
      <c r="F20" s="108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90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181">
        <f t="shared" si="43"/>
        <v>100</v>
      </c>
      <c r="AF20" s="193">
        <f t="shared" si="44"/>
        <v>0</v>
      </c>
      <c r="AG20" s="193">
        <f t="shared" si="45"/>
        <v>0</v>
      </c>
      <c r="AH20" s="193">
        <f t="shared" si="46"/>
        <v>0</v>
      </c>
      <c r="AI20" s="193">
        <f t="shared" si="47"/>
        <v>0</v>
      </c>
      <c r="AJ20" s="193">
        <f t="shared" si="48"/>
        <v>0</v>
      </c>
      <c r="AK20" s="193">
        <f t="shared" si="49"/>
        <v>0</v>
      </c>
      <c r="AL20" s="193">
        <f t="shared" si="50"/>
        <v>0</v>
      </c>
      <c r="AM20" s="193">
        <f t="shared" si="51"/>
        <v>0</v>
      </c>
      <c r="AN20" s="193">
        <f t="shared" si="52"/>
        <v>0</v>
      </c>
      <c r="AO20" s="193">
        <f t="shared" si="53"/>
        <v>0</v>
      </c>
      <c r="AP20" s="193">
        <f t="shared" si="54"/>
        <v>0</v>
      </c>
      <c r="AQ20" s="193">
        <f t="shared" si="55"/>
        <v>0</v>
      </c>
      <c r="AR20" s="193">
        <f t="shared" si="56"/>
        <v>1</v>
      </c>
      <c r="AS20" s="193">
        <f t="shared" si="57"/>
        <v>0</v>
      </c>
      <c r="AT20" s="193">
        <f t="shared" si="58"/>
        <v>0</v>
      </c>
      <c r="AU20" s="193">
        <f t="shared" si="59"/>
        <v>0</v>
      </c>
      <c r="AV20" s="193">
        <f t="shared" si="60"/>
        <v>0</v>
      </c>
      <c r="AW20" s="193">
        <f t="shared" si="61"/>
        <v>0</v>
      </c>
      <c r="AX20" s="193">
        <f t="shared" si="62"/>
        <v>0</v>
      </c>
      <c r="AY20" s="193">
        <f t="shared" si="63"/>
        <v>0</v>
      </c>
      <c r="AZ20" s="193">
        <f t="shared" si="64"/>
        <v>0</v>
      </c>
      <c r="BA20" s="193">
        <f t="shared" si="65"/>
        <v>0</v>
      </c>
      <c r="BB20" s="193">
        <f t="shared" si="32"/>
        <v>0</v>
      </c>
      <c r="BC20" s="193">
        <f t="shared" si="33"/>
        <v>0</v>
      </c>
      <c r="BD20" s="194">
        <f t="shared" si="66"/>
        <v>1</v>
      </c>
      <c r="BE20" s="195">
        <f t="shared" si="67"/>
        <v>0.39712956006433042</v>
      </c>
      <c r="BF20" s="195">
        <f t="shared" si="68"/>
        <v>0.39237430088688641</v>
      </c>
      <c r="BG20" s="195">
        <f t="shared" ref="BG20" si="85">$BG$3*(AJ20*2.25*0.5/$AJ$2+AL20/$AL$2+AM20*0.9*0.5/$AM$2+AP20*0.05*0.5/$AP$2+AR20*0.24*0.5/$AR$2+AV20*0.3*0.5/$AV$2)</f>
        <v>3.9115063351474508E-2</v>
      </c>
      <c r="BH20" s="193">
        <f t="shared" si="35"/>
        <v>0</v>
      </c>
      <c r="BI20" s="193">
        <v>0</v>
      </c>
      <c r="BJ20" s="195">
        <f t="shared" ref="BJ20" si="86">$BJ$3*(AK20*2/$AK$2+AO20/$AO$2+AR20*0.2/$AR$2+AS20*0.23/$AS$2+AT20*0.56/$AT$2+AU20*0.25/$AU$2+AV20*1.21/$AV$2)</f>
        <v>1.6451641400265744E-2</v>
      </c>
      <c r="BK20" s="193">
        <f t="shared" ref="BK20" si="87">$BK$3*(AI20/$AI$2+AJ20/$AJ$2+AK20*2/$AK$2+AO20/$AO$2+AR20*0.08/$AR$2+AT20*0.01/$AT$2)</f>
        <v>9.1570734138372439E-3</v>
      </c>
      <c r="BL20" s="193">
        <f t="shared" ref="BL20" si="88">$BL$3*(0.5*AH20/$AH$2)</f>
        <v>0</v>
      </c>
      <c r="BM20" s="195">
        <f t="shared" si="69"/>
        <v>3.9408212822678743E-2</v>
      </c>
      <c r="BN20" s="193">
        <f t="shared" ref="BN20" si="89">$BN$3*(AS20*0.03/$AS$2+AT20*0.11/$AT$2+AV20*0.09/$AV$2)</f>
        <v>0</v>
      </c>
      <c r="BO20" s="193">
        <v>0</v>
      </c>
      <c r="BP20" s="195">
        <f>$BP$3*(AJ20*0.5/$AJ$2+AK20/$AK$2+AM20*0.5/$AM$2+AN20*1.5/$AN$2+AP20*2/$AP$2+AQ20*2/$AQ$2+3.79*0.5*AR20/$AR$2+AR20/$AR$2+AS20/$AS$2+AT20/$AT$2+AU20/$AU$2+AV20/$AV$2)</f>
        <v>0.10636414806052703</v>
      </c>
      <c r="BQ20" s="193">
        <f t="shared" ref="BQ20" si="90">$BQ$3*(AO20*2/$AO$2)</f>
        <v>0</v>
      </c>
      <c r="BR20" s="193">
        <f t="shared" ref="BR20" si="91">SUM(BE20:BQ20)</f>
        <v>1</v>
      </c>
      <c r="BS20" s="116">
        <f t="shared" ref="BS20" si="92">100*BF20/(BF20+BK20+BL20+BM20)</f>
        <v>88.985954617196924</v>
      </c>
      <c r="BT20" s="61" t="str">
        <f t="shared" si="71"/>
        <v>HIV</v>
      </c>
      <c r="BU20" s="266">
        <f t="shared" si="72"/>
        <v>3.9115063351474508E-2</v>
      </c>
    </row>
    <row r="21" spans="1:85" s="61" customFormat="1" x14ac:dyDescent="0.2">
      <c r="A21" s="57" t="str">
        <f>T1</f>
        <v>biotite wc</v>
      </c>
      <c r="B21" s="115" t="s">
        <v>602</v>
      </c>
      <c r="C21" s="57"/>
      <c r="D21" s="57"/>
      <c r="E21" s="108">
        <v>10</v>
      </c>
      <c r="F21" s="108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90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181">
        <f t="shared" si="43"/>
        <v>100</v>
      </c>
      <c r="AF21" s="193">
        <f t="shared" si="44"/>
        <v>0</v>
      </c>
      <c r="AG21" s="193">
        <f t="shared" si="45"/>
        <v>0</v>
      </c>
      <c r="AH21" s="193">
        <f t="shared" si="46"/>
        <v>0</v>
      </c>
      <c r="AI21" s="193">
        <f t="shared" si="47"/>
        <v>0</v>
      </c>
      <c r="AJ21" s="193">
        <f t="shared" si="48"/>
        <v>0</v>
      </c>
      <c r="AK21" s="193">
        <f t="shared" si="49"/>
        <v>0</v>
      </c>
      <c r="AL21" s="193">
        <f t="shared" si="50"/>
        <v>0</v>
      </c>
      <c r="AM21" s="193">
        <f t="shared" si="51"/>
        <v>0</v>
      </c>
      <c r="AN21" s="193">
        <f t="shared" si="52"/>
        <v>0</v>
      </c>
      <c r="AO21" s="193">
        <f t="shared" si="53"/>
        <v>0</v>
      </c>
      <c r="AP21" s="193">
        <f t="shared" si="54"/>
        <v>0</v>
      </c>
      <c r="AQ21" s="193">
        <f t="shared" si="55"/>
        <v>0</v>
      </c>
      <c r="AR21" s="193">
        <f t="shared" si="56"/>
        <v>0</v>
      </c>
      <c r="AS21" s="193">
        <f t="shared" si="57"/>
        <v>1</v>
      </c>
      <c r="AT21" s="193">
        <f t="shared" si="58"/>
        <v>0</v>
      </c>
      <c r="AU21" s="193">
        <f t="shared" si="59"/>
        <v>0</v>
      </c>
      <c r="AV21" s="193">
        <f t="shared" si="60"/>
        <v>0</v>
      </c>
      <c r="AW21" s="193">
        <f t="shared" si="61"/>
        <v>0</v>
      </c>
      <c r="AX21" s="193">
        <f t="shared" si="62"/>
        <v>0</v>
      </c>
      <c r="AY21" s="193">
        <f t="shared" si="63"/>
        <v>0</v>
      </c>
      <c r="AZ21" s="193">
        <f t="shared" si="64"/>
        <v>0</v>
      </c>
      <c r="BA21" s="193">
        <f t="shared" si="65"/>
        <v>0</v>
      </c>
      <c r="BB21" s="193">
        <f t="shared" si="32"/>
        <v>0</v>
      </c>
      <c r="BC21" s="193">
        <f t="shared" si="33"/>
        <v>0</v>
      </c>
      <c r="BD21" s="194">
        <f t="shared" si="66"/>
        <v>1</v>
      </c>
      <c r="BE21" s="195">
        <f t="shared" si="67"/>
        <v>0.46603974411074722</v>
      </c>
      <c r="BF21" s="195">
        <f t="shared" si="68"/>
        <v>0.29879049095389931</v>
      </c>
      <c r="BG21" s="193">
        <f t="shared" ref="BG21" si="93">$BG$3*(AJ21*2.25*0.5/$AJ$2+AL21/$AL$2+AM21*0.9*0.5/$AM$2+AP21*0.05*0.5/$AP$2+AR21*0.24*0.5/$AR$2+AV21*0.3*0.5/$AV$2)</f>
        <v>0</v>
      </c>
      <c r="BH21" s="195">
        <f t="shared" si="35"/>
        <v>6.3500399114054015E-2</v>
      </c>
      <c r="BI21" s="193">
        <v>0</v>
      </c>
      <c r="BJ21" s="195">
        <f t="shared" ref="BJ21" si="94">$BJ$3*(AK21*2/$AK$2+AO21/$AO$2+AR21*0.2/$AR$2+AS21*0.23/$AS$2+AT21*0.56/$AT$2+AU21*0.25/$AU$2+AV21*1.21/$AV$2)</f>
        <v>2.0730670589890345E-2</v>
      </c>
      <c r="BK21" s="193">
        <f t="shared" ref="BK21" si="95">$BK$3*(AI21/$AI$2+AJ21/$AJ$2+AK21*2/$AK$2+AO21/$AO$2+AR21*0.08/$AR$2+AT21*0.01/$AT$2)</f>
        <v>0</v>
      </c>
      <c r="BL21" s="193">
        <f t="shared" ref="BL21" si="96">$BL$3*(0.5*AH21/$AH$2)</f>
        <v>0</v>
      </c>
      <c r="BM21" s="195">
        <f t="shared" si="69"/>
        <v>0.10531958982392237</v>
      </c>
      <c r="BN21" s="195">
        <f t="shared" ref="BN21" si="97">$BN$3*(AS21*0.03/$AS$2+AT21*0.11/$AT$2+AV21*0.09/$AV$2)</f>
        <v>5.3610332726256515E-3</v>
      </c>
      <c r="BO21" s="193">
        <v>0</v>
      </c>
      <c r="BP21" s="195">
        <f>$BP$3*(AJ21*0.5/$AJ$2+AK21/$AK$2+AM21*0.5/$AM$2+AN21*1.5/$AN$2+AP21*2/$AP$2+AQ21*2/$AQ$2+3.79*0.5*AR21/$AR$2+AR21/$AR$2+AS21/$AS$2+AT21/$AT$2+AU21/$AU$2+AV21/$AV$2)</f>
        <v>4.0258072134860955E-2</v>
      </c>
      <c r="BQ21" s="193">
        <f t="shared" ref="BQ21" si="98">$BQ$3*(AO21*2/$AO$2)</f>
        <v>0</v>
      </c>
      <c r="BR21" s="193">
        <f t="shared" ref="BR21" si="99">SUM(BE21:BQ21)</f>
        <v>0.99999999999999978</v>
      </c>
      <c r="BS21" s="116">
        <f t="shared" ref="BS21" si="100">100*BF21/(BF21+BK21+BL21+BM21)</f>
        <v>73.937895926474866</v>
      </c>
      <c r="BT21" s="61" t="str">
        <f t="shared" si="71"/>
        <v>biotite wc</v>
      </c>
      <c r="BU21" s="266">
        <f t="shared" si="72"/>
        <v>6.9215435034318887E-2</v>
      </c>
    </row>
    <row r="22" spans="1:85" s="61" customFormat="1" x14ac:dyDescent="0.2">
      <c r="A22" s="57" t="str">
        <f>U1</f>
        <v>biotite pc</v>
      </c>
      <c r="B22" s="115" t="s">
        <v>602</v>
      </c>
      <c r="C22" s="57"/>
      <c r="D22" s="57"/>
      <c r="E22" s="108">
        <v>10</v>
      </c>
      <c r="F22" s="108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90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181">
        <f t="shared" si="43"/>
        <v>100</v>
      </c>
      <c r="AF22" s="193">
        <f t="shared" si="44"/>
        <v>0</v>
      </c>
      <c r="AG22" s="193">
        <f t="shared" si="45"/>
        <v>0</v>
      </c>
      <c r="AH22" s="193">
        <f t="shared" si="46"/>
        <v>0</v>
      </c>
      <c r="AI22" s="193">
        <f t="shared" si="47"/>
        <v>0</v>
      </c>
      <c r="AJ22" s="193">
        <f t="shared" si="48"/>
        <v>0</v>
      </c>
      <c r="AK22" s="193">
        <f t="shared" si="49"/>
        <v>0</v>
      </c>
      <c r="AL22" s="193">
        <f t="shared" si="50"/>
        <v>0</v>
      </c>
      <c r="AM22" s="193">
        <f t="shared" si="51"/>
        <v>0</v>
      </c>
      <c r="AN22" s="193">
        <f t="shared" si="52"/>
        <v>0</v>
      </c>
      <c r="AO22" s="193">
        <f t="shared" si="53"/>
        <v>0</v>
      </c>
      <c r="AP22" s="193">
        <f t="shared" si="54"/>
        <v>0</v>
      </c>
      <c r="AQ22" s="193">
        <f t="shared" si="55"/>
        <v>0</v>
      </c>
      <c r="AR22" s="193">
        <f t="shared" si="56"/>
        <v>0</v>
      </c>
      <c r="AS22" s="193">
        <f t="shared" si="57"/>
        <v>0</v>
      </c>
      <c r="AT22" s="193">
        <f t="shared" si="58"/>
        <v>1</v>
      </c>
      <c r="AU22" s="193">
        <f t="shared" si="59"/>
        <v>0</v>
      </c>
      <c r="AV22" s="193">
        <f t="shared" si="60"/>
        <v>0</v>
      </c>
      <c r="AW22" s="193">
        <f t="shared" si="61"/>
        <v>0</v>
      </c>
      <c r="AX22" s="193">
        <f t="shared" si="62"/>
        <v>0</v>
      </c>
      <c r="AY22" s="193">
        <f t="shared" si="63"/>
        <v>0</v>
      </c>
      <c r="AZ22" s="193">
        <f t="shared" si="64"/>
        <v>0</v>
      </c>
      <c r="BA22" s="193">
        <f t="shared" si="65"/>
        <v>0</v>
      </c>
      <c r="BB22" s="193">
        <f t="shared" si="32"/>
        <v>0</v>
      </c>
      <c r="BC22" s="193">
        <f t="shared" si="33"/>
        <v>0</v>
      </c>
      <c r="BD22" s="194">
        <f t="shared" si="66"/>
        <v>1</v>
      </c>
      <c r="BE22" s="195">
        <f t="shared" si="67"/>
        <v>0.41308407825965571</v>
      </c>
      <c r="BF22" s="195">
        <f t="shared" si="68"/>
        <v>0.25430123120871584</v>
      </c>
      <c r="BG22" s="193">
        <f t="shared" ref="BG22" si="101">$BG$3*(AJ22*2.25*0.5/$AJ$2+AL22/$AL$2+AM22*0.9*0.5/$AM$2+AP22*0.05*0.5/$AP$2+AR22*0.24*0.5/$AR$2+AV22*0.3*0.5/$AV$2)</f>
        <v>0</v>
      </c>
      <c r="BH22" s="195">
        <f t="shared" si="35"/>
        <v>0.15560302831362885</v>
      </c>
      <c r="BI22" s="193">
        <v>0</v>
      </c>
      <c r="BJ22" s="195">
        <f t="shared" ref="BJ22" si="102">$BJ$3*(AK22*2/$AK$2+AO22/$AO$2+AR22*0.2/$AR$2+AS22*0.23/$AS$2+AT22*0.56/$AT$2+AU22*0.25/$AU$2+AV22*1.21/$AV$2)</f>
        <v>5.544475721520109E-2</v>
      </c>
      <c r="BK22" s="195">
        <f t="shared" ref="BK22" si="103">$BK$3*(AI22/$AI$2+AJ22/$AJ$2+AK22*2/$AK$2+AO22/$AO$2+AR22*0.08/$AR$2+AT22*0.01/$AT$2)</f>
        <v>1.3777167206283441E-3</v>
      </c>
      <c r="BL22" s="193">
        <f t="shared" ref="BL22" si="104">$BL$3*(0.5*AH22/$AH$2)</f>
        <v>0</v>
      </c>
      <c r="BM22" s="195">
        <f t="shared" si="69"/>
        <v>5.4374335347128468E-2</v>
      </c>
      <c r="BN22" s="195">
        <f t="shared" ref="BN22" si="105">$BN$3*(AS22*0.03/$AS$2+AT22*0.11/$AT$2+AV22*0.09/$AV$2)</f>
        <v>2.1592696347235131E-2</v>
      </c>
      <c r="BO22" s="193">
        <v>0</v>
      </c>
      <c r="BP22" s="195">
        <f>$BP$3*(AJ22*0.5/$AJ$2+AK22/$AK$2+AM22*0.5/$AM$2+AN22*1.5/$AN$2+AP22*2/$AP$2+AQ22*2/$AQ$2+3.79*0.5*AR22/$AR$2+AR22/$AR$2+AS22/$AS$2+AT22/$AT$2+AU22/$AU$2+AV22/$AV$2)</f>
        <v>4.4222156587806614E-2</v>
      </c>
      <c r="BQ22" s="193">
        <f t="shared" ref="BQ22" si="106">$BQ$3*(AO22*2/$AO$2)</f>
        <v>0</v>
      </c>
      <c r="BR22" s="193">
        <f t="shared" ref="BR22" si="107">SUM(BE22:BQ22)</f>
        <v>1</v>
      </c>
      <c r="BS22" s="116">
        <f t="shared" ref="BS22" si="108">100*BF22/(BF22+BK22+BL22+BM22)</f>
        <v>82.018557752848224</v>
      </c>
      <c r="BT22" s="61" t="str">
        <f t="shared" si="71"/>
        <v>biotite pc</v>
      </c>
      <c r="BU22" s="266">
        <f t="shared" si="72"/>
        <v>0.16960730086185546</v>
      </c>
    </row>
    <row r="23" spans="1:85" s="61" customFormat="1" x14ac:dyDescent="0.2">
      <c r="A23" s="57" t="str">
        <f>V1</f>
        <v>phengite</v>
      </c>
      <c r="B23" s="115" t="s">
        <v>602</v>
      </c>
      <c r="C23" s="57"/>
      <c r="D23" s="57"/>
      <c r="E23" s="108">
        <v>10</v>
      </c>
      <c r="F23" s="108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90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181">
        <f t="shared" si="43"/>
        <v>100</v>
      </c>
      <c r="AF23" s="193">
        <f t="shared" si="44"/>
        <v>0</v>
      </c>
      <c r="AG23" s="193">
        <f t="shared" si="45"/>
        <v>0</v>
      </c>
      <c r="AH23" s="193">
        <f t="shared" si="46"/>
        <v>0</v>
      </c>
      <c r="AI23" s="193">
        <f t="shared" si="47"/>
        <v>0</v>
      </c>
      <c r="AJ23" s="193">
        <f t="shared" si="48"/>
        <v>0</v>
      </c>
      <c r="AK23" s="193">
        <f t="shared" si="49"/>
        <v>0</v>
      </c>
      <c r="AL23" s="193">
        <f t="shared" si="50"/>
        <v>0</v>
      </c>
      <c r="AM23" s="193">
        <f t="shared" si="51"/>
        <v>0</v>
      </c>
      <c r="AN23" s="193">
        <f t="shared" si="52"/>
        <v>0</v>
      </c>
      <c r="AO23" s="193">
        <f t="shared" si="53"/>
        <v>0</v>
      </c>
      <c r="AP23" s="193">
        <f t="shared" si="54"/>
        <v>0</v>
      </c>
      <c r="AQ23" s="193">
        <f t="shared" si="55"/>
        <v>0</v>
      </c>
      <c r="AR23" s="193">
        <f t="shared" si="56"/>
        <v>0</v>
      </c>
      <c r="AS23" s="193">
        <f t="shared" si="57"/>
        <v>0</v>
      </c>
      <c r="AT23" s="193">
        <f t="shared" si="58"/>
        <v>0</v>
      </c>
      <c r="AU23" s="193">
        <f t="shared" si="59"/>
        <v>1</v>
      </c>
      <c r="AV23" s="193">
        <f t="shared" si="60"/>
        <v>0</v>
      </c>
      <c r="AW23" s="193">
        <f t="shared" si="61"/>
        <v>0</v>
      </c>
      <c r="AX23" s="193">
        <f t="shared" si="62"/>
        <v>0</v>
      </c>
      <c r="AY23" s="193">
        <f t="shared" si="63"/>
        <v>0</v>
      </c>
      <c r="AZ23" s="193">
        <f t="shared" si="64"/>
        <v>0</v>
      </c>
      <c r="BA23" s="193">
        <f t="shared" si="65"/>
        <v>0</v>
      </c>
      <c r="BB23" s="193">
        <f t="shared" si="32"/>
        <v>0</v>
      </c>
      <c r="BC23" s="193">
        <f t="shared" si="33"/>
        <v>0</v>
      </c>
      <c r="BD23" s="194">
        <f t="shared" si="66"/>
        <v>1</v>
      </c>
      <c r="BE23" s="195">
        <f t="shared" si="67"/>
        <v>0.51828516472677055</v>
      </c>
      <c r="BF23" s="195">
        <f t="shared" si="68"/>
        <v>0.25147958177155255</v>
      </c>
      <c r="BG23" s="193">
        <f t="shared" ref="BG23" si="109">$BG$3*(AJ23*2.25*0.5/$AJ$2+AL23/$AL$2+AM23*0.9*0.5/$AM$2+AP23*0.05*0.5/$AP$2+AR23*0.24*0.5/$AR$2+AV23*0.3*0.5/$AV$2)</f>
        <v>0</v>
      </c>
      <c r="BH23" s="195">
        <f>$BH$3*(AK23*2/$AK$2+AS23*0.39/$AS$2+AT23*0.87/$AT$2+AU23*0.25/$AU$2+AV23*0.63/$AV$2)</f>
        <v>4.488064707042809E-2</v>
      </c>
      <c r="BI23" s="193">
        <v>0</v>
      </c>
      <c r="BJ23" s="195">
        <f t="shared" ref="BJ23" si="110">$BJ$3*(AK23*2/$AK$2+AO23/$AO$2+AR23*0.2/$AR$2+AS23*0.23/$AS$2+AT23*0.56/$AT$2+AU23*0.25/$AU$2+AV23*1.21/$AV$2)</f>
        <v>2.4844643913986979E-2</v>
      </c>
      <c r="BK23" s="195">
        <f t="shared" ref="BK23" si="111">$BK$3*(AI23/$AI$2+AJ23/$AJ$2+AK23*2/$AK$2+AO23/$AO$2+AR23*0.08/$AR$2+AT23*0.01/$AT$2)</f>
        <v>0</v>
      </c>
      <c r="BL23" s="193">
        <f t="shared" ref="BL23" si="112">$BL$3*(0.5*AH23/$AH$2)</f>
        <v>0</v>
      </c>
      <c r="BM23" s="195">
        <f t="shared" si="69"/>
        <v>0.11612250937068457</v>
      </c>
      <c r="BN23" s="195">
        <f t="shared" ref="BN23" si="113">$BN$3*(AS23*0.03/$AS$2+AT23*0.11/$AT$2+AV23*0.09/$AV$2)</f>
        <v>0</v>
      </c>
      <c r="BO23" s="193">
        <v>0</v>
      </c>
      <c r="BP23" s="195">
        <f>$BP$3*(AJ23*0.5/$AJ$2+AK23/$AK$2+AM23*0.5/$AM$2+AN23*1.5/$AN$2+AP23*2/$AP$2+AQ23*2/$AQ$2+3.79*0.5*AR23/$AR$2+AR23/$AR$2+AS23/$AS$2+AT23/$AT$2+AU23/$AU$2+AV23/$AV$2)</f>
        <v>4.4387453146577237E-2</v>
      </c>
      <c r="BQ23" s="193">
        <f t="shared" ref="BQ23" si="114">$BQ$3*(AO23*2/$AO$2)</f>
        <v>0</v>
      </c>
      <c r="BR23" s="193">
        <f t="shared" ref="BR23" si="115">SUM(BE23:BQ23)</f>
        <v>0.99999999999999989</v>
      </c>
      <c r="BS23" s="116">
        <f t="shared" si="78"/>
        <v>68.410813711679069</v>
      </c>
      <c r="BT23" s="61" t="str">
        <f t="shared" si="71"/>
        <v>phengite</v>
      </c>
      <c r="BU23" s="266">
        <f t="shared" si="72"/>
        <v>4.8919905306766619E-2</v>
      </c>
    </row>
    <row r="24" spans="1:85" s="61" customFormat="1" x14ac:dyDescent="0.2">
      <c r="A24" s="57" t="str">
        <f>W1</f>
        <v>smectite</v>
      </c>
      <c r="B24" s="115" t="s">
        <v>602</v>
      </c>
      <c r="C24" s="57"/>
      <c r="D24" s="57"/>
      <c r="E24" s="108">
        <v>10</v>
      </c>
      <c r="F24" s="108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90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181">
        <f t="shared" si="43"/>
        <v>100</v>
      </c>
      <c r="AF24" s="193">
        <f t="shared" si="44"/>
        <v>0</v>
      </c>
      <c r="AG24" s="193">
        <f t="shared" si="45"/>
        <v>0</v>
      </c>
      <c r="AH24" s="193">
        <f t="shared" si="46"/>
        <v>0</v>
      </c>
      <c r="AI24" s="193">
        <f t="shared" si="47"/>
        <v>0</v>
      </c>
      <c r="AJ24" s="193">
        <f t="shared" si="48"/>
        <v>0</v>
      </c>
      <c r="AK24" s="193">
        <f t="shared" si="49"/>
        <v>0</v>
      </c>
      <c r="AL24" s="193">
        <f t="shared" si="50"/>
        <v>0</v>
      </c>
      <c r="AM24" s="193">
        <f t="shared" si="51"/>
        <v>0</v>
      </c>
      <c r="AN24" s="193">
        <f t="shared" si="52"/>
        <v>0</v>
      </c>
      <c r="AO24" s="193">
        <f t="shared" si="53"/>
        <v>0</v>
      </c>
      <c r="AP24" s="193">
        <f t="shared" si="54"/>
        <v>0</v>
      </c>
      <c r="AQ24" s="193">
        <f t="shared" si="55"/>
        <v>0</v>
      </c>
      <c r="AR24" s="193">
        <f t="shared" si="56"/>
        <v>0</v>
      </c>
      <c r="AS24" s="193">
        <f t="shared" si="57"/>
        <v>0</v>
      </c>
      <c r="AT24" s="193">
        <f t="shared" si="58"/>
        <v>0</v>
      </c>
      <c r="AU24" s="193">
        <f t="shared" si="59"/>
        <v>0</v>
      </c>
      <c r="AV24" s="193">
        <f t="shared" si="60"/>
        <v>1</v>
      </c>
      <c r="AW24" s="193">
        <f t="shared" si="61"/>
        <v>0</v>
      </c>
      <c r="AX24" s="193">
        <f t="shared" si="62"/>
        <v>0</v>
      </c>
      <c r="AY24" s="193">
        <f t="shared" si="63"/>
        <v>0</v>
      </c>
      <c r="AZ24" s="193">
        <f t="shared" si="64"/>
        <v>0</v>
      </c>
      <c r="BA24" s="193">
        <f t="shared" si="65"/>
        <v>0</v>
      </c>
      <c r="BB24" s="193">
        <f t="shared" si="32"/>
        <v>0</v>
      </c>
      <c r="BC24" s="193">
        <f t="shared" si="33"/>
        <v>0</v>
      </c>
      <c r="BD24" s="194">
        <f t="shared" si="66"/>
        <v>1</v>
      </c>
      <c r="BE24" s="195">
        <f t="shared" si="67"/>
        <v>0.43748069402432699</v>
      </c>
      <c r="BF24" s="195">
        <f t="shared" si="68"/>
        <v>0.17335551942059732</v>
      </c>
      <c r="BG24" s="195">
        <f t="shared" ref="BG24" si="116">$BG$3*(AJ24*2.25*0.5/$AJ$2+AL24/$AL$2+AM24*0.9*0.5/$AM$2+AP24*0.05*0.5/$AP$2+AR24*0.24*0.5/$AR$2+AV24*0.3*0.5/$AV$2)</f>
        <v>5.8170726021249695E-2</v>
      </c>
      <c r="BH24" s="195">
        <f>$BH$3*(AK24*2/$AK$2+AS24*0.39/$AS$2+AT24*0.87/$AT$2+AU24*0.25/$AU$2+AV24*0.63/$AV$2)</f>
        <v>0.11137726644869128</v>
      </c>
      <c r="BI24" s="193">
        <v>0</v>
      </c>
      <c r="BJ24" s="195">
        <f t="shared" ref="BJ24" si="117">$BJ$3*(AK24*2/$AK$2+AO24/$AO$2+AR24*0.2/$AR$2+AS24*0.23/$AS$2+AT24*0.56/$AT$2+AU24*0.25/$AU$2+AV24*1.21/$AV$2)</f>
        <v>0.1184172694016556</v>
      </c>
      <c r="BK24" s="195">
        <f t="shared" ref="BK24" si="118">$BK$3*(AI24/$AI$2+AJ24/$AJ$2+AK24*2/$AK$2+AO24/$AO$2+AR24*0.08/$AR$2+AT24*0.01/$AT$2)</f>
        <v>0</v>
      </c>
      <c r="BL24" s="193">
        <f t="shared" ref="BL24" si="119">$BL$3*(0.5*AH24/$AH$2)</f>
        <v>0</v>
      </c>
      <c r="BM24" s="195">
        <f t="shared" si="69"/>
        <v>4.0024080258462096E-2</v>
      </c>
      <c r="BN24" s="195">
        <f t="shared" ref="BN24" si="120">$BN$3*(AS24*0.03/$AS$2+AT24*0.11/$AT$2+AV24*0.09/$AV$2)</f>
        <v>1.7462801391778717E-2</v>
      </c>
      <c r="BO24" s="193">
        <v>0</v>
      </c>
      <c r="BP24" s="195">
        <f>$BP$3*(AJ24*0.5/$AJ$2+AK24/$AK$2+AM24*0.5/$AM$2+AN24*1.5/$AN$2+AP24*2/$AP$2+AQ24*2/$AQ$2+3.79*0.5*AR24/$AR$2+AR24/$AR$2+AS24/$AS$2+AT24/$AT$2+AU24/$AU$2+AV24/$AV$2)</f>
        <v>4.3711643033238344E-2</v>
      </c>
      <c r="BQ24" s="193">
        <f t="shared" ref="BQ24" si="121">$BQ$3*(AO24*2/$AO$2)</f>
        <v>0</v>
      </c>
      <c r="BR24" s="193">
        <f t="shared" ref="BR24" si="122">SUM(BE24:BQ24)</f>
        <v>1</v>
      </c>
      <c r="BS24" s="116">
        <f t="shared" si="78"/>
        <v>81.242780322644876</v>
      </c>
      <c r="BT24" s="61" t="str">
        <f t="shared" si="71"/>
        <v>smectite</v>
      </c>
      <c r="BU24" s="266">
        <f t="shared" si="72"/>
        <v>0.17957194645032321</v>
      </c>
    </row>
    <row r="25" spans="1:85" s="61" customFormat="1" x14ac:dyDescent="0.2">
      <c r="A25" s="57" t="str">
        <f>X1</f>
        <v>sillimanite</v>
      </c>
      <c r="B25" s="115" t="s">
        <v>602</v>
      </c>
      <c r="C25" s="57"/>
      <c r="D25" s="57"/>
      <c r="E25" s="108">
        <v>10</v>
      </c>
      <c r="F25" s="108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90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181">
        <f t="shared" si="43"/>
        <v>100</v>
      </c>
      <c r="AF25" s="193">
        <f t="shared" si="44"/>
        <v>0</v>
      </c>
      <c r="AG25" s="193">
        <f t="shared" si="45"/>
        <v>0</v>
      </c>
      <c r="AH25" s="193">
        <f t="shared" si="46"/>
        <v>0</v>
      </c>
      <c r="AI25" s="193">
        <f t="shared" si="47"/>
        <v>0</v>
      </c>
      <c r="AJ25" s="193">
        <f t="shared" si="48"/>
        <v>0</v>
      </c>
      <c r="AK25" s="193">
        <f t="shared" si="49"/>
        <v>0</v>
      </c>
      <c r="AL25" s="193">
        <f t="shared" si="50"/>
        <v>0</v>
      </c>
      <c r="AM25" s="193">
        <f t="shared" si="51"/>
        <v>0</v>
      </c>
      <c r="AN25" s="193">
        <f t="shared" si="52"/>
        <v>0</v>
      </c>
      <c r="AO25" s="193">
        <f t="shared" si="53"/>
        <v>0</v>
      </c>
      <c r="AP25" s="193">
        <f t="shared" si="54"/>
        <v>0</v>
      </c>
      <c r="AQ25" s="193">
        <f t="shared" si="55"/>
        <v>0</v>
      </c>
      <c r="AR25" s="193">
        <f t="shared" si="56"/>
        <v>0</v>
      </c>
      <c r="AS25" s="193">
        <f t="shared" si="57"/>
        <v>0</v>
      </c>
      <c r="AT25" s="193">
        <f t="shared" si="58"/>
        <v>0</v>
      </c>
      <c r="AU25" s="193">
        <f t="shared" si="59"/>
        <v>0</v>
      </c>
      <c r="AV25" s="193">
        <f t="shared" si="60"/>
        <v>0</v>
      </c>
      <c r="AW25" s="193">
        <f t="shared" si="61"/>
        <v>1</v>
      </c>
      <c r="AX25" s="193">
        <f t="shared" si="62"/>
        <v>0</v>
      </c>
      <c r="AY25" s="193">
        <f t="shared" si="63"/>
        <v>0</v>
      </c>
      <c r="AZ25" s="193">
        <f t="shared" si="64"/>
        <v>0</v>
      </c>
      <c r="BA25" s="193">
        <f t="shared" si="65"/>
        <v>0</v>
      </c>
      <c r="BB25" s="193">
        <f t="shared" si="32"/>
        <v>0</v>
      </c>
      <c r="BC25" s="193">
        <f t="shared" si="33"/>
        <v>0</v>
      </c>
      <c r="BD25" s="194">
        <f t="shared" si="66"/>
        <v>1</v>
      </c>
      <c r="BE25" s="195">
        <f t="shared" si="67"/>
        <v>0.37061038079368025</v>
      </c>
      <c r="BF25" s="195">
        <f t="shared" si="68"/>
        <v>0.62938961920631986</v>
      </c>
      <c r="BG25" s="193">
        <f t="shared" ref="BG25:BG31" si="123">$BG$3*(AJ25*2.25*0.5/$AJ$2+AL25/$AL$2+AM25*0.9*0.5/$AM$2+AP25*0.05*0.5/$AP$2+AR25*0.24*0.5/$AR$2+AV25*0.3*0.5/$AV$2)</f>
        <v>0</v>
      </c>
      <c r="BH25" s="193">
        <f t="shared" ref="BH25:BH31" si="124">$BH$3*(AK25*2/$AK$2+AS25*0.39/$AS$2+AT25*0.87/$AT$2+AU25*0.25/$AU$2+AV25*0.63/$AV$2)</f>
        <v>0</v>
      </c>
      <c r="BI25" s="193">
        <v>0</v>
      </c>
      <c r="BJ25" s="193">
        <f t="shared" ref="BJ25:BJ31" si="125">$BJ$3*(AK25*2/$AK$2+AO25/$AO$2+AR25*0.2/$AR$2+AS25*0.23/$AS$2+AT25*0.56/$AT$2+AU25*0.25/$AU$2+AV25*1.21/$AV$2)</f>
        <v>0</v>
      </c>
      <c r="BK25" s="193">
        <f t="shared" ref="BK25:BK31" si="126">$BK$3*(AI25/$AI$2+AJ25/$AJ$2+AK25*2/$AK$2+AO25/$AO$2+AR25*0.08/$AR$2+AT25*0.01/$AT$2)</f>
        <v>0</v>
      </c>
      <c r="BL25" s="193">
        <f t="shared" ref="BL25:BL31" si="127">$BL$3*(0.5*AH25/$AH$2)</f>
        <v>0</v>
      </c>
      <c r="BM25" s="193">
        <f t="shared" si="69"/>
        <v>0</v>
      </c>
      <c r="BN25" s="193">
        <f t="shared" ref="BN25:BN31" si="128">$BN$3*(AS25*0.03/$AS$2+AT25*0.11/$AT$2+AV25*0.09/$AV$2)</f>
        <v>0</v>
      </c>
      <c r="BO25" s="193">
        <v>0</v>
      </c>
      <c r="BP25" s="193">
        <f t="shared" ref="BP25:BP31" si="129">$BP$3*(AJ25*0.5/$AJ$2+AK25/$AK$2+AM25*0.5/$AM$2+AN25*1.5/$AN$2+AP25*2/$AP$2+AQ25*2/$AQ$2+3.79*0.5*AR25/$AR$2+AR25/$AR$2+AS25/$AS$2+AT25/$AT$2+AU25/$AU$2+AV25/$AV$2)</f>
        <v>0</v>
      </c>
      <c r="BQ25" s="193">
        <f t="shared" ref="BQ25:BQ31" si="130">$BQ$3*(AO25*2/$AO$2)</f>
        <v>0</v>
      </c>
      <c r="BR25" s="193">
        <f t="shared" ref="BR25:BR31" si="131">SUM(BE25:BQ25)</f>
        <v>1</v>
      </c>
      <c r="BS25" s="116">
        <f t="shared" si="78"/>
        <v>100</v>
      </c>
      <c r="BT25" s="61" t="str">
        <f t="shared" si="71"/>
        <v>sillimanite</v>
      </c>
      <c r="BU25" s="266">
        <f t="shared" si="72"/>
        <v>0</v>
      </c>
    </row>
    <row r="26" spans="1:85" s="61" customFormat="1" x14ac:dyDescent="0.2">
      <c r="A26" s="57" t="str">
        <f>Y1</f>
        <v>microcline</v>
      </c>
      <c r="B26" s="115" t="s">
        <v>602</v>
      </c>
      <c r="C26" s="57"/>
      <c r="D26" s="57"/>
      <c r="E26" s="108">
        <v>10</v>
      </c>
      <c r="F26" s="108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90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181">
        <f t="shared" si="43"/>
        <v>100</v>
      </c>
      <c r="AF26" s="193">
        <f t="shared" si="44"/>
        <v>0</v>
      </c>
      <c r="AG26" s="193">
        <f t="shared" si="45"/>
        <v>0</v>
      </c>
      <c r="AH26" s="193">
        <f t="shared" si="46"/>
        <v>0</v>
      </c>
      <c r="AI26" s="193">
        <f t="shared" si="47"/>
        <v>0</v>
      </c>
      <c r="AJ26" s="193">
        <f t="shared" si="48"/>
        <v>0</v>
      </c>
      <c r="AK26" s="193">
        <f t="shared" si="49"/>
        <v>0</v>
      </c>
      <c r="AL26" s="193">
        <f t="shared" si="50"/>
        <v>0</v>
      </c>
      <c r="AM26" s="193">
        <f t="shared" si="51"/>
        <v>0</v>
      </c>
      <c r="AN26" s="193">
        <f t="shared" si="52"/>
        <v>0</v>
      </c>
      <c r="AO26" s="193">
        <f t="shared" si="53"/>
        <v>0</v>
      </c>
      <c r="AP26" s="193">
        <f t="shared" si="54"/>
        <v>0</v>
      </c>
      <c r="AQ26" s="193">
        <f t="shared" si="55"/>
        <v>0</v>
      </c>
      <c r="AR26" s="193">
        <f t="shared" si="56"/>
        <v>0</v>
      </c>
      <c r="AS26" s="193">
        <f t="shared" si="57"/>
        <v>0</v>
      </c>
      <c r="AT26" s="193">
        <f t="shared" si="58"/>
        <v>0</v>
      </c>
      <c r="AU26" s="193">
        <f t="shared" si="59"/>
        <v>0</v>
      </c>
      <c r="AV26" s="193">
        <f t="shared" si="60"/>
        <v>0</v>
      </c>
      <c r="AW26" s="193">
        <f t="shared" si="61"/>
        <v>0</v>
      </c>
      <c r="AX26" s="193">
        <f t="shared" si="62"/>
        <v>1</v>
      </c>
      <c r="AY26" s="193">
        <f t="shared" si="63"/>
        <v>0</v>
      </c>
      <c r="AZ26" s="193">
        <f t="shared" si="64"/>
        <v>0</v>
      </c>
      <c r="BA26" s="193">
        <f t="shared" si="65"/>
        <v>0</v>
      </c>
      <c r="BB26" s="193">
        <f t="shared" si="32"/>
        <v>0</v>
      </c>
      <c r="BC26" s="193">
        <f t="shared" si="33"/>
        <v>0</v>
      </c>
      <c r="BD26" s="194">
        <f t="shared" si="66"/>
        <v>1</v>
      </c>
      <c r="BE26" s="195">
        <f t="shared" si="67"/>
        <v>0.64748589296625092</v>
      </c>
      <c r="BF26" s="195">
        <f t="shared" si="68"/>
        <v>0.18326564353232938</v>
      </c>
      <c r="BG26" s="193">
        <f t="shared" si="123"/>
        <v>0</v>
      </c>
      <c r="BH26" s="193">
        <f t="shared" si="124"/>
        <v>0</v>
      </c>
      <c r="BI26" s="193">
        <v>0</v>
      </c>
      <c r="BJ26" s="193">
        <f t="shared" si="125"/>
        <v>0</v>
      </c>
      <c r="BK26" s="193">
        <f t="shared" si="126"/>
        <v>0</v>
      </c>
      <c r="BL26" s="193">
        <f t="shared" si="127"/>
        <v>0</v>
      </c>
      <c r="BM26" s="195">
        <f t="shared" si="69"/>
        <v>0.16924846350141973</v>
      </c>
      <c r="BN26" s="193">
        <f t="shared" si="128"/>
        <v>0</v>
      </c>
      <c r="BO26" s="193">
        <v>0</v>
      </c>
      <c r="BP26" s="193">
        <f t="shared" si="129"/>
        <v>0</v>
      </c>
      <c r="BQ26" s="193">
        <f t="shared" si="130"/>
        <v>0</v>
      </c>
      <c r="BR26" s="193">
        <f t="shared" si="131"/>
        <v>1</v>
      </c>
      <c r="BS26" s="116">
        <f t="shared" si="78"/>
        <v>51.988172920065253</v>
      </c>
      <c r="BT26" s="61" t="str">
        <f t="shared" si="71"/>
        <v>microcline</v>
      </c>
      <c r="BU26" s="266">
        <f t="shared" si="72"/>
        <v>0</v>
      </c>
    </row>
    <row r="27" spans="1:85" s="61" customFormat="1" x14ac:dyDescent="0.2">
      <c r="A27" s="57" t="str">
        <f>Z1</f>
        <v xml:space="preserve">mineral C </v>
      </c>
      <c r="B27" s="115" t="s">
        <v>602</v>
      </c>
      <c r="C27" s="57"/>
      <c r="D27" s="57"/>
      <c r="E27" s="108">
        <v>10</v>
      </c>
      <c r="F27" s="108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90</v>
      </c>
      <c r="AA27" s="61">
        <v>0</v>
      </c>
      <c r="AB27" s="61">
        <v>0</v>
      </c>
      <c r="AC27" s="61">
        <v>0</v>
      </c>
      <c r="AD27" s="61">
        <v>0</v>
      </c>
      <c r="AE27" s="181">
        <f t="shared" si="43"/>
        <v>100</v>
      </c>
      <c r="AF27" s="193">
        <f t="shared" si="44"/>
        <v>0</v>
      </c>
      <c r="AG27" s="193">
        <f t="shared" si="45"/>
        <v>0</v>
      </c>
      <c r="AH27" s="193">
        <f t="shared" si="46"/>
        <v>0</v>
      </c>
      <c r="AI27" s="193">
        <f t="shared" si="47"/>
        <v>0</v>
      </c>
      <c r="AJ27" s="193">
        <f t="shared" si="48"/>
        <v>0</v>
      </c>
      <c r="AK27" s="193">
        <f t="shared" si="49"/>
        <v>0</v>
      </c>
      <c r="AL27" s="193">
        <f t="shared" si="50"/>
        <v>0</v>
      </c>
      <c r="AM27" s="193">
        <f t="shared" si="51"/>
        <v>0</v>
      </c>
      <c r="AN27" s="193">
        <f t="shared" si="52"/>
        <v>0</v>
      </c>
      <c r="AO27" s="193">
        <f t="shared" si="53"/>
        <v>0</v>
      </c>
      <c r="AP27" s="193">
        <f t="shared" si="54"/>
        <v>0</v>
      </c>
      <c r="AQ27" s="193">
        <f t="shared" si="55"/>
        <v>0</v>
      </c>
      <c r="AR27" s="193">
        <f t="shared" si="56"/>
        <v>0</v>
      </c>
      <c r="AS27" s="193">
        <f t="shared" si="57"/>
        <v>0</v>
      </c>
      <c r="AT27" s="193">
        <f t="shared" si="58"/>
        <v>0</v>
      </c>
      <c r="AU27" s="193">
        <f t="shared" si="59"/>
        <v>0</v>
      </c>
      <c r="AV27" s="193">
        <f t="shared" si="60"/>
        <v>0</v>
      </c>
      <c r="AW27" s="193">
        <f t="shared" si="61"/>
        <v>0</v>
      </c>
      <c r="AX27" s="193">
        <f t="shared" si="62"/>
        <v>0</v>
      </c>
      <c r="AY27" s="193">
        <f t="shared" si="63"/>
        <v>1</v>
      </c>
      <c r="AZ27" s="193">
        <f t="shared" si="64"/>
        <v>0</v>
      </c>
      <c r="BA27" s="193">
        <f t="shared" si="65"/>
        <v>0</v>
      </c>
      <c r="BB27" s="193">
        <f t="shared" si="32"/>
        <v>0</v>
      </c>
      <c r="BC27" s="193">
        <f t="shared" si="33"/>
        <v>0</v>
      </c>
      <c r="BD27" s="194">
        <f t="shared" si="66"/>
        <v>1</v>
      </c>
      <c r="BE27" s="193">
        <f t="shared" si="67"/>
        <v>0</v>
      </c>
      <c r="BF27" s="193">
        <f t="shared" si="68"/>
        <v>0</v>
      </c>
      <c r="BG27" s="193">
        <f t="shared" si="123"/>
        <v>0</v>
      </c>
      <c r="BH27" s="193">
        <f t="shared" si="124"/>
        <v>0</v>
      </c>
      <c r="BI27" s="193">
        <v>0</v>
      </c>
      <c r="BJ27" s="193">
        <f t="shared" si="125"/>
        <v>0</v>
      </c>
      <c r="BK27" s="193">
        <f t="shared" si="126"/>
        <v>0</v>
      </c>
      <c r="BL27" s="193">
        <f t="shared" si="127"/>
        <v>0</v>
      </c>
      <c r="BM27" s="193">
        <f t="shared" si="69"/>
        <v>0</v>
      </c>
      <c r="BN27" s="193">
        <f t="shared" si="128"/>
        <v>0</v>
      </c>
      <c r="BO27" s="193">
        <v>0</v>
      </c>
      <c r="BP27" s="193">
        <f t="shared" si="129"/>
        <v>0</v>
      </c>
      <c r="BQ27" s="193">
        <f t="shared" si="130"/>
        <v>0</v>
      </c>
      <c r="BR27" s="193">
        <f t="shared" si="131"/>
        <v>0</v>
      </c>
      <c r="BS27" s="116"/>
      <c r="BT27" s="61" t="str">
        <f t="shared" si="71"/>
        <v xml:space="preserve">mineral C </v>
      </c>
      <c r="BU27" s="266">
        <f t="shared" si="72"/>
        <v>0</v>
      </c>
    </row>
    <row r="28" spans="1:85" s="61" customFormat="1" x14ac:dyDescent="0.2">
      <c r="A28" s="57" t="str">
        <f>AA1</f>
        <v>mineral D</v>
      </c>
      <c r="B28" s="115" t="s">
        <v>602</v>
      </c>
      <c r="C28" s="57"/>
      <c r="D28" s="57"/>
      <c r="E28" s="108">
        <v>10</v>
      </c>
      <c r="F28" s="108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90</v>
      </c>
      <c r="AB28" s="61">
        <v>0</v>
      </c>
      <c r="AC28" s="61">
        <v>0</v>
      </c>
      <c r="AD28" s="61">
        <v>0</v>
      </c>
      <c r="AE28" s="181">
        <f t="shared" si="43"/>
        <v>100</v>
      </c>
      <c r="AF28" s="193">
        <f t="shared" si="44"/>
        <v>0</v>
      </c>
      <c r="AG28" s="193">
        <f t="shared" si="45"/>
        <v>0</v>
      </c>
      <c r="AH28" s="193">
        <f t="shared" si="46"/>
        <v>0</v>
      </c>
      <c r="AI28" s="193">
        <f t="shared" si="47"/>
        <v>0</v>
      </c>
      <c r="AJ28" s="193">
        <f t="shared" si="48"/>
        <v>0</v>
      </c>
      <c r="AK28" s="193">
        <f t="shared" si="49"/>
        <v>0</v>
      </c>
      <c r="AL28" s="193">
        <f t="shared" si="50"/>
        <v>0</v>
      </c>
      <c r="AM28" s="193">
        <f t="shared" si="51"/>
        <v>0</v>
      </c>
      <c r="AN28" s="193">
        <f t="shared" si="52"/>
        <v>0</v>
      </c>
      <c r="AO28" s="193">
        <f t="shared" si="53"/>
        <v>0</v>
      </c>
      <c r="AP28" s="193">
        <f t="shared" si="54"/>
        <v>0</v>
      </c>
      <c r="AQ28" s="193">
        <f t="shared" si="55"/>
        <v>0</v>
      </c>
      <c r="AR28" s="193">
        <f t="shared" si="56"/>
        <v>0</v>
      </c>
      <c r="AS28" s="193">
        <f t="shared" si="57"/>
        <v>0</v>
      </c>
      <c r="AT28" s="193">
        <f t="shared" si="58"/>
        <v>0</v>
      </c>
      <c r="AU28" s="193">
        <f t="shared" si="59"/>
        <v>0</v>
      </c>
      <c r="AV28" s="193">
        <f t="shared" si="60"/>
        <v>0</v>
      </c>
      <c r="AW28" s="193">
        <f t="shared" si="61"/>
        <v>0</v>
      </c>
      <c r="AX28" s="193">
        <f t="shared" si="62"/>
        <v>0</v>
      </c>
      <c r="AY28" s="193">
        <f t="shared" si="63"/>
        <v>0</v>
      </c>
      <c r="AZ28" s="193">
        <f t="shared" si="64"/>
        <v>1</v>
      </c>
      <c r="BA28" s="193">
        <f t="shared" si="65"/>
        <v>0</v>
      </c>
      <c r="BB28" s="193">
        <f t="shared" si="32"/>
        <v>0</v>
      </c>
      <c r="BC28" s="193">
        <f t="shared" si="33"/>
        <v>0</v>
      </c>
      <c r="BD28" s="194">
        <f t="shared" si="66"/>
        <v>1</v>
      </c>
      <c r="BE28" s="193">
        <f t="shared" si="67"/>
        <v>0</v>
      </c>
      <c r="BF28" s="193">
        <f t="shared" si="68"/>
        <v>0</v>
      </c>
      <c r="BG28" s="193">
        <f t="shared" si="123"/>
        <v>0</v>
      </c>
      <c r="BH28" s="193">
        <f t="shared" si="124"/>
        <v>0</v>
      </c>
      <c r="BI28" s="193">
        <v>0</v>
      </c>
      <c r="BJ28" s="193">
        <f t="shared" si="125"/>
        <v>0</v>
      </c>
      <c r="BK28" s="193">
        <f t="shared" si="126"/>
        <v>0</v>
      </c>
      <c r="BL28" s="193">
        <f t="shared" si="127"/>
        <v>0</v>
      </c>
      <c r="BM28" s="193">
        <f t="shared" si="69"/>
        <v>0</v>
      </c>
      <c r="BN28" s="193">
        <f t="shared" si="128"/>
        <v>0</v>
      </c>
      <c r="BO28" s="193">
        <v>0</v>
      </c>
      <c r="BP28" s="193">
        <f t="shared" si="129"/>
        <v>0</v>
      </c>
      <c r="BQ28" s="193">
        <f t="shared" si="130"/>
        <v>0</v>
      </c>
      <c r="BR28" s="193">
        <f t="shared" si="131"/>
        <v>0</v>
      </c>
      <c r="BS28" s="116"/>
      <c r="BT28" s="61" t="str">
        <f t="shared" si="71"/>
        <v>mineral D</v>
      </c>
      <c r="BU28" s="266">
        <f t="shared" si="72"/>
        <v>0</v>
      </c>
    </row>
    <row r="29" spans="1:85" s="61" customFormat="1" x14ac:dyDescent="0.2">
      <c r="A29" s="57" t="str">
        <f>AB1</f>
        <v>mineral E</v>
      </c>
      <c r="B29" s="115" t="s">
        <v>602</v>
      </c>
      <c r="C29" s="57"/>
      <c r="D29" s="57"/>
      <c r="E29" s="108">
        <v>10</v>
      </c>
      <c r="F29" s="108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90</v>
      </c>
      <c r="AC29" s="61">
        <v>0</v>
      </c>
      <c r="AD29" s="61">
        <v>0</v>
      </c>
      <c r="AE29" s="181">
        <f t="shared" si="43"/>
        <v>100</v>
      </c>
      <c r="AF29" s="193">
        <f t="shared" si="44"/>
        <v>0</v>
      </c>
      <c r="AG29" s="193">
        <f t="shared" si="45"/>
        <v>0</v>
      </c>
      <c r="AH29" s="193">
        <f t="shared" si="46"/>
        <v>0</v>
      </c>
      <c r="AI29" s="193">
        <f t="shared" si="47"/>
        <v>0</v>
      </c>
      <c r="AJ29" s="193">
        <f t="shared" si="48"/>
        <v>0</v>
      </c>
      <c r="AK29" s="193">
        <f t="shared" si="49"/>
        <v>0</v>
      </c>
      <c r="AL29" s="193">
        <f t="shared" si="50"/>
        <v>0</v>
      </c>
      <c r="AM29" s="193">
        <f t="shared" si="51"/>
        <v>0</v>
      </c>
      <c r="AN29" s="193">
        <f t="shared" si="52"/>
        <v>0</v>
      </c>
      <c r="AO29" s="193">
        <f t="shared" si="53"/>
        <v>0</v>
      </c>
      <c r="AP29" s="193">
        <f t="shared" si="54"/>
        <v>0</v>
      </c>
      <c r="AQ29" s="193">
        <f t="shared" si="55"/>
        <v>0</v>
      </c>
      <c r="AR29" s="193">
        <f t="shared" si="56"/>
        <v>0</v>
      </c>
      <c r="AS29" s="193">
        <f t="shared" si="57"/>
        <v>0</v>
      </c>
      <c r="AT29" s="193">
        <f t="shared" si="58"/>
        <v>0</v>
      </c>
      <c r="AU29" s="193">
        <f t="shared" si="59"/>
        <v>0</v>
      </c>
      <c r="AV29" s="193">
        <f t="shared" si="60"/>
        <v>0</v>
      </c>
      <c r="AW29" s="193">
        <f t="shared" si="61"/>
        <v>0</v>
      </c>
      <c r="AX29" s="193">
        <f t="shared" si="62"/>
        <v>0</v>
      </c>
      <c r="AY29" s="193">
        <f t="shared" si="63"/>
        <v>0</v>
      </c>
      <c r="AZ29" s="193">
        <f t="shared" si="64"/>
        <v>0</v>
      </c>
      <c r="BA29" s="193">
        <f t="shared" si="65"/>
        <v>1</v>
      </c>
      <c r="BB29" s="193">
        <f t="shared" si="32"/>
        <v>0</v>
      </c>
      <c r="BC29" s="193">
        <f t="shared" si="33"/>
        <v>0</v>
      </c>
      <c r="BD29" s="194">
        <f t="shared" si="66"/>
        <v>1</v>
      </c>
      <c r="BE29" s="193">
        <f t="shared" si="67"/>
        <v>0</v>
      </c>
      <c r="BF29" s="193">
        <f t="shared" si="68"/>
        <v>0</v>
      </c>
      <c r="BG29" s="193">
        <f t="shared" si="123"/>
        <v>0</v>
      </c>
      <c r="BH29" s="193">
        <f t="shared" si="124"/>
        <v>0</v>
      </c>
      <c r="BI29" s="193">
        <v>0</v>
      </c>
      <c r="BJ29" s="193">
        <f t="shared" si="125"/>
        <v>0</v>
      </c>
      <c r="BK29" s="193">
        <f t="shared" si="126"/>
        <v>0</v>
      </c>
      <c r="BL29" s="193">
        <f t="shared" si="127"/>
        <v>0</v>
      </c>
      <c r="BM29" s="193">
        <f t="shared" si="69"/>
        <v>0</v>
      </c>
      <c r="BN29" s="193">
        <f t="shared" si="128"/>
        <v>0</v>
      </c>
      <c r="BO29" s="193">
        <v>0</v>
      </c>
      <c r="BP29" s="193">
        <f t="shared" si="129"/>
        <v>0</v>
      </c>
      <c r="BQ29" s="193">
        <f t="shared" si="130"/>
        <v>0</v>
      </c>
      <c r="BR29" s="193">
        <f t="shared" si="131"/>
        <v>0</v>
      </c>
      <c r="BS29" s="116"/>
      <c r="BT29" s="61" t="str">
        <f t="shared" si="71"/>
        <v>mineral E</v>
      </c>
      <c r="BU29" s="266">
        <f t="shared" si="72"/>
        <v>0</v>
      </c>
    </row>
    <row r="30" spans="1:85" s="61" customFormat="1" x14ac:dyDescent="0.2">
      <c r="A30" s="57" t="str">
        <f>AC1</f>
        <v>mineral F</v>
      </c>
      <c r="B30" s="115" t="s">
        <v>602</v>
      </c>
      <c r="C30" s="57"/>
      <c r="D30" s="57"/>
      <c r="E30" s="108">
        <v>10</v>
      </c>
      <c r="F30" s="108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90</v>
      </c>
      <c r="AD30" s="61">
        <v>0</v>
      </c>
      <c r="AE30" s="181">
        <f t="shared" si="43"/>
        <v>100</v>
      </c>
      <c r="AF30" s="193">
        <f t="shared" si="44"/>
        <v>0</v>
      </c>
      <c r="AG30" s="193">
        <f t="shared" si="45"/>
        <v>0</v>
      </c>
      <c r="AH30" s="193">
        <f t="shared" si="46"/>
        <v>0</v>
      </c>
      <c r="AI30" s="193">
        <f t="shared" si="47"/>
        <v>0</v>
      </c>
      <c r="AJ30" s="193">
        <f t="shared" si="48"/>
        <v>0</v>
      </c>
      <c r="AK30" s="193">
        <f t="shared" si="49"/>
        <v>0</v>
      </c>
      <c r="AL30" s="193">
        <f t="shared" si="50"/>
        <v>0</v>
      </c>
      <c r="AM30" s="193">
        <f t="shared" si="51"/>
        <v>0</v>
      </c>
      <c r="AN30" s="193">
        <f t="shared" si="52"/>
        <v>0</v>
      </c>
      <c r="AO30" s="193">
        <f t="shared" si="53"/>
        <v>0</v>
      </c>
      <c r="AP30" s="193">
        <f t="shared" si="54"/>
        <v>0</v>
      </c>
      <c r="AQ30" s="193">
        <f t="shared" si="55"/>
        <v>0</v>
      </c>
      <c r="AR30" s="193">
        <f t="shared" si="56"/>
        <v>0</v>
      </c>
      <c r="AS30" s="193">
        <f t="shared" si="57"/>
        <v>0</v>
      </c>
      <c r="AT30" s="193">
        <f t="shared" si="58"/>
        <v>0</v>
      </c>
      <c r="AU30" s="193">
        <f t="shared" si="59"/>
        <v>0</v>
      </c>
      <c r="AV30" s="193">
        <f t="shared" si="60"/>
        <v>0</v>
      </c>
      <c r="AW30" s="193">
        <f t="shared" si="61"/>
        <v>0</v>
      </c>
      <c r="AX30" s="193">
        <f t="shared" si="62"/>
        <v>0</v>
      </c>
      <c r="AY30" s="193">
        <f t="shared" si="63"/>
        <v>0</v>
      </c>
      <c r="AZ30" s="193">
        <f t="shared" si="64"/>
        <v>0</v>
      </c>
      <c r="BA30" s="193">
        <f t="shared" si="65"/>
        <v>0</v>
      </c>
      <c r="BB30" s="193">
        <f t="shared" si="32"/>
        <v>1</v>
      </c>
      <c r="BC30" s="193">
        <f t="shared" si="33"/>
        <v>0</v>
      </c>
      <c r="BD30" s="194">
        <f t="shared" si="66"/>
        <v>1</v>
      </c>
      <c r="BE30" s="193">
        <f t="shared" si="67"/>
        <v>0</v>
      </c>
      <c r="BF30" s="193">
        <f t="shared" si="68"/>
        <v>0</v>
      </c>
      <c r="BG30" s="193">
        <f t="shared" si="123"/>
        <v>0</v>
      </c>
      <c r="BH30" s="193">
        <f t="shared" si="124"/>
        <v>0</v>
      </c>
      <c r="BI30" s="193">
        <v>0</v>
      </c>
      <c r="BJ30" s="193">
        <f t="shared" si="125"/>
        <v>0</v>
      </c>
      <c r="BK30" s="193">
        <f t="shared" si="126"/>
        <v>0</v>
      </c>
      <c r="BL30" s="193">
        <f t="shared" si="127"/>
        <v>0</v>
      </c>
      <c r="BM30" s="193">
        <f t="shared" si="69"/>
        <v>0</v>
      </c>
      <c r="BN30" s="193">
        <f t="shared" si="128"/>
        <v>0</v>
      </c>
      <c r="BO30" s="193">
        <v>0</v>
      </c>
      <c r="BP30" s="193">
        <f t="shared" si="129"/>
        <v>0</v>
      </c>
      <c r="BQ30" s="193">
        <f t="shared" si="130"/>
        <v>0</v>
      </c>
      <c r="BR30" s="193">
        <f t="shared" si="131"/>
        <v>0</v>
      </c>
      <c r="BS30" s="116"/>
      <c r="BT30" s="61" t="str">
        <f t="shared" si="71"/>
        <v>mineral F</v>
      </c>
      <c r="BU30" s="266">
        <f t="shared" si="72"/>
        <v>0</v>
      </c>
    </row>
    <row r="31" spans="1:85" s="148" customFormat="1" ht="16" thickBot="1" x14ac:dyDescent="0.25">
      <c r="A31" s="145" t="str">
        <f>AD1</f>
        <v>mineral G</v>
      </c>
      <c r="B31" s="146" t="s">
        <v>602</v>
      </c>
      <c r="C31" s="145"/>
      <c r="D31" s="145"/>
      <c r="E31" s="147">
        <v>10</v>
      </c>
      <c r="F31" s="147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90</v>
      </c>
      <c r="AE31" s="182">
        <f t="shared" si="43"/>
        <v>100</v>
      </c>
      <c r="AF31" s="196">
        <f t="shared" si="44"/>
        <v>0</v>
      </c>
      <c r="AG31" s="196">
        <f t="shared" si="45"/>
        <v>0</v>
      </c>
      <c r="AH31" s="196">
        <f t="shared" si="46"/>
        <v>0</v>
      </c>
      <c r="AI31" s="196">
        <f t="shared" si="47"/>
        <v>0</v>
      </c>
      <c r="AJ31" s="196">
        <f t="shared" si="48"/>
        <v>0</v>
      </c>
      <c r="AK31" s="196">
        <f t="shared" si="49"/>
        <v>0</v>
      </c>
      <c r="AL31" s="196">
        <f t="shared" si="50"/>
        <v>0</v>
      </c>
      <c r="AM31" s="196">
        <f t="shared" si="51"/>
        <v>0</v>
      </c>
      <c r="AN31" s="196">
        <f t="shared" si="52"/>
        <v>0</v>
      </c>
      <c r="AO31" s="196">
        <f t="shared" si="53"/>
        <v>0</v>
      </c>
      <c r="AP31" s="196">
        <f t="shared" si="54"/>
        <v>0</v>
      </c>
      <c r="AQ31" s="196">
        <f t="shared" si="55"/>
        <v>0</v>
      </c>
      <c r="AR31" s="196">
        <f t="shared" si="56"/>
        <v>0</v>
      </c>
      <c r="AS31" s="196">
        <f t="shared" si="57"/>
        <v>0</v>
      </c>
      <c r="AT31" s="196">
        <f t="shared" si="58"/>
        <v>0</v>
      </c>
      <c r="AU31" s="196">
        <f t="shared" si="59"/>
        <v>0</v>
      </c>
      <c r="AV31" s="196">
        <f t="shared" si="60"/>
        <v>0</v>
      </c>
      <c r="AW31" s="196">
        <f t="shared" si="61"/>
        <v>0</v>
      </c>
      <c r="AX31" s="196">
        <f t="shared" si="62"/>
        <v>0</v>
      </c>
      <c r="AY31" s="196">
        <f t="shared" si="63"/>
        <v>0</v>
      </c>
      <c r="AZ31" s="196">
        <f t="shared" si="64"/>
        <v>0</v>
      </c>
      <c r="BA31" s="196">
        <f t="shared" si="65"/>
        <v>0</v>
      </c>
      <c r="BB31" s="196">
        <f t="shared" si="32"/>
        <v>0</v>
      </c>
      <c r="BC31" s="196">
        <f t="shared" si="33"/>
        <v>1</v>
      </c>
      <c r="BD31" s="197">
        <f t="shared" si="66"/>
        <v>1</v>
      </c>
      <c r="BE31" s="193">
        <f t="shared" si="67"/>
        <v>0</v>
      </c>
      <c r="BF31" s="196">
        <f t="shared" si="68"/>
        <v>0</v>
      </c>
      <c r="BG31" s="196">
        <f t="shared" si="123"/>
        <v>0</v>
      </c>
      <c r="BH31" s="196">
        <f t="shared" si="124"/>
        <v>0</v>
      </c>
      <c r="BI31" s="196">
        <v>0</v>
      </c>
      <c r="BJ31" s="196">
        <f t="shared" si="125"/>
        <v>0</v>
      </c>
      <c r="BK31" s="196">
        <f t="shared" si="126"/>
        <v>0</v>
      </c>
      <c r="BL31" s="196">
        <f t="shared" si="127"/>
        <v>0</v>
      </c>
      <c r="BM31" s="196">
        <f t="shared" si="69"/>
        <v>0</v>
      </c>
      <c r="BN31" s="196">
        <f t="shared" si="128"/>
        <v>0</v>
      </c>
      <c r="BO31" s="196">
        <v>0</v>
      </c>
      <c r="BP31" s="196">
        <f t="shared" si="129"/>
        <v>0</v>
      </c>
      <c r="BQ31" s="196">
        <f t="shared" si="130"/>
        <v>0</v>
      </c>
      <c r="BR31" s="196">
        <f t="shared" si="131"/>
        <v>0</v>
      </c>
      <c r="BS31" s="149"/>
      <c r="BT31" s="148" t="str">
        <f t="shared" si="71"/>
        <v>mineral G</v>
      </c>
      <c r="BU31" s="266">
        <f t="shared" si="72"/>
        <v>0</v>
      </c>
    </row>
    <row r="32" spans="1:85" s="132" customFormat="1" x14ac:dyDescent="0.2">
      <c r="A32" s="65" t="s">
        <v>67</v>
      </c>
      <c r="B32" s="128">
        <v>0</v>
      </c>
      <c r="C32" s="128">
        <v>13</v>
      </c>
      <c r="D32" s="128">
        <f t="shared" ref="D32:D95" si="132">AVERAGE(B32:C32)</f>
        <v>6.5</v>
      </c>
      <c r="E32" s="124">
        <v>10.37</v>
      </c>
      <c r="F32" s="124">
        <v>1.97</v>
      </c>
      <c r="G32" s="129">
        <v>60.55</v>
      </c>
      <c r="H32" s="129">
        <v>1.0395999999999999</v>
      </c>
      <c r="I32" s="129">
        <v>9.0399999999999994E-2</v>
      </c>
      <c r="J32" s="129">
        <v>0</v>
      </c>
      <c r="K32" s="129">
        <v>0</v>
      </c>
      <c r="L32" s="129">
        <v>0</v>
      </c>
      <c r="M32" s="129">
        <v>1.2</v>
      </c>
      <c r="N32" s="129">
        <v>0.27</v>
      </c>
      <c r="O32" s="129">
        <v>0.14000000000000001</v>
      </c>
      <c r="P32" s="129">
        <v>0.03</v>
      </c>
      <c r="Q32" s="129">
        <v>8.2899999999999991</v>
      </c>
      <c r="R32" s="129">
        <v>13.78</v>
      </c>
      <c r="S32" s="129">
        <v>1.62</v>
      </c>
      <c r="T32" s="129">
        <v>0</v>
      </c>
      <c r="U32" s="129">
        <v>0.02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83">
        <f>SUM(E32:AD32)</f>
        <v>99.36999999999999</v>
      </c>
      <c r="AF32" s="198">
        <f t="shared" ref="AF32:AF37" si="133">G32/SUM($G32:$AD32)</f>
        <v>0.69573710214868423</v>
      </c>
      <c r="AG32" s="198">
        <f t="shared" ref="AG32:BA32" si="134">H32/SUM($G32:$AD32)</f>
        <v>1.1945306216247268E-2</v>
      </c>
      <c r="AH32" s="198">
        <f t="shared" si="134"/>
        <v>1.0387222796736754E-3</v>
      </c>
      <c r="AI32" s="198">
        <f t="shared" si="134"/>
        <v>0</v>
      </c>
      <c r="AJ32" s="198">
        <f t="shared" si="134"/>
        <v>0</v>
      </c>
      <c r="AK32" s="198">
        <f t="shared" si="134"/>
        <v>0</v>
      </c>
      <c r="AL32" s="198">
        <f t="shared" si="134"/>
        <v>1.3788348845225781E-2</v>
      </c>
      <c r="AM32" s="198">
        <f t="shared" si="134"/>
        <v>3.1023784901758012E-3</v>
      </c>
      <c r="AN32" s="198">
        <f t="shared" si="134"/>
        <v>1.6086406986096746E-3</v>
      </c>
      <c r="AO32" s="198">
        <f t="shared" si="134"/>
        <v>3.4470872113064456E-4</v>
      </c>
      <c r="AP32" s="198">
        <f t="shared" ref="AP32:AQ37" si="135">Q32/SUM($G32:$AD32)</f>
        <v>9.5254509939101437E-2</v>
      </c>
      <c r="AQ32" s="198">
        <f t="shared" si="135"/>
        <v>0.15833620590600939</v>
      </c>
      <c r="AR32" s="198">
        <f t="shared" si="134"/>
        <v>1.8614270941054806E-2</v>
      </c>
      <c r="AS32" s="198">
        <f t="shared" si="134"/>
        <v>0</v>
      </c>
      <c r="AT32" s="198">
        <f t="shared" si="134"/>
        <v>2.2980581408709637E-4</v>
      </c>
      <c r="AU32" s="198">
        <f t="shared" si="134"/>
        <v>0</v>
      </c>
      <c r="AV32" s="198">
        <f t="shared" si="134"/>
        <v>0</v>
      </c>
      <c r="AW32" s="198">
        <f t="shared" si="134"/>
        <v>0</v>
      </c>
      <c r="AX32" s="198">
        <f t="shared" si="134"/>
        <v>0</v>
      </c>
      <c r="AY32" s="198">
        <f t="shared" si="134"/>
        <v>0</v>
      </c>
      <c r="AZ32" s="198">
        <f t="shared" si="134"/>
        <v>0</v>
      </c>
      <c r="BA32" s="198">
        <f t="shared" si="134"/>
        <v>0</v>
      </c>
      <c r="BB32" s="198">
        <f t="shared" si="32"/>
        <v>0</v>
      </c>
      <c r="BC32" s="198">
        <f t="shared" si="33"/>
        <v>0</v>
      </c>
      <c r="BD32" s="199">
        <f t="shared" ref="BD32:BD40" si="136">SUM(AF32:BB32)</f>
        <v>0.99999999999999978</v>
      </c>
      <c r="BE32" s="203">
        <f t="shared" si="67"/>
        <v>0.82943701598290287</v>
      </c>
      <c r="BF32" s="200">
        <f t="shared" si="68"/>
        <v>0.11005021800828969</v>
      </c>
      <c r="BG32" s="200">
        <f t="shared" ref="BG32:BG40" si="137">$BG$3*(AJ32*2.25*0.5/$AJ$2+AL32/$AL$2+AM32*0.9*0.5/$AM$2+AP32*0.05*0.5/$AP$2+AR32*0.24*0.5/$AR$2+AV32*0.3*0.5/$AV$2)</f>
        <v>1.857532754345401E-2</v>
      </c>
      <c r="BH32" s="200">
        <f t="shared" ref="BH32:BH40" si="138">$BH$3*(AK32*2/$AK$2+AS32*0.39/$AS$2+AT32*0.87/$AT$2+AU32*0.25/$AU$2+AV32*0.63/$AV$2)</f>
        <v>3.5758480596030988E-5</v>
      </c>
      <c r="BI32" s="200">
        <v>0</v>
      </c>
      <c r="BJ32" s="200">
        <f t="shared" ref="BJ32:BJ40" si="139">$BJ$3*(AK32*2/$AK$2+AO32/$AO$2+AR32*0.2/$AR$2+AS32*0.23/$AS$2+AT32*0.56/$AT$2+AU32*0.25/$AU$2+AV32*1.21/$AV$2)</f>
        <v>3.94320758993519E-4</v>
      </c>
      <c r="BK32" s="200">
        <f t="shared" ref="BK32:BK40" si="140">$BK$3*(AI32/$AI$2+AJ32/$AJ$2+AK32*2/$AK$2+AO32/$AO$2+AR32*0.08/$AR$2+AT32*0.01/$AT$2)</f>
        <v>2.7561094716876055E-4</v>
      </c>
      <c r="BL32" s="200">
        <f t="shared" ref="BL32:BL40" si="141">$BL$3*(0.5*AH32/$AH$2)</f>
        <v>1.2280167644713387E-4</v>
      </c>
      <c r="BM32" s="200">
        <f t="shared" si="69"/>
        <v>2.7677754123377916E-3</v>
      </c>
      <c r="BN32" s="200">
        <f t="shared" ref="BN32:BN40" si="142">$BN$3*(AS32*0.03/$AS$2+AT32*0.11/$AT$2+AV32*0.09/$AV$2)</f>
        <v>4.9621271624118405E-6</v>
      </c>
      <c r="BO32" s="200">
        <v>0</v>
      </c>
      <c r="BP32" s="200">
        <f t="shared" ref="BP32:BP40" si="143">$BP$3*(AJ32*0.5/$AJ$2+AK32/$AK$2+AM32*0.5/$AM$2+AN32*1.5/$AN$2+AP32*2/$AP$2+AQ32*2/$AQ$2+3.79*0.5*AR32/$AR$2+AR32/$AR$2+AS32/$AS$2+AT32/$AT$2+AU32/$AU$2+AV32/$AV$2)</f>
        <v>3.8171686356796158E-2</v>
      </c>
      <c r="BQ32" s="200">
        <f t="shared" ref="BQ32:BQ40" si="144">$BQ$3*(AO32*2/$AO$2)</f>
        <v>1.6452270585154804E-4</v>
      </c>
      <c r="BR32" s="200">
        <f t="shared" ref="BR32:BR40" si="145">SUM(BE32:BQ32)</f>
        <v>0.99999999999999989</v>
      </c>
      <c r="BS32" s="130">
        <f t="shared" ref="BS32:BS40" si="146">100*BF32/(BF32+BK32+BL32+BM32)</f>
        <v>97.203419410154751</v>
      </c>
      <c r="BT32" s="131" t="str">
        <f t="shared" si="71"/>
        <v xml:space="preserve">R1C2EA01 </v>
      </c>
      <c r="BU32" s="267">
        <f t="shared" si="72"/>
        <v>1.8614304287303683E-2</v>
      </c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</row>
    <row r="33" spans="1:85" s="48" customFormat="1" x14ac:dyDescent="0.2">
      <c r="A33" s="65" t="s">
        <v>76</v>
      </c>
      <c r="B33" s="67">
        <v>13</v>
      </c>
      <c r="C33" s="67">
        <v>80</v>
      </c>
      <c r="D33" s="67">
        <f t="shared" si="132"/>
        <v>46.5</v>
      </c>
      <c r="E33" s="106">
        <v>8.59</v>
      </c>
      <c r="F33" s="106">
        <v>0.63</v>
      </c>
      <c r="G33" s="69">
        <v>19.95</v>
      </c>
      <c r="H33" s="69">
        <v>1.2420000000000002</v>
      </c>
      <c r="I33" s="129">
        <v>0.10800000000000001</v>
      </c>
      <c r="J33" s="69">
        <v>0</v>
      </c>
      <c r="K33" s="69">
        <v>0</v>
      </c>
      <c r="L33" s="69">
        <v>0</v>
      </c>
      <c r="M33" s="69">
        <v>2.1800000000000002</v>
      </c>
      <c r="N33" s="69">
        <v>0.48</v>
      </c>
      <c r="O33" s="69">
        <v>0.15</v>
      </c>
      <c r="P33" s="69">
        <v>0</v>
      </c>
      <c r="Q33" s="69">
        <v>25.96</v>
      </c>
      <c r="R33" s="69">
        <v>38.17</v>
      </c>
      <c r="S33" s="69">
        <v>2.4500000000000002</v>
      </c>
      <c r="T33" s="69">
        <v>0</v>
      </c>
      <c r="U33" s="69">
        <v>0.1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184">
        <f t="shared" ref="AE33:AE104" si="147">SUM(E33:AD33)</f>
        <v>100.01</v>
      </c>
      <c r="AF33" s="201">
        <f t="shared" si="133"/>
        <v>0.21973785659213568</v>
      </c>
      <c r="AG33" s="201">
        <f t="shared" ref="AG33" si="148">H33/SUM($G33:$AD33)</f>
        <v>1.3679920696111908E-2</v>
      </c>
      <c r="AH33" s="201">
        <f t="shared" ref="AH33" si="149">I33/SUM($G33:$AD33)</f>
        <v>1.1895583214010354E-3</v>
      </c>
      <c r="AI33" s="201">
        <f t="shared" ref="AI33" si="150">J33/SUM($G33:$AD33)</f>
        <v>0</v>
      </c>
      <c r="AJ33" s="201">
        <f t="shared" ref="AJ33" si="151">K33/SUM($G33:$AD33)</f>
        <v>0</v>
      </c>
      <c r="AK33" s="201">
        <f t="shared" ref="AK33" si="152">L33/SUM($G33:$AD33)</f>
        <v>0</v>
      </c>
      <c r="AL33" s="201">
        <f t="shared" ref="AL33" si="153">M33/SUM($G33:$AD33)</f>
        <v>2.4011455006057936E-2</v>
      </c>
      <c r="AM33" s="201">
        <f t="shared" ref="AM33" si="154">N33/SUM($G33:$AD33)</f>
        <v>5.2869258728934897E-3</v>
      </c>
      <c r="AN33" s="201">
        <f t="shared" ref="AN33" si="155">O33/SUM($G33:$AD33)</f>
        <v>1.6521643352792157E-3</v>
      </c>
      <c r="AO33" s="201">
        <f t="shared" ref="AO33" si="156">P33/SUM($G33:$AD33)</f>
        <v>0</v>
      </c>
      <c r="AP33" s="201">
        <f t="shared" si="135"/>
        <v>0.28593457429232294</v>
      </c>
      <c r="AQ33" s="201">
        <f t="shared" si="135"/>
        <v>0.42042075118405109</v>
      </c>
      <c r="AR33" s="201">
        <f t="shared" ref="AR33" si="157">S33/SUM($G33:$AD33)</f>
        <v>2.6985350809560524E-2</v>
      </c>
      <c r="AS33" s="201">
        <f t="shared" ref="AS33" si="158">T33/SUM($G33:$AD33)</f>
        <v>0</v>
      </c>
      <c r="AT33" s="201">
        <f t="shared" ref="AT33" si="159">U33/SUM($G33:$AD33)</f>
        <v>1.1014428901861438E-3</v>
      </c>
      <c r="AU33" s="201">
        <f t="shared" ref="AU33" si="160">V33/SUM($G33:$AD33)</f>
        <v>0</v>
      </c>
      <c r="AV33" s="201">
        <f t="shared" ref="AV33" si="161">W33/SUM($G33:$AD33)</f>
        <v>0</v>
      </c>
      <c r="AW33" s="201">
        <f t="shared" ref="AW33" si="162">X33/SUM($G33:$AD33)</f>
        <v>0</v>
      </c>
      <c r="AX33" s="201">
        <f t="shared" ref="AX33" si="163">Y33/SUM($G33:$AD33)</f>
        <v>0</v>
      </c>
      <c r="AY33" s="201">
        <f t="shared" ref="AY33" si="164">Z33/SUM($G33:$AD33)</f>
        <v>0</v>
      </c>
      <c r="AZ33" s="201">
        <f t="shared" ref="AZ33" si="165">AA33/SUM($G33:$AD33)</f>
        <v>0</v>
      </c>
      <c r="BA33" s="201">
        <f t="shared" ref="BA33" si="166">AB33/SUM($G33:$AD33)</f>
        <v>0</v>
      </c>
      <c r="BB33" s="201">
        <f t="shared" si="32"/>
        <v>0</v>
      </c>
      <c r="BC33" s="201">
        <f t="shared" si="33"/>
        <v>0</v>
      </c>
      <c r="BD33" s="202">
        <f t="shared" si="136"/>
        <v>0.99999999999999989</v>
      </c>
      <c r="BE33" s="203">
        <f t="shared" si="67"/>
        <v>0.56855404981987834</v>
      </c>
      <c r="BF33" s="203">
        <f t="shared" si="68"/>
        <v>0.29067903123349714</v>
      </c>
      <c r="BG33" s="203">
        <f t="shared" si="137"/>
        <v>3.3885428658648159E-2</v>
      </c>
      <c r="BH33" s="203">
        <f t="shared" si="138"/>
        <v>1.7138784922747974E-4</v>
      </c>
      <c r="BI33" s="203">
        <v>0</v>
      </c>
      <c r="BJ33" s="203">
        <f t="shared" si="139"/>
        <v>5.050225482120408E-4</v>
      </c>
      <c r="BK33" s="203">
        <f t="shared" si="140"/>
        <v>2.4862431474792469E-4</v>
      </c>
      <c r="BL33" s="203">
        <f t="shared" si="141"/>
        <v>1.40634083776058E-4</v>
      </c>
      <c r="BM33" s="203">
        <f t="shared" si="69"/>
        <v>3.438640231512712E-3</v>
      </c>
      <c r="BN33" s="203">
        <f t="shared" si="142"/>
        <v>2.3783121871610452E-5</v>
      </c>
      <c r="BO33" s="203">
        <v>0</v>
      </c>
      <c r="BP33" s="203">
        <f t="shared" si="143"/>
        <v>0.10235339813862857</v>
      </c>
      <c r="BQ33" s="203">
        <f t="shared" si="144"/>
        <v>0</v>
      </c>
      <c r="BR33" s="203">
        <f t="shared" si="145"/>
        <v>1</v>
      </c>
      <c r="BS33" s="117">
        <f t="shared" si="146"/>
        <v>98.70023478503191</v>
      </c>
      <c r="BT33" s="118" t="str">
        <f t="shared" si="71"/>
        <v xml:space="preserve">R1C2EA02 </v>
      </c>
      <c r="BU33" s="267">
        <f t="shared" si="72"/>
        <v>3.4072241414306113E-2</v>
      </c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</row>
    <row r="34" spans="1:85" s="48" customFormat="1" x14ac:dyDescent="0.2">
      <c r="A34" s="65" t="s">
        <v>77</v>
      </c>
      <c r="B34" s="67">
        <v>80</v>
      </c>
      <c r="C34" s="67">
        <v>113</v>
      </c>
      <c r="D34" s="67">
        <f t="shared" si="132"/>
        <v>96.5</v>
      </c>
      <c r="E34" s="106">
        <v>9.92</v>
      </c>
      <c r="F34" s="106">
        <v>0.05</v>
      </c>
      <c r="G34" s="69">
        <v>12.84</v>
      </c>
      <c r="H34" s="69">
        <v>0.92</v>
      </c>
      <c r="I34" s="129">
        <v>0.08</v>
      </c>
      <c r="J34" s="69">
        <v>0</v>
      </c>
      <c r="K34" s="69">
        <v>0</v>
      </c>
      <c r="L34" s="69">
        <v>0</v>
      </c>
      <c r="M34" s="69">
        <v>1.85</v>
      </c>
      <c r="N34" s="69">
        <v>2.0299999999999998</v>
      </c>
      <c r="O34" s="69">
        <v>0</v>
      </c>
      <c r="P34" s="69">
        <v>0</v>
      </c>
      <c r="Q34" s="69">
        <v>27.14</v>
      </c>
      <c r="R34" s="69">
        <v>42.54</v>
      </c>
      <c r="S34" s="69">
        <v>2.48</v>
      </c>
      <c r="T34" s="69">
        <v>0</v>
      </c>
      <c r="U34" s="69">
        <v>0.16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184">
        <f t="shared" si="147"/>
        <v>100.01</v>
      </c>
      <c r="AF34" s="201">
        <f t="shared" si="133"/>
        <v>0.14260328742780984</v>
      </c>
      <c r="AG34" s="201">
        <f t="shared" ref="AG34" si="167">H34/SUM($G34:$AD34)</f>
        <v>1.0217681030653044E-2</v>
      </c>
      <c r="AH34" s="201">
        <f t="shared" ref="AH34" si="168">I34/SUM($G34:$AD34)</f>
        <v>8.8849400266548197E-4</v>
      </c>
      <c r="AI34" s="201">
        <f t="shared" ref="AI34" si="169">J34/SUM($G34:$AD34)</f>
        <v>0</v>
      </c>
      <c r="AJ34" s="201">
        <f t="shared" ref="AJ34" si="170">K34/SUM($G34:$AD34)</f>
        <v>0</v>
      </c>
      <c r="AK34" s="201">
        <f t="shared" ref="AK34" si="171">L34/SUM($G34:$AD34)</f>
        <v>0</v>
      </c>
      <c r="AL34" s="201">
        <f t="shared" ref="AL34" si="172">M34/SUM($G34:$AD34)</f>
        <v>2.0546423811639271E-2</v>
      </c>
      <c r="AM34" s="201">
        <f t="shared" ref="AM34" si="173">N34/SUM($G34:$AD34)</f>
        <v>2.2545535317636603E-2</v>
      </c>
      <c r="AN34" s="201">
        <f t="shared" ref="AN34" si="174">O34/SUM($G34:$AD34)</f>
        <v>0</v>
      </c>
      <c r="AO34" s="201">
        <f t="shared" ref="AO34" si="175">P34/SUM($G34:$AD34)</f>
        <v>0</v>
      </c>
      <c r="AP34" s="201">
        <f t="shared" si="135"/>
        <v>0.30142159040426475</v>
      </c>
      <c r="AQ34" s="201">
        <f t="shared" si="135"/>
        <v>0.47245668591737</v>
      </c>
      <c r="AR34" s="201">
        <f t="shared" ref="AR34" si="176">S34/SUM($G34:$AD34)</f>
        <v>2.754331408262994E-2</v>
      </c>
      <c r="AS34" s="201">
        <f t="shared" ref="AS34" si="177">T34/SUM($G34:$AD34)</f>
        <v>0</v>
      </c>
      <c r="AT34" s="201">
        <f t="shared" ref="AT34" si="178">U34/SUM($G34:$AD34)</f>
        <v>1.7769880053309639E-3</v>
      </c>
      <c r="AU34" s="201">
        <f t="shared" ref="AU34" si="179">V34/SUM($G34:$AD34)</f>
        <v>0</v>
      </c>
      <c r="AV34" s="201">
        <f t="shared" ref="AV34" si="180">W34/SUM($G34:$AD34)</f>
        <v>0</v>
      </c>
      <c r="AW34" s="201">
        <f t="shared" ref="AW34" si="181">X34/SUM($G34:$AD34)</f>
        <v>0</v>
      </c>
      <c r="AX34" s="201">
        <f t="shared" ref="AX34" si="182">Y34/SUM($G34:$AD34)</f>
        <v>0</v>
      </c>
      <c r="AY34" s="201">
        <f t="shared" ref="AY34" si="183">Z34/SUM($G34:$AD34)</f>
        <v>0</v>
      </c>
      <c r="AZ34" s="201">
        <f t="shared" ref="AZ34" si="184">AA34/SUM($G34:$AD34)</f>
        <v>0</v>
      </c>
      <c r="BA34" s="201">
        <f t="shared" ref="BA34" si="185">AB34/SUM($G34:$AD34)</f>
        <v>0</v>
      </c>
      <c r="BB34" s="201">
        <f t="shared" si="32"/>
        <v>0</v>
      </c>
      <c r="BC34" s="201">
        <f t="shared" si="33"/>
        <v>0</v>
      </c>
      <c r="BD34" s="202">
        <f t="shared" si="136"/>
        <v>0.99999999999999978</v>
      </c>
      <c r="BE34" s="203">
        <f t="shared" si="67"/>
        <v>0.520853845712417</v>
      </c>
      <c r="BF34" s="203">
        <f t="shared" si="68"/>
        <v>0.31681567616614142</v>
      </c>
      <c r="BG34" s="203">
        <f t="shared" si="137"/>
        <v>4.5108392662280977E-2</v>
      </c>
      <c r="BH34" s="203">
        <f t="shared" si="138"/>
        <v>2.765047149064929E-4</v>
      </c>
      <c r="BI34" s="203">
        <v>0</v>
      </c>
      <c r="BJ34" s="203">
        <f t="shared" si="139"/>
        <v>5.5165739479221692E-4</v>
      </c>
      <c r="BK34" s="203">
        <f t="shared" si="140"/>
        <v>2.546643352023201E-4</v>
      </c>
      <c r="BL34" s="203">
        <f t="shared" si="141"/>
        <v>1.0504112136193218E-4</v>
      </c>
      <c r="BM34" s="203">
        <f t="shared" si="69"/>
        <v>2.9113821399054866E-3</v>
      </c>
      <c r="BN34" s="203">
        <f t="shared" si="142"/>
        <v>3.8369962411790552E-5</v>
      </c>
      <c r="BO34" s="203">
        <v>0</v>
      </c>
      <c r="BP34" s="203">
        <f t="shared" si="143"/>
        <v>0.11308446579058022</v>
      </c>
      <c r="BQ34" s="203">
        <f t="shared" si="144"/>
        <v>0</v>
      </c>
      <c r="BR34" s="203">
        <f t="shared" si="145"/>
        <v>0.99999999999999967</v>
      </c>
      <c r="BS34" s="117">
        <f t="shared" si="146"/>
        <v>98.978062211002353</v>
      </c>
      <c r="BT34" s="118" t="str">
        <f t="shared" si="71"/>
        <v xml:space="preserve">R1C2EA03 </v>
      </c>
      <c r="BU34" s="267">
        <f t="shared" si="72"/>
        <v>4.5409782801529054E-2</v>
      </c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</row>
    <row r="35" spans="1:85" s="48" customFormat="1" x14ac:dyDescent="0.2">
      <c r="A35" s="65" t="s">
        <v>78</v>
      </c>
      <c r="B35" s="67">
        <v>113</v>
      </c>
      <c r="C35" s="67">
        <v>180</v>
      </c>
      <c r="D35" s="67">
        <f t="shared" si="132"/>
        <v>146.5</v>
      </c>
      <c r="E35" s="106">
        <v>9.8699999999999992</v>
      </c>
      <c r="F35" s="106">
        <v>0.61</v>
      </c>
      <c r="G35" s="69">
        <v>16.43</v>
      </c>
      <c r="H35" s="69">
        <v>0</v>
      </c>
      <c r="I35" s="129">
        <v>0</v>
      </c>
      <c r="J35" s="69">
        <v>0</v>
      </c>
      <c r="K35" s="69">
        <v>0</v>
      </c>
      <c r="L35" s="69">
        <v>0</v>
      </c>
      <c r="M35" s="69">
        <v>2.1800000000000002</v>
      </c>
      <c r="N35" s="69">
        <v>6.38</v>
      </c>
      <c r="O35" s="69">
        <v>0.04</v>
      </c>
      <c r="P35" s="69">
        <v>0</v>
      </c>
      <c r="Q35" s="69">
        <v>1.33</v>
      </c>
      <c r="R35" s="69">
        <v>55.77</v>
      </c>
      <c r="S35" s="69">
        <v>5.37</v>
      </c>
      <c r="T35" s="69">
        <v>0</v>
      </c>
      <c r="U35" s="69">
        <v>2.0299999999999998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184">
        <f t="shared" si="147"/>
        <v>100.01</v>
      </c>
      <c r="AF35" s="201">
        <f t="shared" si="133"/>
        <v>0.18351390595331174</v>
      </c>
      <c r="AG35" s="201">
        <f t="shared" ref="AG35" si="186">H35/SUM($G35:$AD35)</f>
        <v>0</v>
      </c>
      <c r="AH35" s="201">
        <f t="shared" ref="AH35" si="187">I35/SUM($G35:$AD35)</f>
        <v>0</v>
      </c>
      <c r="AI35" s="201">
        <f t="shared" ref="AI35" si="188">J35/SUM($G35:$AD35)</f>
        <v>0</v>
      </c>
      <c r="AJ35" s="201">
        <f t="shared" ref="AJ35" si="189">K35/SUM($G35:$AD35)</f>
        <v>0</v>
      </c>
      <c r="AK35" s="201">
        <f t="shared" ref="AK35" si="190">L35/SUM($G35:$AD35)</f>
        <v>0</v>
      </c>
      <c r="AL35" s="201">
        <f t="shared" ref="AL35" si="191">M35/SUM($G35:$AD35)</f>
        <v>2.434938009605719E-2</v>
      </c>
      <c r="AM35" s="201">
        <f t="shared" ref="AM35" si="192">N35/SUM($G35:$AD35)</f>
        <v>7.1261029822405897E-2</v>
      </c>
      <c r="AN35" s="201">
        <f t="shared" ref="AN35" si="193">O35/SUM($G35:$AD35)</f>
        <v>4.4677761644141629E-4</v>
      </c>
      <c r="AO35" s="201">
        <f t="shared" ref="AO35" si="194">P35/SUM($G35:$AD35)</f>
        <v>0</v>
      </c>
      <c r="AP35" s="201">
        <f t="shared" si="135"/>
        <v>1.4855355746677092E-2</v>
      </c>
      <c r="AQ35" s="201">
        <f t="shared" si="135"/>
        <v>0.62291969172344464</v>
      </c>
      <c r="AR35" s="201">
        <f t="shared" ref="AR35" si="195">S35/SUM($G35:$AD35)</f>
        <v>5.9979895007260135E-2</v>
      </c>
      <c r="AS35" s="201">
        <f t="shared" ref="AS35" si="196">T35/SUM($G35:$AD35)</f>
        <v>0</v>
      </c>
      <c r="AT35" s="201">
        <f t="shared" ref="AT35" si="197">U35/SUM($G35:$AD35)</f>
        <v>2.2673964034401875E-2</v>
      </c>
      <c r="AU35" s="201">
        <f t="shared" ref="AU35" si="198">V35/SUM($G35:$AD35)</f>
        <v>0</v>
      </c>
      <c r="AV35" s="201">
        <f t="shared" ref="AV35" si="199">W35/SUM($G35:$AD35)</f>
        <v>0</v>
      </c>
      <c r="AW35" s="201">
        <f t="shared" ref="AW35" si="200">X35/SUM($G35:$AD35)</f>
        <v>0</v>
      </c>
      <c r="AX35" s="201">
        <f t="shared" ref="AX35" si="201">Y35/SUM($G35:$AD35)</f>
        <v>0</v>
      </c>
      <c r="AY35" s="201">
        <f t="shared" ref="AY35" si="202">Z35/SUM($G35:$AD35)</f>
        <v>0</v>
      </c>
      <c r="AZ35" s="201">
        <f t="shared" ref="AZ35" si="203">AA35/SUM($G35:$AD35)</f>
        <v>0</v>
      </c>
      <c r="BA35" s="201">
        <f t="shared" ref="BA35" si="204">AB35/SUM($G35:$AD35)</f>
        <v>0</v>
      </c>
      <c r="BB35" s="201">
        <f t="shared" si="32"/>
        <v>0</v>
      </c>
      <c r="BC35" s="201">
        <f t="shared" si="33"/>
        <v>0</v>
      </c>
      <c r="BD35" s="202">
        <f t="shared" si="136"/>
        <v>0.99999999999999989</v>
      </c>
      <c r="BE35" s="203">
        <f t="shared" si="67"/>
        <v>0.51345624187343264</v>
      </c>
      <c r="BF35" s="203">
        <f t="shared" si="68"/>
        <v>0.28565717621703612</v>
      </c>
      <c r="BG35" s="203">
        <f t="shared" si="137"/>
        <v>8.6497128171199048E-2</v>
      </c>
      <c r="BH35" s="203">
        <f t="shared" si="138"/>
        <v>3.5281374676272375E-3</v>
      </c>
      <c r="BI35" s="203">
        <v>0</v>
      </c>
      <c r="BJ35" s="203">
        <f t="shared" si="139"/>
        <v>2.2439201548786467E-3</v>
      </c>
      <c r="BK35" s="203">
        <f t="shared" si="140"/>
        <v>5.8047860130885226E-4</v>
      </c>
      <c r="BL35" s="203">
        <f t="shared" si="141"/>
        <v>0</v>
      </c>
      <c r="BM35" s="203">
        <f t="shared" si="69"/>
        <v>3.5965821915833304E-3</v>
      </c>
      <c r="BN35" s="203">
        <f t="shared" si="142"/>
        <v>4.8959202038297012E-4</v>
      </c>
      <c r="BO35" s="203">
        <v>0</v>
      </c>
      <c r="BP35" s="203">
        <f t="shared" si="143"/>
        <v>0.10395074330255122</v>
      </c>
      <c r="BQ35" s="203">
        <f t="shared" si="144"/>
        <v>0</v>
      </c>
      <c r="BR35" s="203">
        <f t="shared" si="145"/>
        <v>1</v>
      </c>
      <c r="BS35" s="117">
        <f t="shared" si="146"/>
        <v>98.558810430408514</v>
      </c>
      <c r="BT35" s="118" t="str">
        <f t="shared" si="71"/>
        <v xml:space="preserve">R1C2EA04 </v>
      </c>
      <c r="BU35" s="267">
        <f t="shared" si="72"/>
        <v>9.0342798010912731E-2</v>
      </c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</row>
    <row r="36" spans="1:85" s="48" customFormat="1" x14ac:dyDescent="0.2">
      <c r="A36" s="65" t="s">
        <v>80</v>
      </c>
      <c r="B36" s="67">
        <v>200</v>
      </c>
      <c r="C36" s="67">
        <v>400</v>
      </c>
      <c r="D36" s="67">
        <f t="shared" si="132"/>
        <v>300</v>
      </c>
      <c r="E36" s="106">
        <v>8.6199999999999992</v>
      </c>
      <c r="F36" s="106">
        <v>0</v>
      </c>
      <c r="G36" s="69">
        <v>33.590000000000003</v>
      </c>
      <c r="H36" s="69">
        <v>0.36800000000000005</v>
      </c>
      <c r="I36" s="129">
        <v>3.2000000000000001E-2</v>
      </c>
      <c r="J36" s="69">
        <v>0</v>
      </c>
      <c r="K36" s="69">
        <v>0</v>
      </c>
      <c r="L36" s="69">
        <v>0</v>
      </c>
      <c r="M36" s="69">
        <v>0</v>
      </c>
      <c r="N36" s="69">
        <v>0.57999999999999996</v>
      </c>
      <c r="O36" s="69">
        <v>0.14000000000000001</v>
      </c>
      <c r="P36" s="69">
        <v>0</v>
      </c>
      <c r="Q36" s="69">
        <v>24.36</v>
      </c>
      <c r="R36" s="69">
        <v>13.29</v>
      </c>
      <c r="S36" s="69">
        <v>0</v>
      </c>
      <c r="T36" s="69">
        <v>0</v>
      </c>
      <c r="U36" s="69">
        <v>19.03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184">
        <f t="shared" si="147"/>
        <v>100.00999999999999</v>
      </c>
      <c r="AF36" s="201">
        <f t="shared" si="133"/>
        <v>0.36754568333515708</v>
      </c>
      <c r="AG36" s="201">
        <f t="shared" ref="AG36" si="205">H36/SUM($G36:$AD36)</f>
        <v>4.026698763540869E-3</v>
      </c>
      <c r="AH36" s="201">
        <f t="shared" ref="AH36" si="206">I36/SUM($G36:$AD36)</f>
        <v>3.501477185687712E-4</v>
      </c>
      <c r="AI36" s="201">
        <f t="shared" ref="AI36" si="207">J36/SUM($G36:$AD36)</f>
        <v>0</v>
      </c>
      <c r="AJ36" s="201">
        <f t="shared" ref="AJ36" si="208">K36/SUM($G36:$AD36)</f>
        <v>0</v>
      </c>
      <c r="AK36" s="201">
        <f t="shared" ref="AK36" si="209">L36/SUM($G36:$AD36)</f>
        <v>0</v>
      </c>
      <c r="AL36" s="201">
        <f t="shared" ref="AL36" si="210">M36/SUM($G36:$AD36)</f>
        <v>0</v>
      </c>
      <c r="AM36" s="201">
        <f t="shared" ref="AM36" si="211">N36/SUM($G36:$AD36)</f>
        <v>6.3464273990589777E-3</v>
      </c>
      <c r="AN36" s="201">
        <f t="shared" ref="AN36" si="212">O36/SUM($G36:$AD36)</f>
        <v>1.531896268738374E-3</v>
      </c>
      <c r="AO36" s="201">
        <f t="shared" ref="AO36" si="213">P36/SUM($G36:$AD36)</f>
        <v>0</v>
      </c>
      <c r="AP36" s="201">
        <f t="shared" si="135"/>
        <v>0.26654995076047705</v>
      </c>
      <c r="AQ36" s="201">
        <f t="shared" si="135"/>
        <v>0.14542072436809278</v>
      </c>
      <c r="AR36" s="201">
        <f t="shared" ref="AR36" si="214">S36/SUM($G36:$AD36)</f>
        <v>0</v>
      </c>
      <c r="AS36" s="201">
        <f t="shared" ref="AS36" si="215">T36/SUM($G36:$AD36)</f>
        <v>0</v>
      </c>
      <c r="AT36" s="201">
        <f t="shared" ref="AT36" si="216">U36/SUM($G36:$AD36)</f>
        <v>0.20822847138636613</v>
      </c>
      <c r="AU36" s="201">
        <f t="shared" ref="AU36" si="217">V36/SUM($G36:$AD36)</f>
        <v>0</v>
      </c>
      <c r="AV36" s="201">
        <f t="shared" ref="AV36" si="218">W36/SUM($G36:$AD36)</f>
        <v>0</v>
      </c>
      <c r="AW36" s="201">
        <f t="shared" ref="AW36" si="219">X36/SUM($G36:$AD36)</f>
        <v>0</v>
      </c>
      <c r="AX36" s="201">
        <f t="shared" ref="AX36" si="220">Y36/SUM($G36:$AD36)</f>
        <v>0</v>
      </c>
      <c r="AY36" s="201">
        <f t="shared" ref="AY36" si="221">Z36/SUM($G36:$AD36)</f>
        <v>0</v>
      </c>
      <c r="AZ36" s="201">
        <f t="shared" ref="AZ36" si="222">AA36/SUM($G36:$AD36)</f>
        <v>0</v>
      </c>
      <c r="BA36" s="201">
        <f t="shared" ref="BA36" si="223">AB36/SUM($G36:$AD36)</f>
        <v>0</v>
      </c>
      <c r="BB36" s="201">
        <f t="shared" si="32"/>
        <v>0</v>
      </c>
      <c r="BC36" s="201">
        <f t="shared" si="33"/>
        <v>0</v>
      </c>
      <c r="BD36" s="202">
        <f t="shared" si="136"/>
        <v>1</v>
      </c>
      <c r="BE36" s="203">
        <f t="shared" si="67"/>
        <v>0.64743429565681576</v>
      </c>
      <c r="BF36" s="203">
        <f t="shared" si="68"/>
        <v>0.2147224368457066</v>
      </c>
      <c r="BG36" s="203">
        <f t="shared" si="137"/>
        <v>9.405964742290357E-3</v>
      </c>
      <c r="BH36" s="203">
        <f t="shared" si="138"/>
        <v>3.240098072883639E-2</v>
      </c>
      <c r="BI36" s="203">
        <v>0</v>
      </c>
      <c r="BJ36" s="203">
        <f t="shared" si="139"/>
        <v>1.1545177041309519E-2</v>
      </c>
      <c r="BK36" s="203">
        <f t="shared" si="140"/>
        <v>2.8687984673987735E-4</v>
      </c>
      <c r="BL36" s="203">
        <f t="shared" si="141"/>
        <v>4.1395787580384616E-5</v>
      </c>
      <c r="BM36" s="203">
        <f t="shared" si="69"/>
        <v>1.2003797310694574E-2</v>
      </c>
      <c r="BN36" s="203">
        <f t="shared" si="142"/>
        <v>4.4962141534947431E-3</v>
      </c>
      <c r="BO36" s="203">
        <v>0</v>
      </c>
      <c r="BP36" s="203">
        <f t="shared" si="143"/>
        <v>6.7662857886531924E-2</v>
      </c>
      <c r="BQ36" s="203">
        <f t="shared" si="144"/>
        <v>0</v>
      </c>
      <c r="BR36" s="203">
        <f t="shared" si="145"/>
        <v>1</v>
      </c>
      <c r="BS36" s="117">
        <f t="shared" si="146"/>
        <v>94.568672977963999</v>
      </c>
      <c r="BT36" s="118" t="str">
        <f t="shared" si="71"/>
        <v xml:space="preserve">R1C2EA05 </v>
      </c>
      <c r="BU36" s="267">
        <f t="shared" si="72"/>
        <v>4.4723033736722026E-2</v>
      </c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</row>
    <row r="37" spans="1:85" s="48" customFormat="1" x14ac:dyDescent="0.2">
      <c r="A37" s="65" t="s">
        <v>81</v>
      </c>
      <c r="B37" s="67">
        <v>400</v>
      </c>
      <c r="C37" s="67">
        <v>500</v>
      </c>
      <c r="D37" s="67">
        <f t="shared" si="132"/>
        <v>450</v>
      </c>
      <c r="E37" s="106">
        <v>8.33</v>
      </c>
      <c r="F37" s="106">
        <v>0.41</v>
      </c>
      <c r="G37" s="69">
        <v>25.41</v>
      </c>
      <c r="H37" s="69">
        <v>0.77280000000000004</v>
      </c>
      <c r="I37" s="129">
        <v>6.7199999999999996E-2</v>
      </c>
      <c r="J37" s="69">
        <v>0</v>
      </c>
      <c r="K37" s="69">
        <v>0</v>
      </c>
      <c r="L37" s="69">
        <v>0</v>
      </c>
      <c r="M37" s="69">
        <v>0.1</v>
      </c>
      <c r="N37" s="69">
        <v>0.21</v>
      </c>
      <c r="O37" s="69">
        <v>0</v>
      </c>
      <c r="P37" s="69">
        <v>0</v>
      </c>
      <c r="Q37" s="69">
        <v>30.81</v>
      </c>
      <c r="R37" s="69">
        <v>14.95</v>
      </c>
      <c r="S37" s="69">
        <v>0.34</v>
      </c>
      <c r="T37" s="69">
        <v>0</v>
      </c>
      <c r="U37" s="69">
        <v>18.579999999999998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184">
        <f t="shared" si="147"/>
        <v>99.98</v>
      </c>
      <c r="AF37" s="201">
        <f t="shared" si="133"/>
        <v>0.27849627356422618</v>
      </c>
      <c r="AG37" s="201">
        <f t="shared" ref="AG37" si="224">H37/SUM($G37:$AD37)</f>
        <v>8.4699693117053915E-3</v>
      </c>
      <c r="AH37" s="201">
        <f t="shared" ref="AH37" si="225">I37/SUM($G37:$AD37)</f>
        <v>7.3651907058307751E-4</v>
      </c>
      <c r="AI37" s="201">
        <f t="shared" ref="AI37" si="226">J37/SUM($G37:$AD37)</f>
        <v>0</v>
      </c>
      <c r="AJ37" s="201">
        <f t="shared" ref="AJ37" si="227">K37/SUM($G37:$AD37)</f>
        <v>0</v>
      </c>
      <c r="AK37" s="201">
        <f t="shared" ref="AK37" si="228">L37/SUM($G37:$AD37)</f>
        <v>0</v>
      </c>
      <c r="AL37" s="201">
        <f t="shared" ref="AL37" si="229">M37/SUM($G37:$AD37)</f>
        <v>1.0960105217010083E-3</v>
      </c>
      <c r="AM37" s="201">
        <f t="shared" ref="AM37" si="230">N37/SUM($G37:$AD37)</f>
        <v>2.3016220955721172E-3</v>
      </c>
      <c r="AN37" s="201">
        <f t="shared" ref="AN37" si="231">O37/SUM($G37:$AD37)</f>
        <v>0</v>
      </c>
      <c r="AO37" s="201">
        <f t="shared" ref="AO37" si="232">P37/SUM($G37:$AD37)</f>
        <v>0</v>
      </c>
      <c r="AP37" s="201">
        <f t="shared" si="135"/>
        <v>0.33768084173608059</v>
      </c>
      <c r="AQ37" s="201">
        <f t="shared" si="135"/>
        <v>0.16385357299430073</v>
      </c>
      <c r="AR37" s="201">
        <f t="shared" ref="AR37" si="233">S37/SUM($G37:$AD37)</f>
        <v>3.7264357737834281E-3</v>
      </c>
      <c r="AS37" s="201">
        <f t="shared" ref="AS37" si="234">T37/SUM($G37:$AD37)</f>
        <v>0</v>
      </c>
      <c r="AT37" s="201">
        <f t="shared" ref="AT37" si="235">U37/SUM($G37:$AD37)</f>
        <v>0.20363875493204731</v>
      </c>
      <c r="AU37" s="201">
        <f t="shared" ref="AU37" si="236">V37/SUM($G37:$AD37)</f>
        <v>0</v>
      </c>
      <c r="AV37" s="201">
        <f t="shared" ref="AV37" si="237">W37/SUM($G37:$AD37)</f>
        <v>0</v>
      </c>
      <c r="AW37" s="201">
        <f t="shared" ref="AW37" si="238">X37/SUM($G37:$AD37)</f>
        <v>0</v>
      </c>
      <c r="AX37" s="201">
        <f t="shared" ref="AX37" si="239">Y37/SUM($G37:$AD37)</f>
        <v>0</v>
      </c>
      <c r="AY37" s="201">
        <f t="shared" ref="AY37" si="240">Z37/SUM($G37:$AD37)</f>
        <v>0</v>
      </c>
      <c r="AZ37" s="201">
        <f t="shared" ref="AZ37" si="241">AA37/SUM($G37:$AD37)</f>
        <v>0</v>
      </c>
      <c r="BA37" s="201">
        <f t="shared" ref="BA37" si="242">AB37/SUM($G37:$AD37)</f>
        <v>0</v>
      </c>
      <c r="BB37" s="201">
        <f t="shared" si="32"/>
        <v>0</v>
      </c>
      <c r="BC37" s="201">
        <f t="shared" si="33"/>
        <v>0</v>
      </c>
      <c r="BD37" s="202">
        <f t="shared" si="136"/>
        <v>0.99999999999999978</v>
      </c>
      <c r="BE37" s="203">
        <f t="shared" si="67"/>
        <v>0.60260662777754548</v>
      </c>
      <c r="BF37" s="203">
        <f t="shared" si="68"/>
        <v>0.24920135857403178</v>
      </c>
      <c r="BG37" s="203">
        <f t="shared" si="137"/>
        <v>8.3605778183137597E-3</v>
      </c>
      <c r="BH37" s="203">
        <f t="shared" si="138"/>
        <v>3.1686806949443487E-2</v>
      </c>
      <c r="BI37" s="203">
        <v>0</v>
      </c>
      <c r="BJ37" s="203">
        <f t="shared" si="139"/>
        <v>1.1352007311864603E-2</v>
      </c>
      <c r="BK37" s="203">
        <f t="shared" si="140"/>
        <v>3.1467976359030351E-4</v>
      </c>
      <c r="BL37" s="203">
        <f t="shared" si="141"/>
        <v>8.7074070107845622E-5</v>
      </c>
      <c r="BM37" s="203">
        <f t="shared" si="69"/>
        <v>1.2653103416300469E-2</v>
      </c>
      <c r="BN37" s="203">
        <f t="shared" si="142"/>
        <v>4.3971097997767281E-3</v>
      </c>
      <c r="BO37" s="203">
        <v>0</v>
      </c>
      <c r="BP37" s="203">
        <f t="shared" si="143"/>
        <v>7.9340654519025638E-2</v>
      </c>
      <c r="BQ37" s="203">
        <f t="shared" si="144"/>
        <v>0</v>
      </c>
      <c r="BR37" s="203">
        <f t="shared" si="145"/>
        <v>1.0000000000000002</v>
      </c>
      <c r="BS37" s="117">
        <f t="shared" si="146"/>
        <v>95.022098062011906</v>
      </c>
      <c r="BT37" s="118" t="str">
        <f t="shared" si="71"/>
        <v xml:space="preserve">R1C2EA06 </v>
      </c>
      <c r="BU37" s="267">
        <f t="shared" si="72"/>
        <v>4.2899197393207161E-2</v>
      </c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</row>
    <row r="38" spans="1:85" s="48" customFormat="1" x14ac:dyDescent="0.2">
      <c r="A38" s="65" t="s">
        <v>82</v>
      </c>
      <c r="B38" s="67">
        <v>500</v>
      </c>
      <c r="C38" s="67">
        <v>600</v>
      </c>
      <c r="D38" s="67">
        <f t="shared" si="132"/>
        <v>550</v>
      </c>
      <c r="E38" s="106">
        <v>9.5399999999999991</v>
      </c>
      <c r="F38" s="106">
        <v>7.0000000000000007E-2</v>
      </c>
      <c r="G38" s="69">
        <v>29.43</v>
      </c>
      <c r="H38" s="69">
        <v>0.31280000000000002</v>
      </c>
      <c r="I38" s="129">
        <v>2.7200000000000002E-2</v>
      </c>
      <c r="J38" s="69">
        <v>0</v>
      </c>
      <c r="K38" s="69">
        <v>0</v>
      </c>
      <c r="L38" s="69">
        <v>0</v>
      </c>
      <c r="M38" s="69">
        <v>0</v>
      </c>
      <c r="N38" s="69">
        <v>0.31</v>
      </c>
      <c r="O38" s="69">
        <v>0</v>
      </c>
      <c r="P38" s="69">
        <v>0</v>
      </c>
      <c r="Q38" s="69">
        <v>26.8</v>
      </c>
      <c r="R38" s="69">
        <v>14.31</v>
      </c>
      <c r="S38" s="69">
        <v>0.34</v>
      </c>
      <c r="T38" s="69">
        <v>0</v>
      </c>
      <c r="U38" s="69">
        <v>18.86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184">
        <f t="shared" si="147"/>
        <v>100.00000000000001</v>
      </c>
      <c r="AF38" s="201">
        <f t="shared" ref="AF38:AF39" si="243">G38/SUM($G38:$AD38)</f>
        <v>0.32558911384002653</v>
      </c>
      <c r="AG38" s="201">
        <f t="shared" ref="AG38:AG39" si="244">H38/SUM($G38:$AD38)</f>
        <v>3.4605597964376591E-3</v>
      </c>
      <c r="AH38" s="201">
        <f t="shared" ref="AH38:AH39" si="245">I38/SUM($G38:$AD38)</f>
        <v>3.0091824316849213E-4</v>
      </c>
      <c r="AI38" s="201">
        <f t="shared" ref="AI38:AI39" si="246">J38/SUM($G38:$AD38)</f>
        <v>0</v>
      </c>
      <c r="AJ38" s="201">
        <f t="shared" ref="AJ38:AJ39" si="247">K38/SUM($G38:$AD38)</f>
        <v>0</v>
      </c>
      <c r="AK38" s="201">
        <f t="shared" ref="AK38:AK39" si="248">L38/SUM($G38:$AD38)</f>
        <v>0</v>
      </c>
      <c r="AL38" s="201">
        <f t="shared" ref="AL38:AL39" si="249">M38/SUM($G38:$AD38)</f>
        <v>0</v>
      </c>
      <c r="AM38" s="201">
        <f t="shared" ref="AM38:AM39" si="250">N38/SUM($G38:$AD38)</f>
        <v>3.4295829184644317E-3</v>
      </c>
      <c r="AN38" s="201">
        <f t="shared" ref="AN38:AN39" si="251">O38/SUM($G38:$AD38)</f>
        <v>0</v>
      </c>
      <c r="AO38" s="201">
        <f t="shared" ref="AO38:AO39" si="252">P38/SUM($G38:$AD38)</f>
        <v>0</v>
      </c>
      <c r="AP38" s="201">
        <f t="shared" ref="AP38:AP39" si="253">Q38/SUM($G38:$AD38)</f>
        <v>0.29649297488660253</v>
      </c>
      <c r="AQ38" s="201">
        <f t="shared" ref="AQ38:AQ39" si="254">R38/SUM($G38:$AD38)</f>
        <v>0.15831397278460008</v>
      </c>
      <c r="AR38" s="201">
        <f t="shared" ref="AR38:AR39" si="255">S38/SUM($G38:$AD38)</f>
        <v>3.7614780396061512E-3</v>
      </c>
      <c r="AS38" s="201">
        <f t="shared" ref="AS38:AS39" si="256">T38/SUM($G38:$AD38)</f>
        <v>0</v>
      </c>
      <c r="AT38" s="201">
        <f t="shared" ref="AT38:AT39" si="257">U38/SUM($G38:$AD38)</f>
        <v>0.20865139949109415</v>
      </c>
      <c r="AU38" s="201">
        <f t="shared" ref="AU38:AU39" si="258">V38/SUM($G38:$AD38)</f>
        <v>0</v>
      </c>
      <c r="AV38" s="201">
        <f t="shared" ref="AV38:AV39" si="259">W38/SUM($G38:$AD38)</f>
        <v>0</v>
      </c>
      <c r="AW38" s="201">
        <f t="shared" ref="AW38:AW39" si="260">X38/SUM($G38:$AD38)</f>
        <v>0</v>
      </c>
      <c r="AX38" s="201">
        <f t="shared" ref="AX38:AX39" si="261">Y38/SUM($G38:$AD38)</f>
        <v>0</v>
      </c>
      <c r="AY38" s="201">
        <f t="shared" ref="AY38:AY39" si="262">Z38/SUM($G38:$AD38)</f>
        <v>0</v>
      </c>
      <c r="AZ38" s="201">
        <f t="shared" ref="AZ38:AZ39" si="263">AA38/SUM($G38:$AD38)</f>
        <v>0</v>
      </c>
      <c r="BA38" s="201">
        <f t="shared" ref="BA38:BA39" si="264">AB38/SUM($G38:$AD38)</f>
        <v>0</v>
      </c>
      <c r="BB38" s="201">
        <f t="shared" si="32"/>
        <v>0</v>
      </c>
      <c r="BC38" s="201">
        <f t="shared" si="33"/>
        <v>0</v>
      </c>
      <c r="BD38" s="202">
        <f t="shared" si="136"/>
        <v>1.0000000000000002</v>
      </c>
      <c r="BE38" s="203">
        <f t="shared" si="67"/>
        <v>0.62660262536203204</v>
      </c>
      <c r="BF38" s="203">
        <f t="shared" si="68"/>
        <v>0.23158475505563444</v>
      </c>
      <c r="BG38" s="203">
        <f t="shared" si="137"/>
        <v>7.5752851394809972E-3</v>
      </c>
      <c r="BH38" s="203">
        <f t="shared" si="138"/>
        <v>3.2466789622691006E-2</v>
      </c>
      <c r="BI38" s="203">
        <v>0</v>
      </c>
      <c r="BJ38" s="203">
        <f t="shared" si="139"/>
        <v>1.1630508675238222E-2</v>
      </c>
      <c r="BK38" s="203">
        <f t="shared" si="140"/>
        <v>3.219066524145949E-4</v>
      </c>
      <c r="BL38" s="203">
        <f t="shared" si="141"/>
        <v>3.5575692808116469E-5</v>
      </c>
      <c r="BM38" s="203">
        <f t="shared" si="69"/>
        <v>1.2079208722090914E-2</v>
      </c>
      <c r="BN38" s="203">
        <f t="shared" si="142"/>
        <v>4.5053463116368469E-3</v>
      </c>
      <c r="BO38" s="203">
        <v>0</v>
      </c>
      <c r="BP38" s="203">
        <f t="shared" si="143"/>
        <v>7.3197998765972827E-2</v>
      </c>
      <c r="BQ38" s="203">
        <f t="shared" si="144"/>
        <v>0</v>
      </c>
      <c r="BR38" s="203">
        <f t="shared" si="145"/>
        <v>1</v>
      </c>
      <c r="BS38" s="117">
        <f t="shared" si="146"/>
        <v>94.903443420687083</v>
      </c>
      <c r="BT38" s="118" t="str">
        <f t="shared" si="71"/>
        <v xml:space="preserve">R1C2EA07 </v>
      </c>
      <c r="BU38" s="267">
        <f t="shared" si="72"/>
        <v>4.2964085828214198E-2</v>
      </c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</row>
    <row r="39" spans="1:85" s="48" customFormat="1" x14ac:dyDescent="0.2">
      <c r="A39" s="65" t="s">
        <v>83</v>
      </c>
      <c r="B39" s="67">
        <v>600</v>
      </c>
      <c r="C39" s="67">
        <v>700</v>
      </c>
      <c r="D39" s="67">
        <f t="shared" si="132"/>
        <v>650</v>
      </c>
      <c r="E39" s="106">
        <v>9.14</v>
      </c>
      <c r="F39" s="106">
        <v>0.49</v>
      </c>
      <c r="G39" s="69">
        <v>30.82</v>
      </c>
      <c r="H39" s="69">
        <v>7.3599999999999999E-2</v>
      </c>
      <c r="I39" s="129">
        <v>6.4000000000000003E-3</v>
      </c>
      <c r="J39" s="69">
        <v>0</v>
      </c>
      <c r="K39" s="69">
        <v>0</v>
      </c>
      <c r="L39" s="69">
        <v>0</v>
      </c>
      <c r="M39" s="69">
        <v>0</v>
      </c>
      <c r="N39" s="69">
        <v>1.34</v>
      </c>
      <c r="O39" s="69">
        <v>0</v>
      </c>
      <c r="P39" s="69">
        <v>0</v>
      </c>
      <c r="Q39" s="69">
        <v>24.33</v>
      </c>
      <c r="R39" s="69">
        <v>15.53</v>
      </c>
      <c r="S39" s="69">
        <v>0.25</v>
      </c>
      <c r="T39" s="69">
        <v>0</v>
      </c>
      <c r="U39" s="69">
        <v>17.7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184">
        <f t="shared" si="147"/>
        <v>99.68</v>
      </c>
      <c r="AF39" s="201">
        <f t="shared" si="243"/>
        <v>0.3422543031649084</v>
      </c>
      <c r="AG39" s="201">
        <f t="shared" si="244"/>
        <v>8.173237090505275E-4</v>
      </c>
      <c r="AH39" s="201">
        <f t="shared" si="245"/>
        <v>7.1071626873958922E-5</v>
      </c>
      <c r="AI39" s="201">
        <f t="shared" si="246"/>
        <v>0</v>
      </c>
      <c r="AJ39" s="201">
        <f t="shared" si="247"/>
        <v>0</v>
      </c>
      <c r="AK39" s="201">
        <f t="shared" si="248"/>
        <v>0</v>
      </c>
      <c r="AL39" s="201">
        <f t="shared" si="249"/>
        <v>0</v>
      </c>
      <c r="AM39" s="201">
        <f t="shared" si="250"/>
        <v>1.4880621876735148E-2</v>
      </c>
      <c r="AN39" s="201">
        <f t="shared" si="251"/>
        <v>0</v>
      </c>
      <c r="AO39" s="201">
        <f t="shared" si="252"/>
        <v>0</v>
      </c>
      <c r="AP39" s="201">
        <f t="shared" si="253"/>
        <v>0.27018323153803442</v>
      </c>
      <c r="AQ39" s="201">
        <f t="shared" si="254"/>
        <v>0.17245974458634092</v>
      </c>
      <c r="AR39" s="201">
        <f t="shared" si="255"/>
        <v>2.7762354247640201E-3</v>
      </c>
      <c r="AS39" s="201">
        <f t="shared" si="256"/>
        <v>0</v>
      </c>
      <c r="AT39" s="201">
        <f t="shared" si="257"/>
        <v>0.19655746807329261</v>
      </c>
      <c r="AU39" s="201">
        <f t="shared" si="258"/>
        <v>0</v>
      </c>
      <c r="AV39" s="201">
        <f t="shared" si="259"/>
        <v>0</v>
      </c>
      <c r="AW39" s="201">
        <f t="shared" si="260"/>
        <v>0</v>
      </c>
      <c r="AX39" s="201">
        <f t="shared" si="261"/>
        <v>0</v>
      </c>
      <c r="AY39" s="201">
        <f t="shared" si="262"/>
        <v>0</v>
      </c>
      <c r="AZ39" s="201">
        <f t="shared" si="263"/>
        <v>0</v>
      </c>
      <c r="BA39" s="201">
        <f t="shared" si="264"/>
        <v>0</v>
      </c>
      <c r="BB39" s="201">
        <f t="shared" si="32"/>
        <v>0</v>
      </c>
      <c r="BC39" s="201">
        <f t="shared" si="33"/>
        <v>0</v>
      </c>
      <c r="BD39" s="202">
        <f t="shared" si="136"/>
        <v>1</v>
      </c>
      <c r="BE39" s="203">
        <f t="shared" si="67"/>
        <v>0.6304187625891372</v>
      </c>
      <c r="BF39" s="203">
        <f t="shared" si="68"/>
        <v>0.22378247301607512</v>
      </c>
      <c r="BG39" s="203">
        <f t="shared" si="137"/>
        <v>1.6704902538684528E-2</v>
      </c>
      <c r="BH39" s="203">
        <f t="shared" si="138"/>
        <v>3.0584937269863749E-2</v>
      </c>
      <c r="BI39" s="203">
        <v>0</v>
      </c>
      <c r="BJ39" s="203">
        <f t="shared" si="139"/>
        <v>1.0943754725809281E-2</v>
      </c>
      <c r="BK39" s="203">
        <f t="shared" si="140"/>
        <v>2.9622270192760687E-4</v>
      </c>
      <c r="BL39" s="203">
        <f t="shared" si="141"/>
        <v>8.4023565285315954E-6</v>
      </c>
      <c r="BM39" s="203">
        <f t="shared" si="69"/>
        <v>1.0935418942404752E-2</v>
      </c>
      <c r="BN39" s="203">
        <f t="shared" si="142"/>
        <v>4.2442057228879709E-3</v>
      </c>
      <c r="BO39" s="203">
        <v>0</v>
      </c>
      <c r="BP39" s="203">
        <f t="shared" si="143"/>
        <v>7.2080920136681353E-2</v>
      </c>
      <c r="BQ39" s="203">
        <f t="shared" si="144"/>
        <v>0</v>
      </c>
      <c r="BR39" s="203">
        <f t="shared" si="145"/>
        <v>1.0000000000000002</v>
      </c>
      <c r="BS39" s="117">
        <f t="shared" si="146"/>
        <v>95.21746080182993</v>
      </c>
      <c r="BT39" s="118" t="str">
        <f t="shared" si="71"/>
        <v xml:space="preserve">R1C2EA08 </v>
      </c>
      <c r="BU39" s="267">
        <f t="shared" si="72"/>
        <v>5.0042484162836014E-2</v>
      </c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</row>
    <row r="40" spans="1:85" s="138" customFormat="1" ht="16" thickBot="1" x14ac:dyDescent="0.25">
      <c r="A40" s="65" t="s">
        <v>84</v>
      </c>
      <c r="B40" s="133">
        <v>700</v>
      </c>
      <c r="C40" s="133">
        <v>800</v>
      </c>
      <c r="D40" s="133">
        <f t="shared" si="132"/>
        <v>750</v>
      </c>
      <c r="E40" s="134">
        <v>10.38</v>
      </c>
      <c r="F40" s="134">
        <v>0.56000000000000005</v>
      </c>
      <c r="G40" s="135">
        <v>33.01</v>
      </c>
      <c r="H40" s="135">
        <v>2.76E-2</v>
      </c>
      <c r="I40" s="135">
        <v>2.3999999999999998E-3</v>
      </c>
      <c r="J40" s="135">
        <v>0</v>
      </c>
      <c r="K40" s="135">
        <v>0</v>
      </c>
      <c r="L40" s="135">
        <v>0</v>
      </c>
      <c r="M40" s="135">
        <v>0</v>
      </c>
      <c r="N40" s="135">
        <v>0.05</v>
      </c>
      <c r="O40" s="135">
        <v>0</v>
      </c>
      <c r="P40" s="135">
        <v>0</v>
      </c>
      <c r="Q40" s="135">
        <v>23.04</v>
      </c>
      <c r="R40" s="135">
        <v>12.83</v>
      </c>
      <c r="S40" s="135">
        <v>0.18</v>
      </c>
      <c r="T40" s="135">
        <v>0</v>
      </c>
      <c r="U40" s="135">
        <v>19.920000000000002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85">
        <f t="shared" si="147"/>
        <v>100</v>
      </c>
      <c r="AF40" s="204">
        <f t="shared" ref="AF40" si="265">G40/SUM($G40:$AD40)</f>
        <v>0.3706490006737031</v>
      </c>
      <c r="AG40" s="204">
        <f t="shared" ref="AG40" si="266">H40/SUM($G40:$AD40)</f>
        <v>3.0990343588591958E-4</v>
      </c>
      <c r="AH40" s="204">
        <f t="shared" ref="AH40" si="267">I40/SUM($G40:$AD40)</f>
        <v>2.6948124859645179E-5</v>
      </c>
      <c r="AI40" s="204">
        <f t="shared" ref="AI40" si="268">J40/SUM($G40:$AD40)</f>
        <v>0</v>
      </c>
      <c r="AJ40" s="204">
        <f t="shared" ref="AJ40" si="269">K40/SUM($G40:$AD40)</f>
        <v>0</v>
      </c>
      <c r="AK40" s="204">
        <f t="shared" ref="AK40" si="270">L40/SUM($G40:$AD40)</f>
        <v>0</v>
      </c>
      <c r="AL40" s="204">
        <f t="shared" ref="AL40" si="271">M40/SUM($G40:$AD40)</f>
        <v>0</v>
      </c>
      <c r="AM40" s="204">
        <f t="shared" ref="AM40" si="272">N40/SUM($G40:$AD40)</f>
        <v>5.6141926790927469E-4</v>
      </c>
      <c r="AN40" s="204">
        <f t="shared" ref="AN40" si="273">O40/SUM($G40:$AD40)</f>
        <v>0</v>
      </c>
      <c r="AO40" s="204">
        <f t="shared" ref="AO40" si="274">P40/SUM($G40:$AD40)</f>
        <v>0</v>
      </c>
      <c r="AP40" s="204">
        <f t="shared" ref="AP40" si="275">Q40/SUM($G40:$AD40)</f>
        <v>0.25870199865259375</v>
      </c>
      <c r="AQ40" s="204">
        <f t="shared" ref="AQ40" si="276">R40/SUM($G40:$AD40)</f>
        <v>0.14406018414551988</v>
      </c>
      <c r="AR40" s="204">
        <f t="shared" ref="AR40" si="277">S40/SUM($G40:$AD40)</f>
        <v>2.0211093644733886E-3</v>
      </c>
      <c r="AS40" s="204">
        <f t="shared" ref="AS40" si="278">T40/SUM($G40:$AD40)</f>
        <v>0</v>
      </c>
      <c r="AT40" s="204">
        <f t="shared" ref="AT40" si="279">U40/SUM($G40:$AD40)</f>
        <v>0.22366943633505504</v>
      </c>
      <c r="AU40" s="204">
        <f t="shared" ref="AU40" si="280">V40/SUM($G40:$AD40)</f>
        <v>0</v>
      </c>
      <c r="AV40" s="204">
        <f t="shared" ref="AV40" si="281">W40/SUM($G40:$AD40)</f>
        <v>0</v>
      </c>
      <c r="AW40" s="204">
        <f t="shared" ref="AW40" si="282">X40/SUM($G40:$AD40)</f>
        <v>0</v>
      </c>
      <c r="AX40" s="204">
        <f t="shared" ref="AX40" si="283">Y40/SUM($G40:$AD40)</f>
        <v>0</v>
      </c>
      <c r="AY40" s="204">
        <f t="shared" ref="AY40" si="284">Z40/SUM($G40:$AD40)</f>
        <v>0</v>
      </c>
      <c r="AZ40" s="204">
        <f t="shared" ref="AZ40" si="285">AA40/SUM($G40:$AD40)</f>
        <v>0</v>
      </c>
      <c r="BA40" s="204">
        <f t="shared" ref="BA40" si="286">AB40/SUM($G40:$AD40)</f>
        <v>0</v>
      </c>
      <c r="BB40" s="204">
        <f t="shared" si="32"/>
        <v>0</v>
      </c>
      <c r="BC40" s="204">
        <f t="shared" si="33"/>
        <v>0</v>
      </c>
      <c r="BD40" s="205">
        <f t="shared" si="136"/>
        <v>1</v>
      </c>
      <c r="BE40" s="203">
        <f t="shared" si="67"/>
        <v>0.65082502346267956</v>
      </c>
      <c r="BF40" s="206">
        <f t="shared" si="68"/>
        <v>0.21380899937241107</v>
      </c>
      <c r="BG40" s="206">
        <f t="shared" si="137"/>
        <v>4.5281160285646953E-3</v>
      </c>
      <c r="BH40" s="206">
        <f t="shared" si="138"/>
        <v>3.4803641634936974E-2</v>
      </c>
      <c r="BI40" s="206">
        <v>0</v>
      </c>
      <c r="BJ40" s="206">
        <f t="shared" si="139"/>
        <v>1.2434548160553038E-2</v>
      </c>
      <c r="BK40" s="206">
        <f t="shared" si="140"/>
        <v>3.2666056916019894E-4</v>
      </c>
      <c r="BL40" s="206">
        <f t="shared" si="141"/>
        <v>3.1859092412177322E-6</v>
      </c>
      <c r="BM40" s="206">
        <f t="shared" si="69"/>
        <v>1.229397592651606E-2</v>
      </c>
      <c r="BN40" s="206">
        <f t="shared" si="142"/>
        <v>4.8296262209400831E-3</v>
      </c>
      <c r="BO40" s="206">
        <v>0</v>
      </c>
      <c r="BP40" s="206">
        <f t="shared" si="143"/>
        <v>6.6146222714997149E-2</v>
      </c>
      <c r="BQ40" s="206">
        <f t="shared" si="144"/>
        <v>0</v>
      </c>
      <c r="BR40" s="206">
        <f t="shared" si="145"/>
        <v>1</v>
      </c>
      <c r="BS40" s="136">
        <f t="shared" si="146"/>
        <v>94.424914945708878</v>
      </c>
      <c r="BT40" s="137" t="str">
        <f t="shared" si="71"/>
        <v xml:space="preserve">R1C2EA09 </v>
      </c>
      <c r="BU40" s="267">
        <f t="shared" si="72"/>
        <v>4.2464085410646002E-2</v>
      </c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</row>
    <row r="41" spans="1:85" s="132" customFormat="1" x14ac:dyDescent="0.2">
      <c r="A41" s="65" t="s">
        <v>140</v>
      </c>
      <c r="B41" s="128">
        <v>0</v>
      </c>
      <c r="C41" s="128">
        <v>10</v>
      </c>
      <c r="D41" s="128">
        <f t="shared" si="132"/>
        <v>5</v>
      </c>
      <c r="E41" s="124">
        <v>9.59</v>
      </c>
      <c r="F41" s="124">
        <v>1.64</v>
      </c>
      <c r="G41" s="129">
        <v>69.790000000000006</v>
      </c>
      <c r="H41" s="129">
        <v>1.7756000000000001</v>
      </c>
      <c r="I41" s="129">
        <v>0.15440000000000001</v>
      </c>
      <c r="J41" s="129">
        <v>0</v>
      </c>
      <c r="K41" s="129">
        <v>0</v>
      </c>
      <c r="L41" s="129">
        <v>0</v>
      </c>
      <c r="M41" s="129">
        <v>0.74</v>
      </c>
      <c r="N41" s="129">
        <v>0.32</v>
      </c>
      <c r="O41" s="129">
        <v>0.22</v>
      </c>
      <c r="P41" s="129">
        <v>0.01</v>
      </c>
      <c r="Q41" s="129">
        <v>4.95</v>
      </c>
      <c r="R41" s="129">
        <v>9.35</v>
      </c>
      <c r="S41" s="129">
        <v>1.44</v>
      </c>
      <c r="T41" s="129">
        <v>0</v>
      </c>
      <c r="U41" s="129">
        <v>0.02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83">
        <f t="shared" si="147"/>
        <v>99.999999999999986</v>
      </c>
      <c r="AF41" s="198">
        <f t="shared" ref="AF41:AF65" si="287">G41/SUM($G41:$AD41)</f>
        <v>0.78618902782471578</v>
      </c>
      <c r="AG41" s="198">
        <f t="shared" ref="AG41:AG65" si="288">H41/SUM($G41:$AD41)</f>
        <v>2.0002253013405434E-2</v>
      </c>
      <c r="AH41" s="198">
        <f t="shared" ref="AH41:AH65" si="289">I41/SUM($G41:$AD41)</f>
        <v>1.7393263489917769E-3</v>
      </c>
      <c r="AI41" s="198">
        <f t="shared" ref="AI41:AI65" si="290">J41/SUM($G41:$AD41)</f>
        <v>0</v>
      </c>
      <c r="AJ41" s="198">
        <f t="shared" ref="AJ41:AJ65" si="291">K41/SUM($G41:$AD41)</f>
        <v>0</v>
      </c>
      <c r="AK41" s="198">
        <f t="shared" ref="AK41:AK65" si="292">L41/SUM($G41:$AD41)</f>
        <v>0</v>
      </c>
      <c r="AL41" s="198">
        <f t="shared" ref="AL41:AL65" si="293">M41/SUM($G41:$AD41)</f>
        <v>8.3361496000901227E-3</v>
      </c>
      <c r="AM41" s="198">
        <f t="shared" ref="AM41:AM65" si="294">N41/SUM($G41:$AD41)</f>
        <v>3.6048214486876207E-3</v>
      </c>
      <c r="AN41" s="198">
        <f t="shared" ref="AN41:AN65" si="295">O41/SUM($G41:$AD41)</f>
        <v>2.478314745972739E-3</v>
      </c>
      <c r="AO41" s="198">
        <f t="shared" ref="AO41:AO65" si="296">P41/SUM($G41:$AD41)</f>
        <v>1.1265067027148815E-4</v>
      </c>
      <c r="AP41" s="198">
        <f t="shared" ref="AP41:AP65" si="297">Q41/SUM($G41:$AD41)</f>
        <v>5.576208178438663E-2</v>
      </c>
      <c r="AQ41" s="198">
        <f t="shared" ref="AQ41:AQ65" si="298">R41/SUM($G41:$AD41)</f>
        <v>0.1053283767038414</v>
      </c>
      <c r="AR41" s="198">
        <f t="shared" ref="AR41:AR65" si="299">S41/SUM($G41:$AD41)</f>
        <v>1.6221696519094293E-2</v>
      </c>
      <c r="AS41" s="198">
        <f t="shared" ref="AS41:AS65" si="300">T41/SUM($G41:$AD41)</f>
        <v>0</v>
      </c>
      <c r="AT41" s="198">
        <f t="shared" ref="AT41:AT65" si="301">U41/SUM($G41:$AD41)</f>
        <v>2.2530134054297629E-4</v>
      </c>
      <c r="AU41" s="198">
        <f t="shared" ref="AU41:AU65" si="302">V41/SUM($G41:$AD41)</f>
        <v>0</v>
      </c>
      <c r="AV41" s="198">
        <f t="shared" ref="AV41:AV65" si="303">W41/SUM($G41:$AD41)</f>
        <v>0</v>
      </c>
      <c r="AW41" s="198">
        <f t="shared" ref="AW41:AW65" si="304">X41/SUM($G41:$AD41)</f>
        <v>0</v>
      </c>
      <c r="AX41" s="198">
        <f t="shared" ref="AX41:AX65" si="305">Y41/SUM($G41:$AD41)</f>
        <v>0</v>
      </c>
      <c r="AY41" s="198">
        <f t="shared" ref="AY41:AY65" si="306">Z41/SUM($G41:$AD41)</f>
        <v>0</v>
      </c>
      <c r="AZ41" s="198">
        <f t="shared" ref="AZ41:AZ65" si="307">AA41/SUM($G41:$AD41)</f>
        <v>0</v>
      </c>
      <c r="BA41" s="198">
        <f t="shared" ref="BA41:BA65" si="308">AB41/SUM($G41:$AD41)</f>
        <v>0</v>
      </c>
      <c r="BB41" s="198">
        <f t="shared" ref="BB41:BB65" si="309">AC41/SUM($G41:$AD41)</f>
        <v>0</v>
      </c>
      <c r="BC41" s="198">
        <f t="shared" ref="BC41:BC65" si="310">AD41/SUM($G41:$AD41)</f>
        <v>0</v>
      </c>
      <c r="BD41" s="199">
        <f t="shared" ref="BD41:BD65" si="311">SUM(AF41:BB41)</f>
        <v>1</v>
      </c>
      <c r="BE41" s="203">
        <f t="shared" si="67"/>
        <v>0.88169146657594566</v>
      </c>
      <c r="BF41" s="200">
        <f t="shared" si="68"/>
        <v>7.5244891007406584E-2</v>
      </c>
      <c r="BG41" s="200">
        <f t="shared" ref="BG41:BG54" si="312">$BG$3*(AJ41*2.25*0.5/$AJ$2+AL41/$AL$2+AM41*0.9*0.5/$AM$2+AP41*0.05*0.5/$AP$2+AR41*0.24*0.5/$AR$2+AV41*0.3*0.5/$AV$2)</f>
        <v>1.2842048278390807E-2</v>
      </c>
      <c r="BH41" s="200">
        <f t="shared" ref="BH41:BH65" si="313">$BH$3*(AK41*2/$AK$2+AS41*0.39/$AS$2+AT41*0.87/$AT$2+AU41*0.25/$AU$2+AV41*0.63/$AV$2)</f>
        <v>3.5057570871607276E-5</v>
      </c>
      <c r="BI41" s="200">
        <v>0</v>
      </c>
      <c r="BJ41" s="200">
        <f t="shared" ref="BJ41:BJ65" si="314">$BJ$3*(AK41*2/$AK$2+AO41/$AO$2+AR41*0.2/$AR$2+AS41*0.23/$AS$2+AT41*0.56/$AT$2+AU41*0.25/$AU$2+AV41*1.21/$AV$2)</f>
        <v>3.0398767498228206E-4</v>
      </c>
      <c r="BK41" s="200">
        <f t="shared" ref="BK41:BK65" si="315">$BK$3*(AI41/$AI$2+AJ41/$AJ$2+AK41*2/$AK$2+AO41/$AO$2+AR41*0.08/$AR$2+AT41*0.01/$AT$2)</f>
        <v>1.8311602124697885E-4</v>
      </c>
      <c r="BL41" s="200">
        <f t="shared" ref="BL41:BL65" si="316">$BL$3*(0.5*AH41/$AH$2)</f>
        <v>2.0562973927156435E-4</v>
      </c>
      <c r="BM41" s="200">
        <f t="shared" si="69"/>
        <v>4.0368692684997287E-3</v>
      </c>
      <c r="BN41" s="200">
        <f t="shared" ref="BN41:BN65" si="317">$BN$3*(AS41*0.03/$AS$2+AT41*0.11/$AT$2+AV41*0.09/$AV$2)</f>
        <v>4.8648634329695022E-6</v>
      </c>
      <c r="BO41" s="200">
        <v>0</v>
      </c>
      <c r="BP41" s="200">
        <f t="shared" ref="BP41:BP65" si="318">$BP$3*(AJ41*0.5/$AJ$2+AK41/$AK$2+AM41*0.5/$AM$2+AN41*1.5/$AN$2+AP41*2/$AP$2+AQ41*2/$AQ$2+3.79*0.5*AR41/$AR$2+AR41/$AR$2+AS41/$AS$2+AT41/$AT$2+AU41/$AU$2+AV41/$AV$2)</f>
        <v>2.5398303046400748E-2</v>
      </c>
      <c r="BQ41" s="200">
        <f t="shared" ref="BQ41:BQ65" si="319">$BQ$3*(AO41*2/$AO$2)</f>
        <v>5.3765953551350806E-5</v>
      </c>
      <c r="BR41" s="200">
        <f t="shared" ref="BR41:BR65" si="320">SUM(BE41:BQ41)</f>
        <v>1.0000000000000004</v>
      </c>
      <c r="BS41" s="130">
        <f t="shared" ref="BS41:BS65" si="321">100*BF41/(BF41+BK41+BL41+BM41)</f>
        <v>94.445102398377003</v>
      </c>
      <c r="BT41" s="131" t="str">
        <f t="shared" ref="BT41:BT65" si="322">A41</f>
        <v xml:space="preserve">R1C3EA01 </v>
      </c>
      <c r="BU41" s="267">
        <f t="shared" si="72"/>
        <v>1.2880261030640858E-2</v>
      </c>
    </row>
    <row r="42" spans="1:85" s="48" customFormat="1" x14ac:dyDescent="0.2">
      <c r="A42" s="65" t="s">
        <v>141</v>
      </c>
      <c r="B42" s="67">
        <v>10</v>
      </c>
      <c r="C42" s="67">
        <v>18</v>
      </c>
      <c r="D42" s="67">
        <f t="shared" si="132"/>
        <v>14</v>
      </c>
      <c r="E42" s="106">
        <v>10.24</v>
      </c>
      <c r="F42" s="106">
        <v>2.02</v>
      </c>
      <c r="G42" s="69">
        <v>67.44</v>
      </c>
      <c r="H42" s="69">
        <v>2.6036000000000001</v>
      </c>
      <c r="I42" s="129">
        <v>0.22640000000000002</v>
      </c>
      <c r="J42" s="69">
        <v>0</v>
      </c>
      <c r="K42" s="69">
        <v>0</v>
      </c>
      <c r="L42" s="69">
        <v>0</v>
      </c>
      <c r="M42" s="69">
        <v>0.82</v>
      </c>
      <c r="N42" s="69">
        <v>0.27</v>
      </c>
      <c r="O42" s="69">
        <v>0.14000000000000001</v>
      </c>
      <c r="P42" s="69">
        <v>0</v>
      </c>
      <c r="Q42" s="69">
        <v>5.54</v>
      </c>
      <c r="R42" s="69">
        <v>9.41</v>
      </c>
      <c r="S42" s="69">
        <v>1.28</v>
      </c>
      <c r="T42" s="69">
        <v>0</v>
      </c>
      <c r="U42" s="69">
        <v>0.02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184">
        <f t="shared" si="147"/>
        <v>100.00999999999999</v>
      </c>
      <c r="AF42" s="201">
        <f t="shared" si="287"/>
        <v>0.76854700854700864</v>
      </c>
      <c r="AG42" s="201">
        <f t="shared" si="288"/>
        <v>2.9670655270655277E-2</v>
      </c>
      <c r="AH42" s="201">
        <f t="shared" si="289"/>
        <v>2.5800569800569807E-3</v>
      </c>
      <c r="AI42" s="201">
        <f t="shared" si="290"/>
        <v>0</v>
      </c>
      <c r="AJ42" s="201">
        <f t="shared" si="291"/>
        <v>0</v>
      </c>
      <c r="AK42" s="201">
        <f t="shared" si="292"/>
        <v>0</v>
      </c>
      <c r="AL42" s="201">
        <f t="shared" si="293"/>
        <v>9.3447293447293453E-3</v>
      </c>
      <c r="AM42" s="201">
        <f t="shared" si="294"/>
        <v>3.0769230769230778E-3</v>
      </c>
      <c r="AN42" s="201">
        <f t="shared" si="295"/>
        <v>1.5954415954415959E-3</v>
      </c>
      <c r="AO42" s="201">
        <f t="shared" si="296"/>
        <v>0</v>
      </c>
      <c r="AP42" s="201">
        <f t="shared" si="297"/>
        <v>6.3133903133903144E-2</v>
      </c>
      <c r="AQ42" s="201">
        <f t="shared" si="298"/>
        <v>0.10723646723646725</v>
      </c>
      <c r="AR42" s="201">
        <f t="shared" si="299"/>
        <v>1.458689458689459E-2</v>
      </c>
      <c r="AS42" s="201">
        <f t="shared" si="300"/>
        <v>0</v>
      </c>
      <c r="AT42" s="201">
        <f t="shared" si="301"/>
        <v>2.2792022792022797E-4</v>
      </c>
      <c r="AU42" s="201">
        <f t="shared" si="302"/>
        <v>0</v>
      </c>
      <c r="AV42" s="201">
        <f t="shared" si="303"/>
        <v>0</v>
      </c>
      <c r="AW42" s="201">
        <f t="shared" si="304"/>
        <v>0</v>
      </c>
      <c r="AX42" s="201">
        <f t="shared" si="305"/>
        <v>0</v>
      </c>
      <c r="AY42" s="201">
        <f t="shared" si="306"/>
        <v>0</v>
      </c>
      <c r="AZ42" s="201">
        <f t="shared" si="307"/>
        <v>0</v>
      </c>
      <c r="BA42" s="201">
        <f t="shared" si="308"/>
        <v>0</v>
      </c>
      <c r="BB42" s="201">
        <f t="shared" si="309"/>
        <v>0</v>
      </c>
      <c r="BC42" s="201">
        <f t="shared" si="310"/>
        <v>0</v>
      </c>
      <c r="BD42" s="202">
        <f t="shared" si="311"/>
        <v>1</v>
      </c>
      <c r="BE42" s="203">
        <f t="shared" si="67"/>
        <v>0.874538674173578</v>
      </c>
      <c r="BF42" s="203">
        <f t="shared" si="68"/>
        <v>7.9509323221552422E-2</v>
      </c>
      <c r="BG42" s="203">
        <f t="shared" si="312"/>
        <v>1.3458771726302976E-2</v>
      </c>
      <c r="BH42" s="203">
        <f t="shared" si="313"/>
        <v>3.5465077678319974E-5</v>
      </c>
      <c r="BI42" s="203">
        <v>0</v>
      </c>
      <c r="BJ42" s="203">
        <f t="shared" si="314"/>
        <v>2.526153405885376E-4</v>
      </c>
      <c r="BK42" s="203">
        <f t="shared" si="315"/>
        <v>1.3388727412107397E-4</v>
      </c>
      <c r="BL42" s="203">
        <f t="shared" si="316"/>
        <v>3.0502409419740523E-4</v>
      </c>
      <c r="BM42" s="203">
        <f t="shared" si="69"/>
        <v>5.6089492728463568E-3</v>
      </c>
      <c r="BN42" s="203">
        <f t="shared" si="317"/>
        <v>4.9214122728741046E-6</v>
      </c>
      <c r="BO42" s="203">
        <v>0</v>
      </c>
      <c r="BP42" s="203">
        <f t="shared" si="318"/>
        <v>2.6152368406862185E-2</v>
      </c>
      <c r="BQ42" s="203">
        <f t="shared" si="319"/>
        <v>0</v>
      </c>
      <c r="BR42" s="203">
        <f t="shared" si="320"/>
        <v>1.0000000000000002</v>
      </c>
      <c r="BS42" s="117">
        <f t="shared" si="321"/>
        <v>92.931206512279473</v>
      </c>
      <c r="BT42" s="118" t="str">
        <f t="shared" si="322"/>
        <v xml:space="preserve">R1C3EA02 </v>
      </c>
      <c r="BU42" s="267">
        <f t="shared" si="72"/>
        <v>1.3497428660972345E-2</v>
      </c>
    </row>
    <row r="43" spans="1:85" s="48" customFormat="1" x14ac:dyDescent="0.2">
      <c r="A43" s="65" t="s">
        <v>142</v>
      </c>
      <c r="B43" s="67">
        <v>18</v>
      </c>
      <c r="C43" s="67">
        <v>58</v>
      </c>
      <c r="D43" s="67">
        <f t="shared" si="132"/>
        <v>38</v>
      </c>
      <c r="E43" s="106">
        <v>9.25</v>
      </c>
      <c r="F43" s="106">
        <v>1.81</v>
      </c>
      <c r="G43" s="69">
        <v>43.18</v>
      </c>
      <c r="H43" s="69">
        <v>1.978</v>
      </c>
      <c r="I43" s="129">
        <v>0.17199999999999999</v>
      </c>
      <c r="J43" s="69">
        <v>0</v>
      </c>
      <c r="K43" s="69">
        <v>0</v>
      </c>
      <c r="L43" s="69">
        <v>0</v>
      </c>
      <c r="M43" s="69">
        <v>1.04</v>
      </c>
      <c r="N43" s="69">
        <v>0.35</v>
      </c>
      <c r="O43" s="69">
        <v>0</v>
      </c>
      <c r="P43" s="69">
        <v>0</v>
      </c>
      <c r="Q43" s="69">
        <v>13.84</v>
      </c>
      <c r="R43" s="69">
        <v>24.66</v>
      </c>
      <c r="S43" s="69">
        <v>3.44</v>
      </c>
      <c r="T43" s="69">
        <v>0</v>
      </c>
      <c r="U43" s="69">
        <v>0.27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  <c r="AE43" s="184">
        <f t="shared" si="147"/>
        <v>99.99</v>
      </c>
      <c r="AF43" s="201">
        <f t="shared" si="287"/>
        <v>0.48555043292477235</v>
      </c>
      <c r="AG43" s="201">
        <f t="shared" si="288"/>
        <v>2.2242212976498373E-2</v>
      </c>
      <c r="AH43" s="201">
        <f t="shared" si="289"/>
        <v>1.9341054762172494E-3</v>
      </c>
      <c r="AI43" s="201">
        <f t="shared" si="290"/>
        <v>0</v>
      </c>
      <c r="AJ43" s="201">
        <f t="shared" si="291"/>
        <v>0</v>
      </c>
      <c r="AK43" s="201">
        <f t="shared" si="292"/>
        <v>0</v>
      </c>
      <c r="AL43" s="201">
        <f t="shared" si="293"/>
        <v>1.1694591251546161E-2</v>
      </c>
      <c r="AM43" s="201">
        <f t="shared" si="294"/>
        <v>3.9356797481164959E-3</v>
      </c>
      <c r="AN43" s="201">
        <f t="shared" si="295"/>
        <v>0</v>
      </c>
      <c r="AO43" s="201">
        <f t="shared" si="296"/>
        <v>0</v>
      </c>
      <c r="AP43" s="201">
        <f t="shared" si="297"/>
        <v>0.15562802203980661</v>
      </c>
      <c r="AQ43" s="201">
        <f t="shared" si="298"/>
        <v>0.27729675025300798</v>
      </c>
      <c r="AR43" s="201">
        <f t="shared" si="299"/>
        <v>3.868210952434499E-2</v>
      </c>
      <c r="AS43" s="201">
        <f t="shared" si="300"/>
        <v>0</v>
      </c>
      <c r="AT43" s="201">
        <f t="shared" si="301"/>
        <v>3.0360958056898689E-3</v>
      </c>
      <c r="AU43" s="201">
        <f t="shared" si="302"/>
        <v>0</v>
      </c>
      <c r="AV43" s="201">
        <f t="shared" si="303"/>
        <v>0</v>
      </c>
      <c r="AW43" s="201">
        <f t="shared" si="304"/>
        <v>0</v>
      </c>
      <c r="AX43" s="201">
        <f t="shared" si="305"/>
        <v>0</v>
      </c>
      <c r="AY43" s="201">
        <f t="shared" si="306"/>
        <v>0</v>
      </c>
      <c r="AZ43" s="201">
        <f t="shared" si="307"/>
        <v>0</v>
      </c>
      <c r="BA43" s="201">
        <f t="shared" si="308"/>
        <v>0</v>
      </c>
      <c r="BB43" s="201">
        <f t="shared" si="309"/>
        <v>0</v>
      </c>
      <c r="BC43" s="201">
        <f t="shared" si="310"/>
        <v>0</v>
      </c>
      <c r="BD43" s="202">
        <f t="shared" si="311"/>
        <v>1</v>
      </c>
      <c r="BE43" s="203">
        <f t="shared" si="67"/>
        <v>0.71896019133708888</v>
      </c>
      <c r="BF43" s="203">
        <f t="shared" si="68"/>
        <v>0.18983480815718035</v>
      </c>
      <c r="BG43" s="203">
        <f t="shared" si="312"/>
        <v>1.8891902849051137E-2</v>
      </c>
      <c r="BH43" s="203">
        <f t="shared" si="313"/>
        <v>4.7242570161565056E-4</v>
      </c>
      <c r="BI43" s="203">
        <v>0</v>
      </c>
      <c r="BJ43" s="203">
        <f t="shared" si="314"/>
        <v>8.047197893288929E-4</v>
      </c>
      <c r="BK43" s="203">
        <f t="shared" si="315"/>
        <v>3.583977966734485E-4</v>
      </c>
      <c r="BL43" s="203">
        <f t="shared" si="316"/>
        <v>2.2865726436490505E-4</v>
      </c>
      <c r="BM43" s="203">
        <f t="shared" si="69"/>
        <v>5.453938867193836E-3</v>
      </c>
      <c r="BN43" s="203">
        <f t="shared" si="317"/>
        <v>6.5557494813375531E-5</v>
      </c>
      <c r="BO43" s="203">
        <v>0</v>
      </c>
      <c r="BP43" s="203">
        <f t="shared" si="318"/>
        <v>6.49294007426897E-2</v>
      </c>
      <c r="BQ43" s="203">
        <f t="shared" si="319"/>
        <v>0</v>
      </c>
      <c r="BR43" s="203">
        <f t="shared" si="320"/>
        <v>1.0000000000000002</v>
      </c>
      <c r="BS43" s="117">
        <f t="shared" si="321"/>
        <v>96.915905964945068</v>
      </c>
      <c r="BT43" s="118" t="str">
        <f t="shared" si="322"/>
        <v xml:space="preserve">R1C3EA03 </v>
      </c>
      <c r="BU43" s="267">
        <f t="shared" si="72"/>
        <v>1.9406846863812197E-2</v>
      </c>
    </row>
    <row r="44" spans="1:85" s="48" customFormat="1" x14ac:dyDescent="0.2">
      <c r="A44" s="65" t="s">
        <v>143</v>
      </c>
      <c r="B44" s="67">
        <v>58</v>
      </c>
      <c r="C44" s="67">
        <v>86</v>
      </c>
      <c r="D44" s="67">
        <f t="shared" si="132"/>
        <v>72</v>
      </c>
      <c r="E44" s="106">
        <v>9.5</v>
      </c>
      <c r="F44" s="106">
        <v>0.81</v>
      </c>
      <c r="G44" s="69">
        <v>21.59</v>
      </c>
      <c r="H44" s="69">
        <v>1.4536000000000002</v>
      </c>
      <c r="I44" s="129">
        <v>0.12640000000000001</v>
      </c>
      <c r="J44" s="69">
        <v>0</v>
      </c>
      <c r="K44" s="69">
        <v>0</v>
      </c>
      <c r="L44" s="69">
        <v>0</v>
      </c>
      <c r="M44" s="69">
        <v>1.38</v>
      </c>
      <c r="N44" s="69">
        <v>1.93</v>
      </c>
      <c r="O44" s="69">
        <v>0</v>
      </c>
      <c r="P44" s="69">
        <v>0</v>
      </c>
      <c r="Q44" s="69">
        <v>22.83</v>
      </c>
      <c r="R44" s="69">
        <v>37.01</v>
      </c>
      <c r="S44" s="69">
        <v>3.22</v>
      </c>
      <c r="T44" s="69">
        <v>0</v>
      </c>
      <c r="U44" s="69">
        <v>0.15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184">
        <f t="shared" si="147"/>
        <v>100</v>
      </c>
      <c r="AF44" s="201">
        <f t="shared" si="287"/>
        <v>0.24071802876574869</v>
      </c>
      <c r="AG44" s="201">
        <f t="shared" si="288"/>
        <v>1.6206934998327576E-2</v>
      </c>
      <c r="AH44" s="201">
        <f t="shared" si="289"/>
        <v>1.4092986955067455E-3</v>
      </c>
      <c r="AI44" s="201">
        <f t="shared" si="290"/>
        <v>0</v>
      </c>
      <c r="AJ44" s="201">
        <f t="shared" si="291"/>
        <v>0</v>
      </c>
      <c r="AK44" s="201">
        <f t="shared" si="292"/>
        <v>0</v>
      </c>
      <c r="AL44" s="201">
        <f t="shared" si="293"/>
        <v>1.5386330694614784E-2</v>
      </c>
      <c r="AM44" s="201">
        <f t="shared" si="294"/>
        <v>2.1518563942468504E-2</v>
      </c>
      <c r="AN44" s="201">
        <f t="shared" si="295"/>
        <v>0</v>
      </c>
      <c r="AO44" s="201">
        <f t="shared" si="296"/>
        <v>0</v>
      </c>
      <c r="AP44" s="201">
        <f t="shared" si="297"/>
        <v>0.25454342736090979</v>
      </c>
      <c r="AQ44" s="201">
        <f t="shared" si="298"/>
        <v>0.41264355000557473</v>
      </c>
      <c r="AR44" s="201">
        <f t="shared" si="299"/>
        <v>3.5901438287434501E-2</v>
      </c>
      <c r="AS44" s="201">
        <f t="shared" si="300"/>
        <v>0</v>
      </c>
      <c r="AT44" s="201">
        <f t="shared" si="301"/>
        <v>1.6724272494146504E-3</v>
      </c>
      <c r="AU44" s="201">
        <f t="shared" si="302"/>
        <v>0</v>
      </c>
      <c r="AV44" s="201">
        <f t="shared" si="303"/>
        <v>0</v>
      </c>
      <c r="AW44" s="201">
        <f t="shared" si="304"/>
        <v>0</v>
      </c>
      <c r="AX44" s="201">
        <f t="shared" si="305"/>
        <v>0</v>
      </c>
      <c r="AY44" s="201">
        <f t="shared" si="306"/>
        <v>0</v>
      </c>
      <c r="AZ44" s="201">
        <f t="shared" si="307"/>
        <v>0</v>
      </c>
      <c r="BA44" s="201">
        <f t="shared" si="308"/>
        <v>0</v>
      </c>
      <c r="BB44" s="201">
        <f t="shared" si="309"/>
        <v>0</v>
      </c>
      <c r="BC44" s="201">
        <f t="shared" si="310"/>
        <v>0</v>
      </c>
      <c r="BD44" s="202">
        <f t="shared" si="311"/>
        <v>1</v>
      </c>
      <c r="BE44" s="203">
        <f t="shared" si="67"/>
        <v>0.57695200209684028</v>
      </c>
      <c r="BF44" s="203">
        <f t="shared" si="68"/>
        <v>0.27961118393728013</v>
      </c>
      <c r="BG44" s="203">
        <f t="shared" si="312"/>
        <v>3.8695549472126972E-2</v>
      </c>
      <c r="BH44" s="203">
        <f t="shared" si="313"/>
        <v>2.6023474464315229E-4</v>
      </c>
      <c r="BI44" s="203">
        <v>0</v>
      </c>
      <c r="BJ44" s="203">
        <f t="shared" si="314"/>
        <v>6.8336491126252496E-4</v>
      </c>
      <c r="BK44" s="203">
        <f t="shared" si="315"/>
        <v>3.3105623704593804E-4</v>
      </c>
      <c r="BL44" s="203">
        <f t="shared" si="316"/>
        <v>1.6661262188133385E-4</v>
      </c>
      <c r="BM44" s="203">
        <f t="shared" si="69"/>
        <v>4.2487474873091607E-3</v>
      </c>
      <c r="BN44" s="203">
        <f t="shared" si="317"/>
        <v>3.6112213759452219E-5</v>
      </c>
      <c r="BO44" s="203">
        <v>0</v>
      </c>
      <c r="BP44" s="203">
        <f t="shared" si="318"/>
        <v>9.9015136277850899E-2</v>
      </c>
      <c r="BQ44" s="203">
        <f t="shared" si="319"/>
        <v>0</v>
      </c>
      <c r="BR44" s="203">
        <f t="shared" si="320"/>
        <v>0.99999999999999989</v>
      </c>
      <c r="BS44" s="117">
        <f t="shared" si="321"/>
        <v>98.33082838598159</v>
      </c>
      <c r="BT44" s="118" t="str">
        <f t="shared" si="322"/>
        <v xml:space="preserve">R1C3EA04 </v>
      </c>
      <c r="BU44" s="267">
        <f t="shared" si="72"/>
        <v>3.8979205343788008E-2</v>
      </c>
    </row>
    <row r="45" spans="1:85" s="48" customFormat="1" x14ac:dyDescent="0.2">
      <c r="A45" s="65" t="s">
        <v>144</v>
      </c>
      <c r="B45" s="67">
        <v>86</v>
      </c>
      <c r="C45" s="67">
        <v>135</v>
      </c>
      <c r="D45" s="67">
        <f t="shared" si="132"/>
        <v>110.5</v>
      </c>
      <c r="E45" s="106">
        <v>9.07</v>
      </c>
      <c r="F45" s="106">
        <v>0.38</v>
      </c>
      <c r="G45" s="69">
        <v>20.239999999999998</v>
      </c>
      <c r="H45" s="69">
        <v>0.54279999999999995</v>
      </c>
      <c r="I45" s="129">
        <v>4.7199999999999999E-2</v>
      </c>
      <c r="J45" s="69">
        <v>0</v>
      </c>
      <c r="K45" s="69">
        <v>0</v>
      </c>
      <c r="L45" s="69">
        <v>0</v>
      </c>
      <c r="M45" s="69">
        <v>1.48</v>
      </c>
      <c r="N45" s="69">
        <v>1.6</v>
      </c>
      <c r="O45" s="69">
        <v>0</v>
      </c>
      <c r="P45" s="69">
        <v>0</v>
      </c>
      <c r="Q45" s="69">
        <v>22.44</v>
      </c>
      <c r="R45" s="69">
        <v>39.94</v>
      </c>
      <c r="S45" s="69">
        <v>4.1500000000000004</v>
      </c>
      <c r="T45" s="69">
        <v>0</v>
      </c>
      <c r="U45" s="69">
        <v>0.11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184">
        <f t="shared" si="147"/>
        <v>100</v>
      </c>
      <c r="AF45" s="201">
        <f t="shared" si="287"/>
        <v>0.22352291551628933</v>
      </c>
      <c r="AG45" s="201">
        <f t="shared" si="288"/>
        <v>5.9944781888459408E-3</v>
      </c>
      <c r="AH45" s="201">
        <f t="shared" si="289"/>
        <v>5.212589729431254E-4</v>
      </c>
      <c r="AI45" s="201">
        <f t="shared" si="290"/>
        <v>0</v>
      </c>
      <c r="AJ45" s="201">
        <f t="shared" si="291"/>
        <v>0</v>
      </c>
      <c r="AK45" s="201">
        <f t="shared" si="292"/>
        <v>0</v>
      </c>
      <c r="AL45" s="201">
        <f t="shared" si="293"/>
        <v>1.6344561016013254E-2</v>
      </c>
      <c r="AM45" s="201">
        <f t="shared" si="294"/>
        <v>1.7669795692987302E-2</v>
      </c>
      <c r="AN45" s="201">
        <f t="shared" si="295"/>
        <v>0</v>
      </c>
      <c r="AO45" s="201">
        <f t="shared" si="296"/>
        <v>0</v>
      </c>
      <c r="AP45" s="201">
        <f t="shared" si="297"/>
        <v>0.24781888459414692</v>
      </c>
      <c r="AQ45" s="201">
        <f t="shared" si="298"/>
        <v>0.44108227498619546</v>
      </c>
      <c r="AR45" s="201">
        <f t="shared" si="299"/>
        <v>4.5831032578685815E-2</v>
      </c>
      <c r="AS45" s="201">
        <f t="shared" si="300"/>
        <v>0</v>
      </c>
      <c r="AT45" s="201">
        <f t="shared" si="301"/>
        <v>1.2147984538928768E-3</v>
      </c>
      <c r="AU45" s="201">
        <f t="shared" si="302"/>
        <v>0</v>
      </c>
      <c r="AV45" s="201">
        <f t="shared" si="303"/>
        <v>0</v>
      </c>
      <c r="AW45" s="201">
        <f t="shared" si="304"/>
        <v>0</v>
      </c>
      <c r="AX45" s="201">
        <f t="shared" si="305"/>
        <v>0</v>
      </c>
      <c r="AY45" s="201">
        <f t="shared" si="306"/>
        <v>0</v>
      </c>
      <c r="AZ45" s="201">
        <f t="shared" si="307"/>
        <v>0</v>
      </c>
      <c r="BA45" s="201">
        <f t="shared" si="308"/>
        <v>0</v>
      </c>
      <c r="BB45" s="201">
        <f t="shared" si="309"/>
        <v>0</v>
      </c>
      <c r="BC45" s="201">
        <f t="shared" si="310"/>
        <v>0</v>
      </c>
      <c r="BD45" s="202">
        <f t="shared" si="311"/>
        <v>1</v>
      </c>
      <c r="BE45" s="203">
        <f t="shared" si="67"/>
        <v>0.56641075474100266</v>
      </c>
      <c r="BF45" s="203">
        <f t="shared" si="68"/>
        <v>0.28977945795316523</v>
      </c>
      <c r="BG45" s="203">
        <f t="shared" si="312"/>
        <v>3.6721220055781559E-2</v>
      </c>
      <c r="BH45" s="203">
        <f t="shared" si="313"/>
        <v>1.8902631821644589E-4</v>
      </c>
      <c r="BI45" s="203">
        <v>0</v>
      </c>
      <c r="BJ45" s="203">
        <f t="shared" si="314"/>
        <v>8.213499183299277E-4</v>
      </c>
      <c r="BK45" s="203">
        <f t="shared" si="315"/>
        <v>4.2135177809711418E-4</v>
      </c>
      <c r="BL45" s="203">
        <f t="shared" si="316"/>
        <v>6.1625207231173296E-5</v>
      </c>
      <c r="BM45" s="203">
        <f t="shared" si="69"/>
        <v>2.8867291672100672E-3</v>
      </c>
      <c r="BN45" s="203">
        <f t="shared" si="317"/>
        <v>2.6230774137999606E-5</v>
      </c>
      <c r="BO45" s="203">
        <v>0</v>
      </c>
      <c r="BP45" s="203">
        <f t="shared" si="318"/>
        <v>0.10268225408682782</v>
      </c>
      <c r="BQ45" s="203">
        <f t="shared" si="319"/>
        <v>0</v>
      </c>
      <c r="BR45" s="203">
        <f t="shared" si="320"/>
        <v>1</v>
      </c>
      <c r="BS45" s="117">
        <f t="shared" si="321"/>
        <v>98.850514835060793</v>
      </c>
      <c r="BT45" s="118" t="str">
        <f t="shared" si="322"/>
        <v xml:space="preserve">R1C3EA05 </v>
      </c>
      <c r="BU45" s="267">
        <f t="shared" si="72"/>
        <v>3.6927258742637484E-2</v>
      </c>
    </row>
    <row r="46" spans="1:85" s="48" customFormat="1" x14ac:dyDescent="0.2">
      <c r="A46" s="65" t="s">
        <v>145</v>
      </c>
      <c r="B46" s="67">
        <v>135</v>
      </c>
      <c r="C46" s="67">
        <v>200</v>
      </c>
      <c r="D46" s="67">
        <f t="shared" si="132"/>
        <v>167.5</v>
      </c>
      <c r="E46" s="106">
        <v>9.3800000000000008</v>
      </c>
      <c r="F46" s="106">
        <v>0.89</v>
      </c>
      <c r="G46" s="69">
        <v>17.79</v>
      </c>
      <c r="H46" s="69">
        <v>0.37719999999999998</v>
      </c>
      <c r="I46" s="129">
        <v>3.2799999999999996E-2</v>
      </c>
      <c r="J46" s="69">
        <v>0</v>
      </c>
      <c r="K46" s="69">
        <v>0</v>
      </c>
      <c r="L46" s="69">
        <v>0</v>
      </c>
      <c r="M46" s="69">
        <v>1.3</v>
      </c>
      <c r="N46" s="69">
        <v>5.3</v>
      </c>
      <c r="O46" s="69">
        <v>0</v>
      </c>
      <c r="P46" s="69">
        <v>0</v>
      </c>
      <c r="Q46" s="69">
        <v>18.11</v>
      </c>
      <c r="R46" s="69">
        <v>43.15</v>
      </c>
      <c r="S46" s="69">
        <v>3.58</v>
      </c>
      <c r="T46" s="69">
        <v>0</v>
      </c>
      <c r="U46" s="69">
        <v>0.08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184">
        <f t="shared" si="147"/>
        <v>99.99</v>
      </c>
      <c r="AF46" s="201">
        <f t="shared" si="287"/>
        <v>0.1982835488185466</v>
      </c>
      <c r="AG46" s="201">
        <f t="shared" si="288"/>
        <v>4.2041908158716003E-3</v>
      </c>
      <c r="AH46" s="201">
        <f t="shared" si="289"/>
        <v>3.655818100757913E-4</v>
      </c>
      <c r="AI46" s="201">
        <f t="shared" si="290"/>
        <v>0</v>
      </c>
      <c r="AJ46" s="201">
        <f t="shared" si="291"/>
        <v>0</v>
      </c>
      <c r="AK46" s="201">
        <f t="shared" si="292"/>
        <v>0</v>
      </c>
      <c r="AL46" s="201">
        <f t="shared" si="293"/>
        <v>1.4489522960320999E-2</v>
      </c>
      <c r="AM46" s="201">
        <f t="shared" si="294"/>
        <v>5.9072670530539453E-2</v>
      </c>
      <c r="AN46" s="201">
        <f t="shared" si="295"/>
        <v>0</v>
      </c>
      <c r="AO46" s="201">
        <f t="shared" si="296"/>
        <v>0</v>
      </c>
      <c r="AP46" s="201">
        <f t="shared" si="297"/>
        <v>0.20185020062416406</v>
      </c>
      <c r="AQ46" s="201">
        <f t="shared" si="298"/>
        <v>0.4809407044137316</v>
      </c>
      <c r="AR46" s="201">
        <f t="shared" si="299"/>
        <v>3.9901917075345524E-2</v>
      </c>
      <c r="AS46" s="201">
        <f t="shared" si="300"/>
        <v>0</v>
      </c>
      <c r="AT46" s="201">
        <f t="shared" si="301"/>
        <v>8.9166295140436923E-4</v>
      </c>
      <c r="AU46" s="201">
        <f t="shared" si="302"/>
        <v>0</v>
      </c>
      <c r="AV46" s="201">
        <f t="shared" si="303"/>
        <v>0</v>
      </c>
      <c r="AW46" s="201">
        <f t="shared" si="304"/>
        <v>0</v>
      </c>
      <c r="AX46" s="201">
        <f t="shared" si="305"/>
        <v>0</v>
      </c>
      <c r="AY46" s="201">
        <f t="shared" si="306"/>
        <v>0</v>
      </c>
      <c r="AZ46" s="201">
        <f t="shared" si="307"/>
        <v>0</v>
      </c>
      <c r="BA46" s="201">
        <f t="shared" si="308"/>
        <v>0</v>
      </c>
      <c r="BB46" s="201">
        <f t="shared" si="309"/>
        <v>0</v>
      </c>
      <c r="BC46" s="201">
        <f t="shared" si="310"/>
        <v>0</v>
      </c>
      <c r="BD46" s="202">
        <f t="shared" si="311"/>
        <v>1</v>
      </c>
      <c r="BE46" s="203">
        <f t="shared" si="67"/>
        <v>0.53469256910612784</v>
      </c>
      <c r="BF46" s="203">
        <f t="shared" si="68"/>
        <v>0.2876064963918688</v>
      </c>
      <c r="BG46" s="203">
        <f t="shared" si="312"/>
        <v>6.8539263206286311E-2</v>
      </c>
      <c r="BH46" s="203">
        <f t="shared" si="313"/>
        <v>1.3874545547358792E-4</v>
      </c>
      <c r="BI46" s="203">
        <v>0</v>
      </c>
      <c r="BJ46" s="203">
        <f t="shared" si="314"/>
        <v>7.0589006676512981E-4</v>
      </c>
      <c r="BK46" s="203">
        <f t="shared" si="315"/>
        <v>3.6661324296909949E-4</v>
      </c>
      <c r="BL46" s="203">
        <f t="shared" si="316"/>
        <v>4.3220464251511742E-5</v>
      </c>
      <c r="BM46" s="203">
        <f t="shared" si="69"/>
        <v>2.3324996563274152E-3</v>
      </c>
      <c r="BN46" s="203">
        <f t="shared" si="317"/>
        <v>1.9253407353754017E-5</v>
      </c>
      <c r="BO46" s="203">
        <v>0</v>
      </c>
      <c r="BP46" s="203">
        <f t="shared" si="318"/>
        <v>0.10555544900257649</v>
      </c>
      <c r="BQ46" s="203">
        <f t="shared" si="319"/>
        <v>0</v>
      </c>
      <c r="BR46" s="203">
        <f t="shared" si="320"/>
        <v>1</v>
      </c>
      <c r="BS46" s="117">
        <f t="shared" si="321"/>
        <v>99.055503903405381</v>
      </c>
      <c r="BT46" s="118" t="str">
        <f t="shared" si="322"/>
        <v xml:space="preserve">R1C3EA06 </v>
      </c>
      <c r="BU46" s="267">
        <f t="shared" si="72"/>
        <v>6.8690495752752517E-2</v>
      </c>
    </row>
    <row r="47" spans="1:85" s="48" customFormat="1" x14ac:dyDescent="0.2">
      <c r="A47" s="65" t="s">
        <v>146</v>
      </c>
      <c r="B47" s="67">
        <v>200</v>
      </c>
      <c r="C47" s="67">
        <v>300</v>
      </c>
      <c r="D47" s="67">
        <f t="shared" si="132"/>
        <v>250</v>
      </c>
      <c r="E47" s="106">
        <v>10.44</v>
      </c>
      <c r="F47" s="106">
        <v>1.02</v>
      </c>
      <c r="G47" s="69">
        <v>18.59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0.12</v>
      </c>
      <c r="N47" s="69">
        <v>4.54</v>
      </c>
      <c r="O47" s="69">
        <v>0</v>
      </c>
      <c r="P47" s="69">
        <v>0</v>
      </c>
      <c r="Q47" s="69">
        <v>19.23</v>
      </c>
      <c r="R47" s="69">
        <v>36.840000000000003</v>
      </c>
      <c r="S47" s="69">
        <v>3.56</v>
      </c>
      <c r="T47" s="69">
        <v>0</v>
      </c>
      <c r="U47" s="69">
        <v>5.65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184">
        <f t="shared" si="147"/>
        <v>99.990000000000009</v>
      </c>
      <c r="AF47" s="201">
        <f t="shared" si="287"/>
        <v>0.20998531571218793</v>
      </c>
      <c r="AG47" s="201">
        <f t="shared" si="288"/>
        <v>0</v>
      </c>
      <c r="AH47" s="201">
        <f t="shared" si="289"/>
        <v>0</v>
      </c>
      <c r="AI47" s="201">
        <f t="shared" si="290"/>
        <v>0</v>
      </c>
      <c r="AJ47" s="201">
        <f t="shared" si="291"/>
        <v>0</v>
      </c>
      <c r="AK47" s="201">
        <f t="shared" si="292"/>
        <v>0</v>
      </c>
      <c r="AL47" s="201">
        <f t="shared" si="293"/>
        <v>1.3554727211114873E-3</v>
      </c>
      <c r="AM47" s="201">
        <f t="shared" si="294"/>
        <v>5.1282051282051273E-2</v>
      </c>
      <c r="AN47" s="201">
        <f t="shared" si="295"/>
        <v>0</v>
      </c>
      <c r="AO47" s="201">
        <f t="shared" si="296"/>
        <v>0</v>
      </c>
      <c r="AP47" s="201">
        <f t="shared" si="297"/>
        <v>0.21721450355811586</v>
      </c>
      <c r="AQ47" s="201">
        <f t="shared" si="298"/>
        <v>0.41613012538122668</v>
      </c>
      <c r="AR47" s="201">
        <f t="shared" si="299"/>
        <v>4.021235739297413E-2</v>
      </c>
      <c r="AS47" s="201">
        <f t="shared" si="300"/>
        <v>0</v>
      </c>
      <c r="AT47" s="201">
        <f t="shared" si="301"/>
        <v>6.382017395233254E-2</v>
      </c>
      <c r="AU47" s="201">
        <f t="shared" si="302"/>
        <v>0</v>
      </c>
      <c r="AV47" s="201">
        <f t="shared" si="303"/>
        <v>0</v>
      </c>
      <c r="AW47" s="201">
        <f t="shared" si="304"/>
        <v>0</v>
      </c>
      <c r="AX47" s="201">
        <f t="shared" si="305"/>
        <v>0</v>
      </c>
      <c r="AY47" s="201">
        <f t="shared" si="306"/>
        <v>0</v>
      </c>
      <c r="AZ47" s="201">
        <f t="shared" si="307"/>
        <v>0</v>
      </c>
      <c r="BA47" s="201">
        <f t="shared" si="308"/>
        <v>0</v>
      </c>
      <c r="BB47" s="201">
        <f t="shared" si="309"/>
        <v>0</v>
      </c>
      <c r="BC47" s="201">
        <f t="shared" si="310"/>
        <v>0</v>
      </c>
      <c r="BD47" s="202">
        <f t="shared" si="311"/>
        <v>0.99999999999999989</v>
      </c>
      <c r="BE47" s="203">
        <f t="shared" si="67"/>
        <v>0.54648893591943903</v>
      </c>
      <c r="BF47" s="203">
        <f t="shared" si="68"/>
        <v>0.28270406089702438</v>
      </c>
      <c r="BG47" s="203">
        <f t="shared" si="312"/>
        <v>4.9140875811853821E-2</v>
      </c>
      <c r="BH47" s="203">
        <f t="shared" si="313"/>
        <v>9.9306123344855175E-3</v>
      </c>
      <c r="BI47" s="203">
        <v>0</v>
      </c>
      <c r="BJ47" s="203">
        <f t="shared" si="314"/>
        <v>4.2000533339075132E-3</v>
      </c>
      <c r="BK47" s="203">
        <f t="shared" si="315"/>
        <v>4.5615362955846297E-4</v>
      </c>
      <c r="BL47" s="203">
        <f t="shared" si="316"/>
        <v>0</v>
      </c>
      <c r="BM47" s="203">
        <f t="shared" si="69"/>
        <v>5.0548766786401456E-3</v>
      </c>
      <c r="BN47" s="203">
        <f t="shared" si="317"/>
        <v>1.3780496369804414E-3</v>
      </c>
      <c r="BO47" s="203">
        <v>0</v>
      </c>
      <c r="BP47" s="203">
        <f t="shared" si="318"/>
        <v>0.10064638175811066</v>
      </c>
      <c r="BQ47" s="203">
        <f t="shared" si="319"/>
        <v>0</v>
      </c>
      <c r="BR47" s="203">
        <f t="shared" si="320"/>
        <v>0.99999999999999989</v>
      </c>
      <c r="BS47" s="117">
        <f t="shared" si="321"/>
        <v>98.087875868972276</v>
      </c>
      <c r="BT47" s="118" t="str">
        <f t="shared" si="322"/>
        <v xml:space="preserve">R1C3EA07 </v>
      </c>
      <c r="BU47" s="267">
        <f t="shared" si="72"/>
        <v>5.9965243256443035E-2</v>
      </c>
    </row>
    <row r="48" spans="1:85" s="48" customFormat="1" x14ac:dyDescent="0.2">
      <c r="A48" s="65" t="s">
        <v>147</v>
      </c>
      <c r="B48" s="67">
        <v>300</v>
      </c>
      <c r="C48" s="67">
        <v>400</v>
      </c>
      <c r="D48" s="67">
        <f t="shared" si="132"/>
        <v>350</v>
      </c>
      <c r="E48" s="106">
        <v>8.83</v>
      </c>
      <c r="F48" s="106">
        <v>0.69</v>
      </c>
      <c r="G48" s="69">
        <v>19.66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0.09</v>
      </c>
      <c r="N48" s="69">
        <v>4.1399999999999997</v>
      </c>
      <c r="O48" s="69">
        <v>0</v>
      </c>
      <c r="P48" s="69">
        <v>0</v>
      </c>
      <c r="Q48" s="69">
        <v>18.91</v>
      </c>
      <c r="R48" s="69">
        <v>31.43</v>
      </c>
      <c r="S48" s="69">
        <v>4.4400000000000004</v>
      </c>
      <c r="T48" s="69">
        <v>0</v>
      </c>
      <c r="U48" s="69">
        <v>11.8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0</v>
      </c>
      <c r="AE48" s="184">
        <f t="shared" si="147"/>
        <v>99.99</v>
      </c>
      <c r="AF48" s="201">
        <f t="shared" si="287"/>
        <v>0.21730960539405331</v>
      </c>
      <c r="AG48" s="201">
        <f t="shared" si="288"/>
        <v>0</v>
      </c>
      <c r="AH48" s="201">
        <f t="shared" si="289"/>
        <v>0</v>
      </c>
      <c r="AI48" s="201">
        <f t="shared" si="290"/>
        <v>0</v>
      </c>
      <c r="AJ48" s="201">
        <f t="shared" si="291"/>
        <v>0</v>
      </c>
      <c r="AK48" s="201">
        <f t="shared" si="292"/>
        <v>0</v>
      </c>
      <c r="AL48" s="201">
        <f t="shared" si="293"/>
        <v>9.9480490770421145E-4</v>
      </c>
      <c r="AM48" s="201">
        <f t="shared" si="294"/>
        <v>4.5761025754393725E-2</v>
      </c>
      <c r="AN48" s="201">
        <f t="shared" si="295"/>
        <v>0</v>
      </c>
      <c r="AO48" s="201">
        <f t="shared" si="296"/>
        <v>0</v>
      </c>
      <c r="AP48" s="201">
        <f t="shared" si="297"/>
        <v>0.20901956449651821</v>
      </c>
      <c r="AQ48" s="201">
        <f t="shared" si="298"/>
        <v>0.34740798054603744</v>
      </c>
      <c r="AR48" s="201">
        <f t="shared" si="299"/>
        <v>4.9077042113407771E-2</v>
      </c>
      <c r="AS48" s="201">
        <f t="shared" si="300"/>
        <v>0</v>
      </c>
      <c r="AT48" s="201">
        <f t="shared" si="301"/>
        <v>0.13042997678788551</v>
      </c>
      <c r="AU48" s="201">
        <f t="shared" si="302"/>
        <v>0</v>
      </c>
      <c r="AV48" s="201">
        <f t="shared" si="303"/>
        <v>0</v>
      </c>
      <c r="AW48" s="201">
        <f t="shared" si="304"/>
        <v>0</v>
      </c>
      <c r="AX48" s="201">
        <f t="shared" si="305"/>
        <v>0</v>
      </c>
      <c r="AY48" s="201">
        <f t="shared" si="306"/>
        <v>0</v>
      </c>
      <c r="AZ48" s="201">
        <f t="shared" si="307"/>
        <v>0</v>
      </c>
      <c r="BA48" s="201">
        <f t="shared" si="308"/>
        <v>0</v>
      </c>
      <c r="BB48" s="201">
        <f t="shared" si="309"/>
        <v>0</v>
      </c>
      <c r="BC48" s="201">
        <f t="shared" si="310"/>
        <v>0</v>
      </c>
      <c r="BD48" s="202">
        <f t="shared" si="311"/>
        <v>1.0000000000000002</v>
      </c>
      <c r="BE48" s="203">
        <f t="shared" si="67"/>
        <v>0.54907620336908503</v>
      </c>
      <c r="BF48" s="203">
        <f t="shared" si="68"/>
        <v>0.27249861341460868</v>
      </c>
      <c r="BG48" s="203">
        <f t="shared" si="312"/>
        <v>4.4385393641508779E-2</v>
      </c>
      <c r="BH48" s="203">
        <f t="shared" si="313"/>
        <v>2.0295299371071305E-2</v>
      </c>
      <c r="BI48" s="203">
        <v>0</v>
      </c>
      <c r="BJ48" s="203">
        <f t="shared" si="314"/>
        <v>8.039056294424151E-3</v>
      </c>
      <c r="BK48" s="203">
        <f t="shared" si="315"/>
        <v>6.2909763745829374E-4</v>
      </c>
      <c r="BL48" s="203">
        <f t="shared" si="316"/>
        <v>0</v>
      </c>
      <c r="BM48" s="203">
        <f t="shared" si="69"/>
        <v>9.0260818174954082E-3</v>
      </c>
      <c r="BN48" s="203">
        <f t="shared" si="317"/>
        <v>2.8163348833577383E-3</v>
      </c>
      <c r="BO48" s="203">
        <v>0</v>
      </c>
      <c r="BP48" s="203">
        <f t="shared" si="318"/>
        <v>9.3233919570990864E-2</v>
      </c>
      <c r="BQ48" s="203">
        <f t="shared" si="319"/>
        <v>0</v>
      </c>
      <c r="BR48" s="203">
        <f t="shared" si="320"/>
        <v>1.0000000000000002</v>
      </c>
      <c r="BS48" s="117">
        <f t="shared" si="321"/>
        <v>96.578043712700605</v>
      </c>
      <c r="BT48" s="118" t="str">
        <f t="shared" si="322"/>
        <v xml:space="preserve">R1C3EA08 </v>
      </c>
      <c r="BU48" s="267">
        <f t="shared" si="72"/>
        <v>6.65072699559765E-2</v>
      </c>
    </row>
    <row r="49" spans="1:73" s="48" customFormat="1" x14ac:dyDescent="0.2">
      <c r="A49" s="65" t="s">
        <v>148</v>
      </c>
      <c r="B49" s="67">
        <v>400</v>
      </c>
      <c r="C49" s="67">
        <v>500</v>
      </c>
      <c r="D49" s="67">
        <f t="shared" si="132"/>
        <v>450</v>
      </c>
      <c r="E49" s="106">
        <v>9.8800000000000008</v>
      </c>
      <c r="F49" s="106">
        <v>0.5</v>
      </c>
      <c r="G49" s="69">
        <v>26.21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3.99</v>
      </c>
      <c r="O49" s="69">
        <v>0</v>
      </c>
      <c r="P49" s="69">
        <v>0</v>
      </c>
      <c r="Q49" s="69">
        <v>3.59</v>
      </c>
      <c r="R49" s="69">
        <v>32.74</v>
      </c>
      <c r="S49" s="69">
        <v>1.06</v>
      </c>
      <c r="T49" s="69">
        <v>0</v>
      </c>
      <c r="U49" s="69">
        <v>13.09</v>
      </c>
      <c r="V49" s="69">
        <v>8.93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184">
        <f t="shared" si="147"/>
        <v>99.990000000000009</v>
      </c>
      <c r="AF49" s="201">
        <f t="shared" si="287"/>
        <v>0.29248967749135135</v>
      </c>
      <c r="AG49" s="201">
        <f t="shared" si="288"/>
        <v>0</v>
      </c>
      <c r="AH49" s="201">
        <f t="shared" si="289"/>
        <v>0</v>
      </c>
      <c r="AI49" s="201">
        <f t="shared" si="290"/>
        <v>0</v>
      </c>
      <c r="AJ49" s="201">
        <f t="shared" si="291"/>
        <v>0</v>
      </c>
      <c r="AK49" s="201">
        <f t="shared" si="292"/>
        <v>0</v>
      </c>
      <c r="AL49" s="201">
        <f t="shared" si="293"/>
        <v>0</v>
      </c>
      <c r="AM49" s="201">
        <f t="shared" si="294"/>
        <v>4.4526280549045859E-2</v>
      </c>
      <c r="AN49" s="201">
        <f t="shared" si="295"/>
        <v>0</v>
      </c>
      <c r="AO49" s="201">
        <f t="shared" si="296"/>
        <v>0</v>
      </c>
      <c r="AP49" s="201">
        <f t="shared" si="297"/>
        <v>4.0062493025331984E-2</v>
      </c>
      <c r="AQ49" s="201">
        <f t="shared" si="298"/>
        <v>0.36536100881598033</v>
      </c>
      <c r="AR49" s="201">
        <f t="shared" si="299"/>
        <v>1.1829036937841757E-2</v>
      </c>
      <c r="AS49" s="201">
        <f t="shared" si="300"/>
        <v>0</v>
      </c>
      <c r="AT49" s="201">
        <f t="shared" si="301"/>
        <v>0.14607744671353642</v>
      </c>
      <c r="AU49" s="201">
        <f t="shared" si="302"/>
        <v>9.9654056466912153E-2</v>
      </c>
      <c r="AV49" s="201">
        <f t="shared" si="303"/>
        <v>0</v>
      </c>
      <c r="AW49" s="201">
        <f t="shared" si="304"/>
        <v>0</v>
      </c>
      <c r="AX49" s="201">
        <f t="shared" si="305"/>
        <v>0</v>
      </c>
      <c r="AY49" s="201">
        <f t="shared" si="306"/>
        <v>0</v>
      </c>
      <c r="AZ49" s="201">
        <f t="shared" si="307"/>
        <v>0</v>
      </c>
      <c r="BA49" s="201">
        <f t="shared" si="308"/>
        <v>0</v>
      </c>
      <c r="BB49" s="201">
        <f t="shared" si="309"/>
        <v>0</v>
      </c>
      <c r="BC49" s="201">
        <f t="shared" si="310"/>
        <v>0</v>
      </c>
      <c r="BD49" s="202">
        <f t="shared" si="311"/>
        <v>0.99999999999999978</v>
      </c>
      <c r="BE49" s="203">
        <f t="shared" si="67"/>
        <v>0.59774288343576054</v>
      </c>
      <c r="BF49" s="203">
        <f t="shared" si="68"/>
        <v>0.22921225618699873</v>
      </c>
      <c r="BG49" s="203">
        <f t="shared" si="312"/>
        <v>3.8302264762670866E-2</v>
      </c>
      <c r="BH49" s="203">
        <f t="shared" si="313"/>
        <v>2.7202631614377016E-2</v>
      </c>
      <c r="BI49" s="203">
        <v>0</v>
      </c>
      <c r="BJ49" s="203">
        <f t="shared" si="314"/>
        <v>1.0769705188965155E-2</v>
      </c>
      <c r="BK49" s="203">
        <f t="shared" si="315"/>
        <v>3.0957270049874455E-4</v>
      </c>
      <c r="BL49" s="203">
        <f t="shared" si="316"/>
        <v>0</v>
      </c>
      <c r="BM49" s="203">
        <f t="shared" si="69"/>
        <v>1.9981104385293651E-2</v>
      </c>
      <c r="BN49" s="203">
        <f t="shared" si="317"/>
        <v>3.1542059500648126E-3</v>
      </c>
      <c r="BO49" s="203">
        <v>0</v>
      </c>
      <c r="BP49" s="203">
        <f t="shared" si="318"/>
        <v>7.3325375775370349E-2</v>
      </c>
      <c r="BQ49" s="203">
        <f t="shared" si="319"/>
        <v>0</v>
      </c>
      <c r="BR49" s="203">
        <f t="shared" si="320"/>
        <v>0.99999999999999967</v>
      </c>
      <c r="BS49" s="117">
        <f t="shared" si="321"/>
        <v>91.867559703753926</v>
      </c>
      <c r="BT49" s="118" t="str">
        <f t="shared" si="322"/>
        <v xml:space="preserve">R1C3EA09 </v>
      </c>
      <c r="BU49" s="267">
        <f t="shared" si="72"/>
        <v>6.7953133222341811E-2</v>
      </c>
    </row>
    <row r="50" spans="1:73" s="48" customFormat="1" x14ac:dyDescent="0.2">
      <c r="A50" s="65" t="s">
        <v>149</v>
      </c>
      <c r="B50" s="67">
        <v>500</v>
      </c>
      <c r="C50" s="67">
        <v>600</v>
      </c>
      <c r="D50" s="67">
        <f t="shared" si="132"/>
        <v>550</v>
      </c>
      <c r="E50" s="106">
        <v>10</v>
      </c>
      <c r="F50" s="106">
        <v>0.78</v>
      </c>
      <c r="G50" s="69">
        <v>22.87</v>
      </c>
      <c r="H50" s="69">
        <v>0</v>
      </c>
      <c r="I50" s="69">
        <v>8.4600000000000009</v>
      </c>
      <c r="J50" s="69">
        <v>0</v>
      </c>
      <c r="K50" s="69">
        <v>0</v>
      </c>
      <c r="L50" s="69">
        <v>4.2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23.12</v>
      </c>
      <c r="S50" s="69">
        <v>0</v>
      </c>
      <c r="T50" s="69">
        <v>0</v>
      </c>
      <c r="U50" s="69">
        <v>13.41</v>
      </c>
      <c r="V50" s="69">
        <v>0</v>
      </c>
      <c r="W50" s="69">
        <v>17.12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  <c r="AE50" s="184">
        <f t="shared" si="147"/>
        <v>99.960000000000008</v>
      </c>
      <c r="AF50" s="201">
        <f t="shared" si="287"/>
        <v>0.25644763399865439</v>
      </c>
      <c r="AG50" s="201">
        <f t="shared" si="288"/>
        <v>0</v>
      </c>
      <c r="AH50" s="201">
        <f t="shared" si="289"/>
        <v>9.4864319354115281E-2</v>
      </c>
      <c r="AI50" s="201">
        <f t="shared" si="290"/>
        <v>0</v>
      </c>
      <c r="AJ50" s="201">
        <f t="shared" si="291"/>
        <v>0</v>
      </c>
      <c r="AK50" s="201">
        <f t="shared" si="292"/>
        <v>4.7095761381475663E-2</v>
      </c>
      <c r="AL50" s="201">
        <f t="shared" si="293"/>
        <v>0</v>
      </c>
      <c r="AM50" s="201">
        <f t="shared" si="294"/>
        <v>0</v>
      </c>
      <c r="AN50" s="201">
        <f t="shared" si="295"/>
        <v>0</v>
      </c>
      <c r="AO50" s="201">
        <f t="shared" si="296"/>
        <v>0</v>
      </c>
      <c r="AP50" s="201">
        <f t="shared" si="297"/>
        <v>0</v>
      </c>
      <c r="AQ50" s="201">
        <f t="shared" si="298"/>
        <v>0.25925095312850416</v>
      </c>
      <c r="AR50" s="201">
        <f t="shared" si="299"/>
        <v>0</v>
      </c>
      <c r="AS50" s="201">
        <f t="shared" si="300"/>
        <v>0</v>
      </c>
      <c r="AT50" s="201">
        <f t="shared" si="301"/>
        <v>0.15037003812514016</v>
      </c>
      <c r="AU50" s="201">
        <f t="shared" si="302"/>
        <v>0</v>
      </c>
      <c r="AV50" s="201">
        <f t="shared" si="303"/>
        <v>0.19197129401211033</v>
      </c>
      <c r="AW50" s="201">
        <f t="shared" si="304"/>
        <v>0</v>
      </c>
      <c r="AX50" s="201">
        <f t="shared" si="305"/>
        <v>0</v>
      </c>
      <c r="AY50" s="201">
        <f t="shared" si="306"/>
        <v>0</v>
      </c>
      <c r="AZ50" s="201">
        <f t="shared" si="307"/>
        <v>0</v>
      </c>
      <c r="BA50" s="201">
        <f t="shared" si="308"/>
        <v>0</v>
      </c>
      <c r="BB50" s="201">
        <f t="shared" si="309"/>
        <v>0</v>
      </c>
      <c r="BC50" s="201">
        <f t="shared" si="310"/>
        <v>0</v>
      </c>
      <c r="BD50" s="202">
        <f t="shared" si="311"/>
        <v>0.99999999999999989</v>
      </c>
      <c r="BE50" s="203">
        <f t="shared" si="67"/>
        <v>0.61230551754284657</v>
      </c>
      <c r="BF50" s="203">
        <f t="shared" si="68"/>
        <v>0.19531577060653085</v>
      </c>
      <c r="BG50" s="203">
        <f t="shared" si="312"/>
        <v>1.1167109547923243E-2</v>
      </c>
      <c r="BH50" s="203">
        <f t="shared" si="313"/>
        <v>5.3063886457026463E-2</v>
      </c>
      <c r="BI50" s="203">
        <v>0</v>
      </c>
      <c r="BJ50" s="203">
        <f t="shared" si="314"/>
        <v>3.5656072964498124E-2</v>
      </c>
      <c r="BK50" s="203">
        <f t="shared" si="315"/>
        <v>6.5888246072526449E-3</v>
      </c>
      <c r="BL50" s="203">
        <f t="shared" si="316"/>
        <v>1.1215218619707904E-2</v>
      </c>
      <c r="BM50" s="203">
        <f t="shared" si="69"/>
        <v>1.5859745358038389E-2</v>
      </c>
      <c r="BN50" s="203">
        <f t="shared" si="317"/>
        <v>6.599251153214563E-3</v>
      </c>
      <c r="BO50" s="203">
        <v>0</v>
      </c>
      <c r="BP50" s="203">
        <f t="shared" si="318"/>
        <v>5.2228603142961225E-2</v>
      </c>
      <c r="BQ50" s="203">
        <f t="shared" si="319"/>
        <v>0</v>
      </c>
      <c r="BR50" s="203">
        <f t="shared" si="320"/>
        <v>0.99999999999999978</v>
      </c>
      <c r="BS50" s="117">
        <f t="shared" si="321"/>
        <v>85.298343352630482</v>
      </c>
      <c r="BT50" s="118" t="str">
        <f t="shared" si="322"/>
        <v xml:space="preserve">R1C3EA10 </v>
      </c>
      <c r="BU50" s="267">
        <f t="shared" si="72"/>
        <v>6.9006745786082097E-2</v>
      </c>
    </row>
    <row r="51" spans="1:73" s="138" customFormat="1" ht="16" thickBot="1" x14ac:dyDescent="0.25">
      <c r="A51" s="65" t="s">
        <v>150</v>
      </c>
      <c r="B51" s="133">
        <v>600</v>
      </c>
      <c r="C51" s="133">
        <v>650</v>
      </c>
      <c r="D51" s="133">
        <f t="shared" si="132"/>
        <v>625</v>
      </c>
      <c r="E51" s="134">
        <v>10</v>
      </c>
      <c r="F51" s="134">
        <v>1.56</v>
      </c>
      <c r="G51" s="135">
        <v>21.46</v>
      </c>
      <c r="H51" s="135">
        <v>0</v>
      </c>
      <c r="I51" s="135">
        <v>23.46</v>
      </c>
      <c r="J51" s="135">
        <v>0</v>
      </c>
      <c r="K51" s="135">
        <v>0</v>
      </c>
      <c r="L51" s="135">
        <v>7.86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11.84</v>
      </c>
      <c r="S51" s="135">
        <v>0.04</v>
      </c>
      <c r="T51" s="135">
        <v>0</v>
      </c>
      <c r="U51" s="135">
        <v>0</v>
      </c>
      <c r="V51" s="135">
        <v>0</v>
      </c>
      <c r="W51" s="135">
        <v>20.82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85">
        <f t="shared" si="147"/>
        <v>97.04000000000002</v>
      </c>
      <c r="AF51" s="204">
        <f t="shared" si="287"/>
        <v>0.25105287786616748</v>
      </c>
      <c r="AG51" s="204">
        <f t="shared" si="288"/>
        <v>0</v>
      </c>
      <c r="AH51" s="204">
        <f t="shared" si="289"/>
        <v>0.27445016378100134</v>
      </c>
      <c r="AI51" s="204">
        <f t="shared" si="290"/>
        <v>0</v>
      </c>
      <c r="AJ51" s="204">
        <f t="shared" si="291"/>
        <v>0</v>
      </c>
      <c r="AK51" s="204">
        <f t="shared" si="292"/>
        <v>9.1951333645297131E-2</v>
      </c>
      <c r="AL51" s="204">
        <f t="shared" si="293"/>
        <v>0</v>
      </c>
      <c r="AM51" s="204">
        <f t="shared" si="294"/>
        <v>0</v>
      </c>
      <c r="AN51" s="204">
        <f t="shared" si="295"/>
        <v>0</v>
      </c>
      <c r="AO51" s="204">
        <f t="shared" si="296"/>
        <v>0</v>
      </c>
      <c r="AP51" s="204">
        <f t="shared" si="297"/>
        <v>0</v>
      </c>
      <c r="AQ51" s="204">
        <f t="shared" si="298"/>
        <v>0.13851193261581654</v>
      </c>
      <c r="AR51" s="204">
        <f t="shared" si="299"/>
        <v>4.679457182966775E-4</v>
      </c>
      <c r="AS51" s="204">
        <f t="shared" si="300"/>
        <v>0</v>
      </c>
      <c r="AT51" s="204">
        <f t="shared" si="301"/>
        <v>0</v>
      </c>
      <c r="AU51" s="204">
        <f t="shared" si="302"/>
        <v>0</v>
      </c>
      <c r="AV51" s="204">
        <f t="shared" si="303"/>
        <v>0.24356574637342063</v>
      </c>
      <c r="AW51" s="204">
        <f t="shared" si="304"/>
        <v>0</v>
      </c>
      <c r="AX51" s="204">
        <f t="shared" si="305"/>
        <v>0</v>
      </c>
      <c r="AY51" s="204">
        <f t="shared" si="306"/>
        <v>0</v>
      </c>
      <c r="AZ51" s="204">
        <f t="shared" si="307"/>
        <v>0</v>
      </c>
      <c r="BA51" s="204">
        <f t="shared" si="308"/>
        <v>0</v>
      </c>
      <c r="BB51" s="204">
        <f t="shared" si="309"/>
        <v>0</v>
      </c>
      <c r="BC51" s="204">
        <f t="shared" si="310"/>
        <v>0</v>
      </c>
      <c r="BD51" s="205">
        <f t="shared" si="311"/>
        <v>0.99999999999999989</v>
      </c>
      <c r="BE51" s="203">
        <f t="shared" si="67"/>
        <v>0.65756696054686992</v>
      </c>
      <c r="BF51" s="206">
        <f t="shared" si="68"/>
        <v>0.15619107788212616</v>
      </c>
      <c r="BG51" s="206">
        <f t="shared" si="312"/>
        <v>1.4186700026865668E-2</v>
      </c>
      <c r="BH51" s="206">
        <f t="shared" si="313"/>
        <v>4.3302845759878153E-2</v>
      </c>
      <c r="BI51" s="206">
        <v>0</v>
      </c>
      <c r="BJ51" s="206">
        <f t="shared" si="314"/>
        <v>3.7804194805047653E-2</v>
      </c>
      <c r="BK51" s="206">
        <f t="shared" si="315"/>
        <v>1.246404533148294E-2</v>
      </c>
      <c r="BL51" s="206">
        <f t="shared" si="316"/>
        <v>3.2446536358193383E-2</v>
      </c>
      <c r="BM51" s="206">
        <f t="shared" si="69"/>
        <v>9.7669358855181059E-3</v>
      </c>
      <c r="BN51" s="206">
        <f t="shared" si="317"/>
        <v>4.253340254759392E-3</v>
      </c>
      <c r="BO51" s="206">
        <v>0</v>
      </c>
      <c r="BP51" s="206">
        <f t="shared" si="318"/>
        <v>3.2017363149258529E-2</v>
      </c>
      <c r="BQ51" s="206">
        <f t="shared" si="319"/>
        <v>0</v>
      </c>
      <c r="BR51" s="206">
        <f t="shared" si="320"/>
        <v>0.99999999999999989</v>
      </c>
      <c r="BS51" s="136">
        <f t="shared" si="321"/>
        <v>74.070336335947644</v>
      </c>
      <c r="BT51" s="137" t="str">
        <f t="shared" si="322"/>
        <v xml:space="preserve">R1C3EA11 </v>
      </c>
      <c r="BU51" s="267">
        <f t="shared" si="72"/>
        <v>6.1386801905132855E-2</v>
      </c>
    </row>
    <row r="52" spans="1:73" s="127" customFormat="1" x14ac:dyDescent="0.2">
      <c r="A52" s="49" t="s">
        <v>85</v>
      </c>
      <c r="B52" s="123">
        <v>0</v>
      </c>
      <c r="C52" s="123">
        <v>8</v>
      </c>
      <c r="D52" s="123">
        <f t="shared" si="132"/>
        <v>4</v>
      </c>
      <c r="E52" s="124">
        <v>9.8699999999999992</v>
      </c>
      <c r="F52" s="124">
        <v>1.1399999999999999</v>
      </c>
      <c r="G52" s="125">
        <v>52.23</v>
      </c>
      <c r="H52" s="125">
        <v>22.107600000000001</v>
      </c>
      <c r="I52" s="125">
        <v>1.9224000000000001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8.58</v>
      </c>
      <c r="R52" s="125">
        <v>0</v>
      </c>
      <c r="S52" s="125">
        <v>1.04</v>
      </c>
      <c r="T52" s="125">
        <v>0</v>
      </c>
      <c r="U52" s="125">
        <v>0.71</v>
      </c>
      <c r="V52" s="125">
        <v>2.39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86">
        <f t="shared" si="147"/>
        <v>99.99</v>
      </c>
      <c r="AF52" s="207">
        <f t="shared" si="287"/>
        <v>0.58698583951449768</v>
      </c>
      <c r="AG52" s="207">
        <f t="shared" si="288"/>
        <v>0.24845583277140934</v>
      </c>
      <c r="AH52" s="207">
        <f t="shared" si="289"/>
        <v>2.1604855023600811E-2</v>
      </c>
      <c r="AI52" s="207">
        <f t="shared" si="290"/>
        <v>0</v>
      </c>
      <c r="AJ52" s="207">
        <f t="shared" si="291"/>
        <v>0</v>
      </c>
      <c r="AK52" s="207">
        <f t="shared" si="292"/>
        <v>0</v>
      </c>
      <c r="AL52" s="207">
        <f t="shared" si="293"/>
        <v>0</v>
      </c>
      <c r="AM52" s="207">
        <f t="shared" si="294"/>
        <v>0</v>
      </c>
      <c r="AN52" s="207">
        <f t="shared" si="295"/>
        <v>0</v>
      </c>
      <c r="AO52" s="207">
        <f t="shared" si="296"/>
        <v>0</v>
      </c>
      <c r="AP52" s="207">
        <f t="shared" si="297"/>
        <v>9.6426163182737709E-2</v>
      </c>
      <c r="AQ52" s="207">
        <f t="shared" si="298"/>
        <v>0</v>
      </c>
      <c r="AR52" s="207">
        <f t="shared" si="299"/>
        <v>1.1688019779725783E-2</v>
      </c>
      <c r="AS52" s="207">
        <f t="shared" si="300"/>
        <v>0</v>
      </c>
      <c r="AT52" s="207">
        <f t="shared" si="301"/>
        <v>7.9793211957743318E-3</v>
      </c>
      <c r="AU52" s="207">
        <f t="shared" si="302"/>
        <v>2.6859968532254443E-2</v>
      </c>
      <c r="AV52" s="207">
        <f t="shared" si="303"/>
        <v>0</v>
      </c>
      <c r="AW52" s="207">
        <f t="shared" si="304"/>
        <v>0</v>
      </c>
      <c r="AX52" s="207">
        <f t="shared" si="305"/>
        <v>0</v>
      </c>
      <c r="AY52" s="207">
        <f t="shared" si="306"/>
        <v>0</v>
      </c>
      <c r="AZ52" s="207">
        <f t="shared" si="307"/>
        <v>0</v>
      </c>
      <c r="BA52" s="207">
        <f t="shared" si="308"/>
        <v>0</v>
      </c>
      <c r="BB52" s="207">
        <f t="shared" si="309"/>
        <v>0</v>
      </c>
      <c r="BC52" s="207">
        <f t="shared" si="310"/>
        <v>0</v>
      </c>
      <c r="BD52" s="208">
        <f t="shared" si="311"/>
        <v>1</v>
      </c>
      <c r="BE52" s="222">
        <f t="shared" si="67"/>
        <v>0.82918779263022435</v>
      </c>
      <c r="BF52" s="207">
        <f t="shared" si="68"/>
        <v>0.10004957088181358</v>
      </c>
      <c r="BG52" s="207">
        <f t="shared" si="312"/>
        <v>1.9405421724914102E-3</v>
      </c>
      <c r="BH52" s="207">
        <f t="shared" si="313"/>
        <v>2.4470993099685286E-3</v>
      </c>
      <c r="BI52" s="207">
        <v>0</v>
      </c>
      <c r="BJ52" s="207">
        <f t="shared" si="314"/>
        <v>1.3020249902618345E-3</v>
      </c>
      <c r="BK52" s="207">
        <f t="shared" si="315"/>
        <v>1.1802129941601326E-4</v>
      </c>
      <c r="BL52" s="207">
        <f t="shared" si="316"/>
        <v>2.5542076724578994E-3</v>
      </c>
      <c r="BM52" s="207">
        <f t="shared" si="69"/>
        <v>4.6064289149606322E-2</v>
      </c>
      <c r="BN52" s="207">
        <f t="shared" si="317"/>
        <v>1.7229505963741227E-4</v>
      </c>
      <c r="BO52" s="207">
        <v>0</v>
      </c>
      <c r="BP52" s="207">
        <f t="shared" si="318"/>
        <v>1.6164156834122707E-2</v>
      </c>
      <c r="BQ52" s="207">
        <f t="shared" si="319"/>
        <v>0</v>
      </c>
      <c r="BR52" s="207">
        <f t="shared" si="320"/>
        <v>1.0000000000000002</v>
      </c>
      <c r="BS52" s="126">
        <f t="shared" si="321"/>
        <v>67.24390132978003</v>
      </c>
      <c r="BT52" s="127" t="str">
        <f t="shared" si="322"/>
        <v xml:space="preserve">R2H1EA01 </v>
      </c>
      <c r="BU52" s="268">
        <f t="shared" si="72"/>
        <v>4.6078804203571067E-3</v>
      </c>
    </row>
    <row r="53" spans="1:73" s="121" customFormat="1" x14ac:dyDescent="0.2">
      <c r="A53" s="49" t="s">
        <v>86</v>
      </c>
      <c r="B53" s="119">
        <v>8</v>
      </c>
      <c r="C53" s="119">
        <v>20</v>
      </c>
      <c r="D53" s="119">
        <f t="shared" si="132"/>
        <v>14</v>
      </c>
      <c r="E53" s="106">
        <v>9.9</v>
      </c>
      <c r="F53" s="106">
        <v>1.1200000000000001</v>
      </c>
      <c r="G53" s="120">
        <v>47.96</v>
      </c>
      <c r="H53" s="120">
        <v>25.1252</v>
      </c>
      <c r="I53" s="125">
        <v>2.1848000000000001</v>
      </c>
      <c r="J53" s="120">
        <v>0</v>
      </c>
      <c r="K53" s="120">
        <v>0</v>
      </c>
      <c r="L53" s="120">
        <v>0</v>
      </c>
      <c r="M53" s="120">
        <v>0</v>
      </c>
      <c r="N53" s="120">
        <v>0.06</v>
      </c>
      <c r="O53" s="120">
        <v>0.2</v>
      </c>
      <c r="P53" s="120">
        <v>0</v>
      </c>
      <c r="Q53" s="120">
        <v>8.4700000000000006</v>
      </c>
      <c r="R53" s="120">
        <v>0</v>
      </c>
      <c r="S53" s="120">
        <v>0.93</v>
      </c>
      <c r="T53" s="120">
        <v>0</v>
      </c>
      <c r="U53" s="120">
        <v>0.91</v>
      </c>
      <c r="V53" s="120">
        <v>3.15</v>
      </c>
      <c r="W53" s="120">
        <v>0</v>
      </c>
      <c r="X53" s="120">
        <v>0</v>
      </c>
      <c r="Y53" s="120">
        <v>0</v>
      </c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87">
        <f t="shared" si="147"/>
        <v>100.01</v>
      </c>
      <c r="AF53" s="209">
        <f t="shared" si="287"/>
        <v>0.53893695920889984</v>
      </c>
      <c r="AG53" s="209">
        <f t="shared" si="288"/>
        <v>0.28233734127430044</v>
      </c>
      <c r="AH53" s="209">
        <f t="shared" si="289"/>
        <v>2.4551073154286996E-2</v>
      </c>
      <c r="AI53" s="209">
        <f t="shared" si="290"/>
        <v>0</v>
      </c>
      <c r="AJ53" s="209">
        <f t="shared" si="291"/>
        <v>0</v>
      </c>
      <c r="AK53" s="209">
        <f t="shared" si="292"/>
        <v>0</v>
      </c>
      <c r="AL53" s="209">
        <f t="shared" si="293"/>
        <v>0</v>
      </c>
      <c r="AM53" s="209">
        <f t="shared" si="294"/>
        <v>6.7423305989437006E-4</v>
      </c>
      <c r="AN53" s="209">
        <f t="shared" si="295"/>
        <v>2.2474435329812338E-3</v>
      </c>
      <c r="AO53" s="209">
        <f t="shared" si="296"/>
        <v>0</v>
      </c>
      <c r="AP53" s="209">
        <f t="shared" si="297"/>
        <v>9.5179233621755246E-2</v>
      </c>
      <c r="AQ53" s="209">
        <f t="shared" si="298"/>
        <v>0</v>
      </c>
      <c r="AR53" s="209">
        <f t="shared" si="299"/>
        <v>1.0450612428362737E-2</v>
      </c>
      <c r="AS53" s="209">
        <f t="shared" si="300"/>
        <v>0</v>
      </c>
      <c r="AT53" s="209">
        <f t="shared" si="301"/>
        <v>1.0225868075064613E-2</v>
      </c>
      <c r="AU53" s="209">
        <f t="shared" si="302"/>
        <v>3.5397235644454426E-2</v>
      </c>
      <c r="AV53" s="209">
        <f t="shared" si="303"/>
        <v>0</v>
      </c>
      <c r="AW53" s="209">
        <f t="shared" si="304"/>
        <v>0</v>
      </c>
      <c r="AX53" s="209">
        <f t="shared" si="305"/>
        <v>0</v>
      </c>
      <c r="AY53" s="209">
        <f t="shared" si="306"/>
        <v>0</v>
      </c>
      <c r="AZ53" s="209">
        <f t="shared" si="307"/>
        <v>0</v>
      </c>
      <c r="BA53" s="209">
        <f t="shared" si="308"/>
        <v>0</v>
      </c>
      <c r="BB53" s="209">
        <f t="shared" si="309"/>
        <v>0</v>
      </c>
      <c r="BC53" s="209">
        <f t="shared" si="310"/>
        <v>0</v>
      </c>
      <c r="BD53" s="210">
        <f t="shared" si="311"/>
        <v>0.99999999999999989</v>
      </c>
      <c r="BE53" s="222">
        <f t="shared" si="67"/>
        <v>0.80938580860693699</v>
      </c>
      <c r="BF53" s="209">
        <f t="shared" si="68"/>
        <v>0.11009635469121487</v>
      </c>
      <c r="BG53" s="209">
        <f t="shared" si="312"/>
        <v>2.4366071341198441E-3</v>
      </c>
      <c r="BH53" s="209">
        <f t="shared" si="313"/>
        <v>3.1798268798432492E-3</v>
      </c>
      <c r="BI53" s="209">
        <v>0</v>
      </c>
      <c r="BJ53" s="209">
        <f t="shared" si="314"/>
        <v>1.618332215947175E-3</v>
      </c>
      <c r="BK53" s="209">
        <f t="shared" si="315"/>
        <v>1.0978537465603362E-4</v>
      </c>
      <c r="BL53" s="209">
        <f t="shared" si="316"/>
        <v>2.9025207227381606E-3</v>
      </c>
      <c r="BM53" s="209">
        <f t="shared" si="69"/>
        <v>5.2863441766204118E-2</v>
      </c>
      <c r="BN53" s="209">
        <f t="shared" si="317"/>
        <v>2.2080406423175602E-4</v>
      </c>
      <c r="BO53" s="209">
        <v>0</v>
      </c>
      <c r="BP53" s="209">
        <f t="shared" si="318"/>
        <v>1.7186518544107729E-2</v>
      </c>
      <c r="BQ53" s="209">
        <f t="shared" si="319"/>
        <v>0</v>
      </c>
      <c r="BR53" s="209">
        <f t="shared" si="320"/>
        <v>0.99999999999999978</v>
      </c>
      <c r="BS53" s="122">
        <f t="shared" si="321"/>
        <v>66.334253164537074</v>
      </c>
      <c r="BT53" s="121" t="str">
        <f t="shared" si="322"/>
        <v xml:space="preserve">R2H1EA02 </v>
      </c>
      <c r="BU53" s="268">
        <f t="shared" si="72"/>
        <v>5.9026184331489855E-3</v>
      </c>
    </row>
    <row r="54" spans="1:73" s="121" customFormat="1" x14ac:dyDescent="0.2">
      <c r="A54" s="49" t="s">
        <v>87</v>
      </c>
      <c r="B54" s="119">
        <v>20</v>
      </c>
      <c r="C54" s="119">
        <v>30</v>
      </c>
      <c r="D54" s="119">
        <f t="shared" si="132"/>
        <v>25</v>
      </c>
      <c r="E54" s="106">
        <v>9.85</v>
      </c>
      <c r="F54" s="106">
        <v>0.65</v>
      </c>
      <c r="G54" s="120">
        <v>43.46</v>
      </c>
      <c r="H54" s="120">
        <v>29.890800000000002</v>
      </c>
      <c r="I54" s="125">
        <v>2.5992000000000002</v>
      </c>
      <c r="J54" s="120">
        <v>0</v>
      </c>
      <c r="K54" s="120">
        <v>0</v>
      </c>
      <c r="L54" s="120">
        <v>0</v>
      </c>
      <c r="M54" s="120">
        <v>0</v>
      </c>
      <c r="N54" s="120">
        <v>0.12</v>
      </c>
      <c r="O54" s="120">
        <v>0.18</v>
      </c>
      <c r="P54" s="120">
        <v>0</v>
      </c>
      <c r="Q54" s="120">
        <v>8.11</v>
      </c>
      <c r="R54" s="120">
        <v>0</v>
      </c>
      <c r="S54" s="120">
        <v>0.69</v>
      </c>
      <c r="T54" s="120">
        <v>0</v>
      </c>
      <c r="U54" s="120">
        <v>1.01</v>
      </c>
      <c r="V54" s="120">
        <v>3.46</v>
      </c>
      <c r="W54" s="120">
        <v>0</v>
      </c>
      <c r="X54" s="120">
        <v>0</v>
      </c>
      <c r="Y54" s="120">
        <v>0</v>
      </c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87">
        <f t="shared" si="147"/>
        <v>100.02000000000001</v>
      </c>
      <c r="AF54" s="209">
        <f t="shared" si="287"/>
        <v>0.48547810545129577</v>
      </c>
      <c r="AG54" s="209">
        <f t="shared" si="288"/>
        <v>0.33390080428954422</v>
      </c>
      <c r="AH54" s="209">
        <f t="shared" si="289"/>
        <v>2.903485254691689E-2</v>
      </c>
      <c r="AI54" s="209">
        <f t="shared" si="290"/>
        <v>0</v>
      </c>
      <c r="AJ54" s="209">
        <f t="shared" si="291"/>
        <v>0</v>
      </c>
      <c r="AK54" s="209">
        <f t="shared" si="292"/>
        <v>0</v>
      </c>
      <c r="AL54" s="209">
        <f t="shared" si="293"/>
        <v>0</v>
      </c>
      <c r="AM54" s="209">
        <f t="shared" si="294"/>
        <v>1.3404825737265414E-3</v>
      </c>
      <c r="AN54" s="209">
        <f t="shared" si="295"/>
        <v>2.0107238605898119E-3</v>
      </c>
      <c r="AO54" s="209">
        <f t="shared" si="296"/>
        <v>0</v>
      </c>
      <c r="AP54" s="209">
        <f t="shared" si="297"/>
        <v>9.0594280607685415E-2</v>
      </c>
      <c r="AQ54" s="209">
        <f t="shared" si="298"/>
        <v>0</v>
      </c>
      <c r="AR54" s="209">
        <f t="shared" si="299"/>
        <v>7.7077747989276121E-3</v>
      </c>
      <c r="AS54" s="209">
        <f t="shared" si="300"/>
        <v>0</v>
      </c>
      <c r="AT54" s="209">
        <f t="shared" si="301"/>
        <v>1.1282394995531724E-2</v>
      </c>
      <c r="AU54" s="209">
        <f t="shared" si="302"/>
        <v>3.8650580875781944E-2</v>
      </c>
      <c r="AV54" s="209">
        <f t="shared" si="303"/>
        <v>0</v>
      </c>
      <c r="AW54" s="209">
        <f t="shared" si="304"/>
        <v>0</v>
      </c>
      <c r="AX54" s="209">
        <f t="shared" si="305"/>
        <v>0</v>
      </c>
      <c r="AY54" s="209">
        <f t="shared" si="306"/>
        <v>0</v>
      </c>
      <c r="AZ54" s="209">
        <f t="shared" si="307"/>
        <v>0</v>
      </c>
      <c r="BA54" s="209">
        <f t="shared" si="308"/>
        <v>0</v>
      </c>
      <c r="BB54" s="209">
        <f t="shared" si="309"/>
        <v>0</v>
      </c>
      <c r="BC54" s="209">
        <f t="shared" si="310"/>
        <v>0</v>
      </c>
      <c r="BD54" s="210">
        <f t="shared" si="311"/>
        <v>0.99999999999999978</v>
      </c>
      <c r="BE54" s="222">
        <f t="shared" si="67"/>
        <v>0.7913066105525709</v>
      </c>
      <c r="BF54" s="209">
        <f t="shared" si="68"/>
        <v>0.11855709381083016</v>
      </c>
      <c r="BG54" s="209">
        <f t="shared" si="312"/>
        <v>2.8157627460284975E-3</v>
      </c>
      <c r="BH54" s="209">
        <f t="shared" si="313"/>
        <v>3.4902379072882747E-3</v>
      </c>
      <c r="BI54" s="209">
        <v>0</v>
      </c>
      <c r="BJ54" s="209">
        <f t="shared" si="314"/>
        <v>1.7126151172467763E-3</v>
      </c>
      <c r="BK54" s="209">
        <f t="shared" si="315"/>
        <v>8.6124603925182355E-5</v>
      </c>
      <c r="BL54" s="209">
        <f t="shared" si="316"/>
        <v>3.4326100806048691E-3</v>
      </c>
      <c r="BM54" s="209">
        <f t="shared" si="69"/>
        <v>6.191762288649523E-2</v>
      </c>
      <c r="BN54" s="209">
        <f t="shared" si="317"/>
        <v>2.4361732920808176E-4</v>
      </c>
      <c r="BO54" s="209">
        <v>0</v>
      </c>
      <c r="BP54" s="209">
        <f t="shared" si="318"/>
        <v>1.6437704965802061E-2</v>
      </c>
      <c r="BQ54" s="209">
        <f t="shared" si="319"/>
        <v>0</v>
      </c>
      <c r="BR54" s="209">
        <f t="shared" si="320"/>
        <v>1</v>
      </c>
      <c r="BS54" s="122">
        <f t="shared" si="321"/>
        <v>64.4354964377399</v>
      </c>
      <c r="BT54" s="121" t="str">
        <f t="shared" si="322"/>
        <v xml:space="preserve">R2H1EA03 </v>
      </c>
      <c r="BU54" s="268">
        <f t="shared" si="72"/>
        <v>6.6201220649727173E-3</v>
      </c>
    </row>
    <row r="55" spans="1:73" s="121" customFormat="1" x14ac:dyDescent="0.2">
      <c r="A55" s="49" t="s">
        <v>88</v>
      </c>
      <c r="B55" s="119">
        <v>30</v>
      </c>
      <c r="C55" s="119">
        <v>40</v>
      </c>
      <c r="D55" s="119">
        <f t="shared" si="132"/>
        <v>35</v>
      </c>
      <c r="E55" s="106">
        <v>9.66</v>
      </c>
      <c r="F55" s="106">
        <v>1.03</v>
      </c>
      <c r="G55" s="120">
        <v>40.14</v>
      </c>
      <c r="H55" s="120">
        <v>29.164000000000001</v>
      </c>
      <c r="I55" s="125">
        <v>2.536</v>
      </c>
      <c r="J55" s="120">
        <v>0</v>
      </c>
      <c r="K55" s="120">
        <v>0</v>
      </c>
      <c r="L55" s="120">
        <v>0</v>
      </c>
      <c r="M55" s="120">
        <v>0</v>
      </c>
      <c r="N55" s="120">
        <v>0.12</v>
      </c>
      <c r="O55" s="120">
        <v>0.28999999999999998</v>
      </c>
      <c r="P55" s="120">
        <v>0</v>
      </c>
      <c r="Q55" s="120">
        <v>11.15</v>
      </c>
      <c r="R55" s="120">
        <v>0</v>
      </c>
      <c r="S55" s="120">
        <v>0.69</v>
      </c>
      <c r="T55" s="120">
        <v>0</v>
      </c>
      <c r="U55" s="120">
        <v>1.06</v>
      </c>
      <c r="V55" s="120">
        <v>4.17</v>
      </c>
      <c r="W55" s="120">
        <v>0</v>
      </c>
      <c r="X55" s="120">
        <v>0</v>
      </c>
      <c r="Y55" s="120">
        <v>0</v>
      </c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87">
        <f t="shared" si="147"/>
        <v>100.01000000000002</v>
      </c>
      <c r="AF55" s="209">
        <f t="shared" si="287"/>
        <v>0.44939543215405275</v>
      </c>
      <c r="AG55" s="209">
        <f t="shared" si="288"/>
        <v>0.32651141961486785</v>
      </c>
      <c r="AH55" s="209">
        <f t="shared" si="289"/>
        <v>2.8392297357814594E-2</v>
      </c>
      <c r="AI55" s="209">
        <f t="shared" si="290"/>
        <v>0</v>
      </c>
      <c r="AJ55" s="209">
        <f t="shared" si="291"/>
        <v>0</v>
      </c>
      <c r="AK55" s="209">
        <f t="shared" si="292"/>
        <v>0</v>
      </c>
      <c r="AL55" s="209">
        <f t="shared" si="293"/>
        <v>0</v>
      </c>
      <c r="AM55" s="209">
        <f t="shared" si="294"/>
        <v>1.3434841021047915E-3</v>
      </c>
      <c r="AN55" s="209">
        <f t="shared" si="295"/>
        <v>3.2467532467532457E-3</v>
      </c>
      <c r="AO55" s="209">
        <f t="shared" si="296"/>
        <v>0</v>
      </c>
      <c r="AP55" s="209">
        <f t="shared" si="297"/>
        <v>0.12483206448723687</v>
      </c>
      <c r="AQ55" s="209">
        <f t="shared" si="298"/>
        <v>0</v>
      </c>
      <c r="AR55" s="209">
        <f t="shared" si="299"/>
        <v>7.7250335871025498E-3</v>
      </c>
      <c r="AS55" s="209">
        <f t="shared" si="300"/>
        <v>0</v>
      </c>
      <c r="AT55" s="209">
        <f t="shared" si="301"/>
        <v>1.1867442901925658E-2</v>
      </c>
      <c r="AU55" s="209">
        <f t="shared" si="302"/>
        <v>4.66860725481415E-2</v>
      </c>
      <c r="AV55" s="209">
        <f t="shared" si="303"/>
        <v>0</v>
      </c>
      <c r="AW55" s="209">
        <f t="shared" si="304"/>
        <v>0</v>
      </c>
      <c r="AX55" s="209">
        <f t="shared" si="305"/>
        <v>0</v>
      </c>
      <c r="AY55" s="209">
        <f t="shared" si="306"/>
        <v>0</v>
      </c>
      <c r="AZ55" s="209">
        <f t="shared" si="307"/>
        <v>0</v>
      </c>
      <c r="BA55" s="209">
        <f t="shared" si="308"/>
        <v>0</v>
      </c>
      <c r="BB55" s="209">
        <f t="shared" si="309"/>
        <v>0</v>
      </c>
      <c r="BC55" s="209">
        <f t="shared" si="310"/>
        <v>0</v>
      </c>
      <c r="BD55" s="210">
        <f t="shared" si="311"/>
        <v>0.99999999999999978</v>
      </c>
      <c r="BE55" s="222">
        <f t="shared" si="67"/>
        <v>0.77025531991868534</v>
      </c>
      <c r="BF55" s="209">
        <f t="shared" si="68"/>
        <v>0.13317994867264621</v>
      </c>
      <c r="BG55" s="209">
        <f t="shared" ref="BG55:BG65" si="323">$BG$3*(AJ55*2.25*0.5/$AJ$2+AL55/$AL$2+AM55*0.9*0.5/$AM$2+AP55*0.05*0.5/$AP$2+AR55*0.24*0.5/$AR$2+AV55*0.3*0.5/$AV$2)</f>
        <v>3.3456413963819983E-3</v>
      </c>
      <c r="BH55" s="209">
        <f t="shared" si="313"/>
        <v>3.9419111990162525E-3</v>
      </c>
      <c r="BI55" s="209">
        <v>0</v>
      </c>
      <c r="BJ55" s="209">
        <f t="shared" si="314"/>
        <v>1.9449758210436875E-3</v>
      </c>
      <c r="BK55" s="209">
        <f t="shared" si="315"/>
        <v>8.7088674198541657E-5</v>
      </c>
      <c r="BL55" s="209">
        <f t="shared" si="316"/>
        <v>3.3566447759458065E-3</v>
      </c>
      <c r="BM55" s="209">
        <f t="shared" si="69"/>
        <v>6.1632574070160803E-2</v>
      </c>
      <c r="BN55" s="209">
        <f t="shared" si="317"/>
        <v>2.5625009099943159E-4</v>
      </c>
      <c r="BO55" s="209">
        <v>0</v>
      </c>
      <c r="BP55" s="209">
        <f t="shared" si="318"/>
        <v>2.1999645380921643E-2</v>
      </c>
      <c r="BQ55" s="209">
        <f t="shared" si="319"/>
        <v>0</v>
      </c>
      <c r="BR55" s="209">
        <f t="shared" si="320"/>
        <v>0.99999999999999967</v>
      </c>
      <c r="BS55" s="122">
        <f t="shared" si="321"/>
        <v>67.175660042238405</v>
      </c>
      <c r="BT55" s="121" t="str">
        <f t="shared" si="322"/>
        <v xml:space="preserve">R2H1EA04 </v>
      </c>
      <c r="BU55" s="268">
        <f t="shared" si="72"/>
        <v>7.6423246033097136E-3</v>
      </c>
    </row>
    <row r="56" spans="1:73" s="121" customFormat="1" x14ac:dyDescent="0.2">
      <c r="A56" s="49" t="s">
        <v>89</v>
      </c>
      <c r="B56" s="119">
        <v>40</v>
      </c>
      <c r="C56" s="119">
        <v>85</v>
      </c>
      <c r="D56" s="119">
        <f t="shared" si="132"/>
        <v>62.5</v>
      </c>
      <c r="E56" s="106">
        <v>9.6999999999999993</v>
      </c>
      <c r="F56" s="106">
        <v>1.75</v>
      </c>
      <c r="G56" s="120">
        <v>33.92</v>
      </c>
      <c r="H56" s="120">
        <v>24.996400000000001</v>
      </c>
      <c r="I56" s="125">
        <v>2.1736</v>
      </c>
      <c r="J56" s="120">
        <v>0</v>
      </c>
      <c r="K56" s="120">
        <v>0</v>
      </c>
      <c r="L56" s="120">
        <v>0</v>
      </c>
      <c r="M56" s="120">
        <v>0</v>
      </c>
      <c r="N56" s="120">
        <v>0.17</v>
      </c>
      <c r="O56" s="120">
        <v>0.62</v>
      </c>
      <c r="P56" s="120">
        <v>0</v>
      </c>
      <c r="Q56" s="120">
        <v>23.3</v>
      </c>
      <c r="R56" s="120">
        <v>0</v>
      </c>
      <c r="S56" s="120">
        <v>0.06</v>
      </c>
      <c r="T56" s="120">
        <v>0</v>
      </c>
      <c r="U56" s="120">
        <v>1.28</v>
      </c>
      <c r="V56" s="120">
        <v>2.0299999999999998</v>
      </c>
      <c r="W56" s="120">
        <v>0</v>
      </c>
      <c r="X56" s="120">
        <v>0</v>
      </c>
      <c r="Y56" s="120">
        <v>0</v>
      </c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87">
        <f t="shared" si="147"/>
        <v>100</v>
      </c>
      <c r="AF56" s="209">
        <f t="shared" si="287"/>
        <v>0.38306041784302652</v>
      </c>
      <c r="AG56" s="209">
        <f t="shared" si="288"/>
        <v>0.28228571428571425</v>
      </c>
      <c r="AH56" s="209">
        <f t="shared" si="289"/>
        <v>2.4546583850931673E-2</v>
      </c>
      <c r="AI56" s="209">
        <f t="shared" si="290"/>
        <v>0</v>
      </c>
      <c r="AJ56" s="209">
        <f t="shared" si="291"/>
        <v>0</v>
      </c>
      <c r="AK56" s="209">
        <f t="shared" si="292"/>
        <v>0</v>
      </c>
      <c r="AL56" s="209">
        <f t="shared" si="293"/>
        <v>0</v>
      </c>
      <c r="AM56" s="209">
        <f t="shared" si="294"/>
        <v>1.9198193111236589E-3</v>
      </c>
      <c r="AN56" s="209">
        <f t="shared" si="295"/>
        <v>7.0016939582156967E-3</v>
      </c>
      <c r="AO56" s="209">
        <f t="shared" si="296"/>
        <v>0</v>
      </c>
      <c r="AP56" s="209">
        <f t="shared" si="297"/>
        <v>0.2631281761716544</v>
      </c>
      <c r="AQ56" s="209">
        <f t="shared" si="298"/>
        <v>0</v>
      </c>
      <c r="AR56" s="209">
        <f t="shared" si="299"/>
        <v>6.7758328627893832E-4</v>
      </c>
      <c r="AS56" s="209">
        <f t="shared" si="300"/>
        <v>0</v>
      </c>
      <c r="AT56" s="209">
        <f t="shared" si="301"/>
        <v>1.4455110107284019E-2</v>
      </c>
      <c r="AU56" s="209">
        <f t="shared" si="302"/>
        <v>2.2924901185770747E-2</v>
      </c>
      <c r="AV56" s="209">
        <f t="shared" si="303"/>
        <v>0</v>
      </c>
      <c r="AW56" s="209">
        <f t="shared" si="304"/>
        <v>0</v>
      </c>
      <c r="AX56" s="209">
        <f t="shared" si="305"/>
        <v>0</v>
      </c>
      <c r="AY56" s="209">
        <f t="shared" si="306"/>
        <v>0</v>
      </c>
      <c r="AZ56" s="209">
        <f t="shared" si="307"/>
        <v>0</v>
      </c>
      <c r="BA56" s="209">
        <f t="shared" si="308"/>
        <v>0</v>
      </c>
      <c r="BB56" s="209">
        <f t="shared" si="309"/>
        <v>0</v>
      </c>
      <c r="BC56" s="209">
        <f t="shared" si="310"/>
        <v>0</v>
      </c>
      <c r="BD56" s="210">
        <f t="shared" si="311"/>
        <v>1</v>
      </c>
      <c r="BE56" s="222">
        <f t="shared" si="67"/>
        <v>0.72259652942307473</v>
      </c>
      <c r="BF56" s="209">
        <f t="shared" si="68"/>
        <v>0.17171848233074011</v>
      </c>
      <c r="BG56" s="209">
        <f t="shared" si="323"/>
        <v>5.6792548390810216E-3</v>
      </c>
      <c r="BH56" s="209">
        <f t="shared" si="313"/>
        <v>3.2781433065433531E-3</v>
      </c>
      <c r="BI56" s="209">
        <v>0</v>
      </c>
      <c r="BJ56" s="209">
        <f t="shared" si="314"/>
        <v>1.3821684343858485E-3</v>
      </c>
      <c r="BK56" s="209">
        <f t="shared" si="315"/>
        <v>2.6119726789774304E-5</v>
      </c>
      <c r="BL56" s="209">
        <f t="shared" si="316"/>
        <v>2.9019899803165317E-3</v>
      </c>
      <c r="BM56" s="209">
        <f t="shared" si="69"/>
        <v>5.1251209814828495E-2</v>
      </c>
      <c r="BN56" s="209">
        <f t="shared" si="317"/>
        <v>3.1212480321243325E-4</v>
      </c>
      <c r="BO56" s="209">
        <v>0</v>
      </c>
      <c r="BP56" s="209">
        <f t="shared" si="318"/>
        <v>4.0853977341027657E-2</v>
      </c>
      <c r="BQ56" s="209">
        <f t="shared" si="319"/>
        <v>0</v>
      </c>
      <c r="BR56" s="209">
        <f t="shared" si="320"/>
        <v>0.99999999999999989</v>
      </c>
      <c r="BS56" s="122">
        <f t="shared" si="321"/>
        <v>76.016004105578133</v>
      </c>
      <c r="BT56" s="121" t="str">
        <f t="shared" si="322"/>
        <v xml:space="preserve">R2H1EA05 </v>
      </c>
      <c r="BU56" s="268">
        <f t="shared" si="72"/>
        <v>9.2524310432132769E-3</v>
      </c>
    </row>
    <row r="57" spans="1:73" s="121" customFormat="1" x14ac:dyDescent="0.2">
      <c r="A57" s="49" t="s">
        <v>90</v>
      </c>
      <c r="B57" s="119">
        <v>85</v>
      </c>
      <c r="C57" s="119">
        <v>125</v>
      </c>
      <c r="D57" s="119">
        <f t="shared" si="132"/>
        <v>105</v>
      </c>
      <c r="E57" s="106">
        <v>9.76</v>
      </c>
      <c r="F57" s="106">
        <v>0.68</v>
      </c>
      <c r="G57" s="120">
        <v>37.08</v>
      </c>
      <c r="H57" s="120">
        <v>29.854000000000003</v>
      </c>
      <c r="I57" s="125">
        <v>2.5960000000000001</v>
      </c>
      <c r="J57" s="120">
        <v>0</v>
      </c>
      <c r="K57" s="120">
        <v>0</v>
      </c>
      <c r="L57" s="120">
        <v>0</v>
      </c>
      <c r="M57" s="120">
        <v>0</v>
      </c>
      <c r="N57" s="120">
        <v>0.23</v>
      </c>
      <c r="O57" s="120">
        <v>0.38</v>
      </c>
      <c r="P57" s="120">
        <v>0</v>
      </c>
      <c r="Q57" s="120">
        <v>16.38</v>
      </c>
      <c r="R57" s="120">
        <v>0</v>
      </c>
      <c r="S57" s="120">
        <v>0.03</v>
      </c>
      <c r="T57" s="120">
        <v>0</v>
      </c>
      <c r="U57" s="120">
        <v>1.57</v>
      </c>
      <c r="V57" s="120">
        <v>1.45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87">
        <f t="shared" si="147"/>
        <v>100.00999999999999</v>
      </c>
      <c r="AF57" s="209">
        <f t="shared" si="287"/>
        <v>0.41397789438428045</v>
      </c>
      <c r="AG57" s="209">
        <f t="shared" si="288"/>
        <v>0.33330356146031043</v>
      </c>
      <c r="AH57" s="209">
        <f t="shared" si="289"/>
        <v>2.8982918387853079E-2</v>
      </c>
      <c r="AI57" s="209">
        <f t="shared" si="290"/>
        <v>0</v>
      </c>
      <c r="AJ57" s="209">
        <f t="shared" si="291"/>
        <v>0</v>
      </c>
      <c r="AK57" s="209">
        <f t="shared" si="292"/>
        <v>0</v>
      </c>
      <c r="AL57" s="209">
        <f t="shared" si="293"/>
        <v>0</v>
      </c>
      <c r="AM57" s="209">
        <f t="shared" si="294"/>
        <v>2.5678240482304346E-3</v>
      </c>
      <c r="AN57" s="209">
        <f t="shared" si="295"/>
        <v>4.2424919057720226E-3</v>
      </c>
      <c r="AO57" s="209">
        <f t="shared" si="296"/>
        <v>0</v>
      </c>
      <c r="AP57" s="209">
        <f t="shared" si="297"/>
        <v>0.18287373004354138</v>
      </c>
      <c r="AQ57" s="209">
        <f t="shared" si="298"/>
        <v>0</v>
      </c>
      <c r="AR57" s="209">
        <f t="shared" si="299"/>
        <v>3.3493357150831754E-4</v>
      </c>
      <c r="AS57" s="209">
        <f t="shared" si="300"/>
        <v>0</v>
      </c>
      <c r="AT57" s="209">
        <f t="shared" si="301"/>
        <v>1.7528190242268617E-2</v>
      </c>
      <c r="AU57" s="209">
        <f t="shared" si="302"/>
        <v>1.6188455956235349E-2</v>
      </c>
      <c r="AV57" s="209">
        <f t="shared" si="303"/>
        <v>0</v>
      </c>
      <c r="AW57" s="209">
        <f t="shared" si="304"/>
        <v>0</v>
      </c>
      <c r="AX57" s="209">
        <f t="shared" si="305"/>
        <v>0</v>
      </c>
      <c r="AY57" s="209">
        <f t="shared" si="306"/>
        <v>0</v>
      </c>
      <c r="AZ57" s="209">
        <f t="shared" si="307"/>
        <v>0</v>
      </c>
      <c r="BA57" s="209">
        <f t="shared" si="308"/>
        <v>0</v>
      </c>
      <c r="BB57" s="209">
        <f t="shared" si="309"/>
        <v>0</v>
      </c>
      <c r="BC57" s="209">
        <f t="shared" si="310"/>
        <v>0</v>
      </c>
      <c r="BD57" s="210">
        <f t="shared" si="311"/>
        <v>0.99999999999999978</v>
      </c>
      <c r="BE57" s="222">
        <f t="shared" si="67"/>
        <v>0.7500986584303202</v>
      </c>
      <c r="BF57" s="209">
        <f t="shared" si="68"/>
        <v>0.14837095960398575</v>
      </c>
      <c r="BG57" s="209">
        <f t="shared" si="323"/>
        <v>4.9729857208375087E-3</v>
      </c>
      <c r="BH57" s="209">
        <f t="shared" si="313"/>
        <v>3.453987860941365E-3</v>
      </c>
      <c r="BI57" s="209">
        <v>0</v>
      </c>
      <c r="BJ57" s="209">
        <f t="shared" si="314"/>
        <v>1.3795528831657342E-3</v>
      </c>
      <c r="BK57" s="209">
        <f t="shared" si="315"/>
        <v>2.7215892082188433E-5</v>
      </c>
      <c r="BL57" s="209">
        <f t="shared" si="316"/>
        <v>3.4264702279005336E-3</v>
      </c>
      <c r="BM57" s="209">
        <f t="shared" si="69"/>
        <v>5.9257242612912243E-2</v>
      </c>
      <c r="BN57" s="209">
        <f t="shared" si="317"/>
        <v>3.7848088941787604E-4</v>
      </c>
      <c r="BO57" s="209">
        <v>0</v>
      </c>
      <c r="BP57" s="209">
        <f t="shared" si="318"/>
        <v>2.8634445878436849E-2</v>
      </c>
      <c r="BQ57" s="209">
        <f t="shared" si="319"/>
        <v>0</v>
      </c>
      <c r="BR57" s="209">
        <f t="shared" si="320"/>
        <v>1</v>
      </c>
      <c r="BS57" s="122">
        <f t="shared" si="321"/>
        <v>70.290710763014346</v>
      </c>
      <c r="BT57" s="121" t="str">
        <f t="shared" si="322"/>
        <v xml:space="preserve">R2H1EA06 </v>
      </c>
      <c r="BU57" s="268">
        <f t="shared" si="72"/>
        <v>8.7378324892635958E-3</v>
      </c>
    </row>
    <row r="58" spans="1:73" s="121" customFormat="1" x14ac:dyDescent="0.2">
      <c r="A58" s="49" t="s">
        <v>91</v>
      </c>
      <c r="B58" s="119">
        <v>125</v>
      </c>
      <c r="C58" s="119">
        <v>155</v>
      </c>
      <c r="D58" s="119">
        <f t="shared" si="132"/>
        <v>140</v>
      </c>
      <c r="E58" s="106">
        <v>8.77</v>
      </c>
      <c r="F58" s="106">
        <v>0.28999999999999998</v>
      </c>
      <c r="G58" s="120">
        <v>44.15</v>
      </c>
      <c r="H58" s="120">
        <v>28.4556</v>
      </c>
      <c r="I58" s="125">
        <v>2.4744000000000002</v>
      </c>
      <c r="J58" s="120">
        <v>0</v>
      </c>
      <c r="K58" s="120">
        <v>0</v>
      </c>
      <c r="L58" s="120">
        <v>0</v>
      </c>
      <c r="M58" s="120">
        <v>0</v>
      </c>
      <c r="N58" s="120">
        <v>0.16</v>
      </c>
      <c r="O58" s="120">
        <v>0.23</v>
      </c>
      <c r="P58" s="120">
        <v>0</v>
      </c>
      <c r="Q58" s="120">
        <v>10.95</v>
      </c>
      <c r="R58" s="120">
        <v>0</v>
      </c>
      <c r="S58" s="120">
        <v>0.03</v>
      </c>
      <c r="T58" s="120">
        <v>0</v>
      </c>
      <c r="U58" s="120">
        <v>2.72</v>
      </c>
      <c r="V58" s="120">
        <v>1.87</v>
      </c>
      <c r="W58" s="120">
        <v>0</v>
      </c>
      <c r="X58" s="120">
        <v>0</v>
      </c>
      <c r="Y58" s="120">
        <v>0</v>
      </c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87">
        <f t="shared" si="147"/>
        <v>100.10000000000001</v>
      </c>
      <c r="AF58" s="209">
        <f t="shared" si="287"/>
        <v>0.48495166959578201</v>
      </c>
      <c r="AG58" s="209">
        <f t="shared" si="288"/>
        <v>0.3125615114235501</v>
      </c>
      <c r="AH58" s="209">
        <f t="shared" si="289"/>
        <v>2.71792618629174E-2</v>
      </c>
      <c r="AI58" s="209">
        <f t="shared" si="290"/>
        <v>0</v>
      </c>
      <c r="AJ58" s="209">
        <f t="shared" si="291"/>
        <v>0</v>
      </c>
      <c r="AK58" s="209">
        <f t="shared" si="292"/>
        <v>0</v>
      </c>
      <c r="AL58" s="209">
        <f t="shared" si="293"/>
        <v>0</v>
      </c>
      <c r="AM58" s="209">
        <f t="shared" si="294"/>
        <v>1.7574692442882249E-3</v>
      </c>
      <c r="AN58" s="209">
        <f t="shared" si="295"/>
        <v>2.5263620386643234E-3</v>
      </c>
      <c r="AO58" s="209">
        <f t="shared" si="296"/>
        <v>0</v>
      </c>
      <c r="AP58" s="209">
        <f t="shared" si="297"/>
        <v>0.12027680140597538</v>
      </c>
      <c r="AQ58" s="209">
        <f t="shared" si="298"/>
        <v>0</v>
      </c>
      <c r="AR58" s="209">
        <f t="shared" si="299"/>
        <v>3.2952548330404213E-4</v>
      </c>
      <c r="AS58" s="209">
        <f t="shared" si="300"/>
        <v>0</v>
      </c>
      <c r="AT58" s="209">
        <f t="shared" si="301"/>
        <v>2.9876977152899824E-2</v>
      </c>
      <c r="AU58" s="209">
        <f t="shared" si="302"/>
        <v>2.054042179261863E-2</v>
      </c>
      <c r="AV58" s="209">
        <f t="shared" si="303"/>
        <v>0</v>
      </c>
      <c r="AW58" s="209">
        <f t="shared" si="304"/>
        <v>0</v>
      </c>
      <c r="AX58" s="209">
        <f t="shared" si="305"/>
        <v>0</v>
      </c>
      <c r="AY58" s="209">
        <f t="shared" si="306"/>
        <v>0</v>
      </c>
      <c r="AZ58" s="209">
        <f t="shared" si="307"/>
        <v>0</v>
      </c>
      <c r="BA58" s="209">
        <f t="shared" si="308"/>
        <v>0</v>
      </c>
      <c r="BB58" s="209">
        <f t="shared" si="309"/>
        <v>0</v>
      </c>
      <c r="BC58" s="209">
        <f t="shared" si="310"/>
        <v>0</v>
      </c>
      <c r="BD58" s="210">
        <f t="shared" si="311"/>
        <v>0.99999999999999989</v>
      </c>
      <c r="BE58" s="222">
        <f t="shared" si="67"/>
        <v>0.78478904885005996</v>
      </c>
      <c r="BF58" s="209">
        <f t="shared" si="68"/>
        <v>0.12329870413439258</v>
      </c>
      <c r="BG58" s="209">
        <f t="shared" si="323"/>
        <v>3.3323751784104343E-3</v>
      </c>
      <c r="BH58" s="209">
        <f t="shared" si="313"/>
        <v>5.5708155430005601E-3</v>
      </c>
      <c r="BI58" s="209">
        <v>0</v>
      </c>
      <c r="BJ58" s="209">
        <f t="shared" si="314"/>
        <v>2.1722624449309158E-3</v>
      </c>
      <c r="BK58" s="209">
        <f t="shared" si="315"/>
        <v>4.4179500027726417E-5</v>
      </c>
      <c r="BL58" s="209">
        <f t="shared" si="316"/>
        <v>3.2132351319261823E-3</v>
      </c>
      <c r="BM58" s="209">
        <f t="shared" si="69"/>
        <v>5.6923287665455291E-2</v>
      </c>
      <c r="BN58" s="209">
        <f t="shared" si="317"/>
        <v>6.4512449543584736E-4</v>
      </c>
      <c r="BO58" s="209">
        <v>0</v>
      </c>
      <c r="BP58" s="209">
        <f t="shared" si="318"/>
        <v>2.0010967056360483E-2</v>
      </c>
      <c r="BQ58" s="209">
        <f t="shared" si="319"/>
        <v>0</v>
      </c>
      <c r="BR58" s="209">
        <f t="shared" si="320"/>
        <v>1</v>
      </c>
      <c r="BS58" s="122">
        <f t="shared" si="321"/>
        <v>67.200295952680662</v>
      </c>
      <c r="BT58" s="121" t="str">
        <f t="shared" si="322"/>
        <v xml:space="preserve">R2H1EA07 </v>
      </c>
      <c r="BU58" s="268">
        <f t="shared" si="72"/>
        <v>9.4045641202810462E-3</v>
      </c>
    </row>
    <row r="59" spans="1:73" s="121" customFormat="1" x14ac:dyDescent="0.2">
      <c r="A59" s="49" t="s">
        <v>92</v>
      </c>
      <c r="B59" s="119">
        <v>155</v>
      </c>
      <c r="C59" s="119">
        <v>220</v>
      </c>
      <c r="D59" s="119">
        <f t="shared" si="132"/>
        <v>187.5</v>
      </c>
      <c r="E59" s="106">
        <v>9.48</v>
      </c>
      <c r="F59" s="106">
        <v>0.37</v>
      </c>
      <c r="G59" s="120">
        <v>39.479999999999997</v>
      </c>
      <c r="H59" s="120">
        <v>31.298400000000004</v>
      </c>
      <c r="I59" s="125">
        <v>2.7216000000000005</v>
      </c>
      <c r="J59" s="120">
        <v>0</v>
      </c>
      <c r="K59" s="120">
        <v>0</v>
      </c>
      <c r="L59" s="120">
        <v>0</v>
      </c>
      <c r="M59" s="120">
        <v>0</v>
      </c>
      <c r="N59" s="120">
        <v>0.17</v>
      </c>
      <c r="O59" s="120">
        <v>0.27</v>
      </c>
      <c r="P59" s="120">
        <v>0</v>
      </c>
      <c r="Q59" s="120">
        <v>11.52</v>
      </c>
      <c r="R59" s="120">
        <v>0</v>
      </c>
      <c r="S59" s="120">
        <v>0.04</v>
      </c>
      <c r="T59" s="120">
        <v>0</v>
      </c>
      <c r="U59" s="120">
        <v>1.95</v>
      </c>
      <c r="V59" s="120">
        <v>2.7</v>
      </c>
      <c r="W59" s="120">
        <v>0</v>
      </c>
      <c r="X59" s="120">
        <v>0</v>
      </c>
      <c r="Y59" s="120">
        <v>0</v>
      </c>
      <c r="Z59" s="120">
        <v>0</v>
      </c>
      <c r="AA59" s="120">
        <v>0</v>
      </c>
      <c r="AB59" s="120">
        <v>0</v>
      </c>
      <c r="AC59" s="120">
        <v>0</v>
      </c>
      <c r="AD59" s="120">
        <v>0</v>
      </c>
      <c r="AE59" s="187">
        <f t="shared" si="147"/>
        <v>100</v>
      </c>
      <c r="AF59" s="209">
        <f t="shared" si="287"/>
        <v>0.43793677204658893</v>
      </c>
      <c r="AG59" s="209">
        <f t="shared" si="288"/>
        <v>0.34718136439267888</v>
      </c>
      <c r="AH59" s="209">
        <f t="shared" si="289"/>
        <v>3.0189683860232949E-2</v>
      </c>
      <c r="AI59" s="209">
        <f t="shared" si="290"/>
        <v>0</v>
      </c>
      <c r="AJ59" s="209">
        <f t="shared" si="291"/>
        <v>0</v>
      </c>
      <c r="AK59" s="209">
        <f t="shared" si="292"/>
        <v>0</v>
      </c>
      <c r="AL59" s="209">
        <f t="shared" si="293"/>
        <v>0</v>
      </c>
      <c r="AM59" s="209">
        <f t="shared" si="294"/>
        <v>1.8857459789240155E-3</v>
      </c>
      <c r="AN59" s="209">
        <f t="shared" si="295"/>
        <v>2.9950083194675539E-3</v>
      </c>
      <c r="AO59" s="209">
        <f t="shared" si="296"/>
        <v>0</v>
      </c>
      <c r="AP59" s="209">
        <f t="shared" si="297"/>
        <v>0.12778702163061562</v>
      </c>
      <c r="AQ59" s="209">
        <f t="shared" si="298"/>
        <v>0</v>
      </c>
      <c r="AR59" s="209">
        <f t="shared" si="299"/>
        <v>4.4370493621741539E-4</v>
      </c>
      <c r="AS59" s="209">
        <f t="shared" si="300"/>
        <v>0</v>
      </c>
      <c r="AT59" s="209">
        <f t="shared" si="301"/>
        <v>2.1630615640599E-2</v>
      </c>
      <c r="AU59" s="209">
        <f t="shared" si="302"/>
        <v>2.9950083194675542E-2</v>
      </c>
      <c r="AV59" s="209">
        <f t="shared" si="303"/>
        <v>0</v>
      </c>
      <c r="AW59" s="209">
        <f t="shared" si="304"/>
        <v>0</v>
      </c>
      <c r="AX59" s="209">
        <f t="shared" si="305"/>
        <v>0</v>
      </c>
      <c r="AY59" s="209">
        <f t="shared" si="306"/>
        <v>0</v>
      </c>
      <c r="AZ59" s="209">
        <f t="shared" si="307"/>
        <v>0</v>
      </c>
      <c r="BA59" s="209">
        <f t="shared" si="308"/>
        <v>0</v>
      </c>
      <c r="BB59" s="209">
        <f t="shared" si="309"/>
        <v>0</v>
      </c>
      <c r="BC59" s="209">
        <f t="shared" si="310"/>
        <v>0</v>
      </c>
      <c r="BD59" s="210">
        <f t="shared" si="311"/>
        <v>0.99999999999999978</v>
      </c>
      <c r="BE59" s="222">
        <f t="shared" si="67"/>
        <v>0.76725025711355155</v>
      </c>
      <c r="BF59" s="209">
        <f t="shared" si="68"/>
        <v>0.13373439270883808</v>
      </c>
      <c r="BG59" s="209">
        <f t="shared" si="323"/>
        <v>3.5596115562358836E-3</v>
      </c>
      <c r="BH59" s="209">
        <f t="shared" si="313"/>
        <v>4.7099684115555424E-3</v>
      </c>
      <c r="BI59" s="209">
        <v>0</v>
      </c>
      <c r="BJ59" s="209">
        <f t="shared" si="314"/>
        <v>1.9507030592725192E-3</v>
      </c>
      <c r="BK59" s="209">
        <f t="shared" si="315"/>
        <v>3.3863899520563068E-5</v>
      </c>
      <c r="BL59" s="209">
        <f t="shared" si="316"/>
        <v>3.5691386061443525E-3</v>
      </c>
      <c r="BM59" s="209">
        <f t="shared" si="69"/>
        <v>6.3431427263377596E-2</v>
      </c>
      <c r="BN59" s="209">
        <f t="shared" si="317"/>
        <v>4.670633153312091E-4</v>
      </c>
      <c r="BO59" s="209">
        <v>0</v>
      </c>
      <c r="BP59" s="209">
        <f t="shared" si="318"/>
        <v>2.1293574066172737E-2</v>
      </c>
      <c r="BQ59" s="209">
        <f t="shared" si="319"/>
        <v>0</v>
      </c>
      <c r="BR59" s="209">
        <f t="shared" si="320"/>
        <v>1</v>
      </c>
      <c r="BS59" s="122">
        <f t="shared" si="321"/>
        <v>66.611135662546445</v>
      </c>
      <c r="BT59" s="121" t="str">
        <f t="shared" si="322"/>
        <v xml:space="preserve">R2H1EA08 </v>
      </c>
      <c r="BU59" s="268">
        <f t="shared" si="72"/>
        <v>8.6934771248314245E-3</v>
      </c>
    </row>
    <row r="60" spans="1:73" s="121" customFormat="1" x14ac:dyDescent="0.2">
      <c r="A60" s="49" t="s">
        <v>93</v>
      </c>
      <c r="B60" s="119">
        <v>250</v>
      </c>
      <c r="C60" s="119">
        <v>300</v>
      </c>
      <c r="D60" s="119">
        <f t="shared" si="132"/>
        <v>275</v>
      </c>
      <c r="E60" s="106">
        <v>12.23</v>
      </c>
      <c r="F60" s="106">
        <v>1.36</v>
      </c>
      <c r="G60" s="120">
        <v>41.7</v>
      </c>
      <c r="H60" s="120">
        <v>16.523200000000003</v>
      </c>
      <c r="I60" s="125">
        <v>1.4368000000000001</v>
      </c>
      <c r="J60" s="120">
        <v>0</v>
      </c>
      <c r="K60" s="120">
        <v>0</v>
      </c>
      <c r="L60" s="120">
        <v>0</v>
      </c>
      <c r="M60" s="120">
        <v>0</v>
      </c>
      <c r="N60" s="120">
        <v>0.26</v>
      </c>
      <c r="O60" s="120">
        <v>0.28000000000000003</v>
      </c>
      <c r="P60" s="120">
        <v>0</v>
      </c>
      <c r="Q60" s="120">
        <v>22.26</v>
      </c>
      <c r="R60" s="120">
        <v>0</v>
      </c>
      <c r="S60" s="120">
        <v>0.02</v>
      </c>
      <c r="T60" s="120">
        <v>0</v>
      </c>
      <c r="U60" s="120">
        <v>2.61</v>
      </c>
      <c r="V60" s="120">
        <v>1.31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87">
        <f t="shared" si="147"/>
        <v>99.990000000000023</v>
      </c>
      <c r="AF60" s="209">
        <f t="shared" si="287"/>
        <v>0.4826388888888889</v>
      </c>
      <c r="AG60" s="209">
        <f t="shared" si="288"/>
        <v>0.19124074074074077</v>
      </c>
      <c r="AH60" s="209">
        <f t="shared" si="289"/>
        <v>1.662962962962963E-2</v>
      </c>
      <c r="AI60" s="209">
        <f t="shared" si="290"/>
        <v>0</v>
      </c>
      <c r="AJ60" s="209">
        <f t="shared" si="291"/>
        <v>0</v>
      </c>
      <c r="AK60" s="209">
        <f t="shared" si="292"/>
        <v>0</v>
      </c>
      <c r="AL60" s="209">
        <f t="shared" si="293"/>
        <v>0</v>
      </c>
      <c r="AM60" s="209">
        <f t="shared" si="294"/>
        <v>3.0092592592592593E-3</v>
      </c>
      <c r="AN60" s="209">
        <f t="shared" si="295"/>
        <v>3.2407407407407406E-3</v>
      </c>
      <c r="AO60" s="209">
        <f t="shared" si="296"/>
        <v>0</v>
      </c>
      <c r="AP60" s="209">
        <f t="shared" si="297"/>
        <v>0.25763888888888892</v>
      </c>
      <c r="AQ60" s="209">
        <f t="shared" si="298"/>
        <v>0</v>
      </c>
      <c r="AR60" s="209">
        <f t="shared" si="299"/>
        <v>2.3148148148148146E-4</v>
      </c>
      <c r="AS60" s="209">
        <f t="shared" si="300"/>
        <v>0</v>
      </c>
      <c r="AT60" s="209">
        <f t="shared" si="301"/>
        <v>3.020833333333333E-2</v>
      </c>
      <c r="AU60" s="209">
        <f t="shared" si="302"/>
        <v>1.5162037037037036E-2</v>
      </c>
      <c r="AV60" s="209">
        <f t="shared" si="303"/>
        <v>0</v>
      </c>
      <c r="AW60" s="209">
        <f t="shared" si="304"/>
        <v>0</v>
      </c>
      <c r="AX60" s="209">
        <f t="shared" si="305"/>
        <v>0</v>
      </c>
      <c r="AY60" s="209">
        <f t="shared" si="306"/>
        <v>0</v>
      </c>
      <c r="AZ60" s="209">
        <f t="shared" si="307"/>
        <v>0</v>
      </c>
      <c r="BA60" s="209">
        <f t="shared" si="308"/>
        <v>0</v>
      </c>
      <c r="BB60" s="209">
        <f t="shared" si="309"/>
        <v>0</v>
      </c>
      <c r="BC60" s="209">
        <f t="shared" si="310"/>
        <v>0</v>
      </c>
      <c r="BD60" s="210">
        <f t="shared" si="311"/>
        <v>1</v>
      </c>
      <c r="BE60" s="222">
        <f t="shared" si="67"/>
        <v>0.75755028049044892</v>
      </c>
      <c r="BF60" s="209">
        <f t="shared" si="68"/>
        <v>0.15087447439335727</v>
      </c>
      <c r="BG60" s="209">
        <f t="shared" si="323"/>
        <v>6.4881162336506122E-3</v>
      </c>
      <c r="BH60" s="209">
        <f t="shared" si="313"/>
        <v>5.3809901801022226E-3</v>
      </c>
      <c r="BI60" s="209">
        <v>0</v>
      </c>
      <c r="BJ60" s="209">
        <f t="shared" si="314"/>
        <v>2.0553973690625358E-3</v>
      </c>
      <c r="BK60" s="209">
        <f t="shared" si="315"/>
        <v>4.3738218855517625E-5</v>
      </c>
      <c r="BL60" s="209">
        <f t="shared" si="316"/>
        <v>1.9660177096182132E-3</v>
      </c>
      <c r="BM60" s="209">
        <f t="shared" si="69"/>
        <v>3.5779535635586973E-2</v>
      </c>
      <c r="BN60" s="209">
        <f t="shared" si="317"/>
        <v>6.5227936882272786E-4</v>
      </c>
      <c r="BO60" s="209">
        <v>0</v>
      </c>
      <c r="BP60" s="209">
        <f t="shared" si="318"/>
        <v>3.9209170400495194E-2</v>
      </c>
      <c r="BQ60" s="209">
        <f t="shared" si="319"/>
        <v>0</v>
      </c>
      <c r="BR60" s="209">
        <f t="shared" si="320"/>
        <v>1.0000000000000002</v>
      </c>
      <c r="BS60" s="122">
        <f t="shared" si="321"/>
        <v>79.970032203963399</v>
      </c>
      <c r="BT60" s="121" t="str">
        <f t="shared" si="322"/>
        <v xml:space="preserve">R2H1EA09 </v>
      </c>
      <c r="BU60" s="268">
        <f t="shared" si="72"/>
        <v>1.2353395529962036E-2</v>
      </c>
    </row>
    <row r="61" spans="1:73" s="121" customFormat="1" x14ac:dyDescent="0.2">
      <c r="A61" s="49" t="s">
        <v>95</v>
      </c>
      <c r="B61" s="119">
        <v>300</v>
      </c>
      <c r="C61" s="119">
        <v>400</v>
      </c>
      <c r="D61" s="119">
        <f t="shared" si="132"/>
        <v>350</v>
      </c>
      <c r="E61" s="106">
        <v>9.6</v>
      </c>
      <c r="F61" s="106">
        <v>0.81</v>
      </c>
      <c r="G61" s="120">
        <v>37.979999999999997</v>
      </c>
      <c r="H61" s="120">
        <v>14.959200000000003</v>
      </c>
      <c r="I61" s="125">
        <v>1.3008000000000002</v>
      </c>
      <c r="J61" s="120">
        <v>0</v>
      </c>
      <c r="K61" s="120">
        <v>0</v>
      </c>
      <c r="L61" s="120">
        <v>0</v>
      </c>
      <c r="M61" s="120">
        <v>0</v>
      </c>
      <c r="N61" s="120">
        <v>0.21</v>
      </c>
      <c r="O61" s="120">
        <v>0.08</v>
      </c>
      <c r="P61" s="120">
        <v>0</v>
      </c>
      <c r="Q61" s="120">
        <v>22.6</v>
      </c>
      <c r="R61" s="120">
        <v>0</v>
      </c>
      <c r="S61" s="120">
        <v>0.01</v>
      </c>
      <c r="T61" s="120">
        <v>0</v>
      </c>
      <c r="U61" s="120">
        <v>7.38</v>
      </c>
      <c r="V61" s="120">
        <v>5.07</v>
      </c>
      <c r="W61" s="120">
        <v>0</v>
      </c>
      <c r="X61" s="120">
        <v>0</v>
      </c>
      <c r="Y61" s="120">
        <v>0</v>
      </c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  <c r="AE61" s="187">
        <f t="shared" si="147"/>
        <v>100</v>
      </c>
      <c r="AF61" s="209">
        <f t="shared" si="287"/>
        <v>0.42393124232615242</v>
      </c>
      <c r="AG61" s="209">
        <f t="shared" si="288"/>
        <v>0.16697399263310639</v>
      </c>
      <c r="AH61" s="209">
        <f t="shared" si="289"/>
        <v>1.4519477620270121E-2</v>
      </c>
      <c r="AI61" s="209">
        <f t="shared" si="290"/>
        <v>0</v>
      </c>
      <c r="AJ61" s="209">
        <f t="shared" si="291"/>
        <v>0</v>
      </c>
      <c r="AK61" s="209">
        <f t="shared" si="292"/>
        <v>0</v>
      </c>
      <c r="AL61" s="209">
        <f t="shared" si="293"/>
        <v>0</v>
      </c>
      <c r="AM61" s="209">
        <f t="shared" si="294"/>
        <v>2.3440116084384416E-3</v>
      </c>
      <c r="AN61" s="209">
        <f t="shared" si="295"/>
        <v>8.9295680321464452E-4</v>
      </c>
      <c r="AO61" s="209">
        <f t="shared" si="296"/>
        <v>0</v>
      </c>
      <c r="AP61" s="209">
        <f t="shared" si="297"/>
        <v>0.25226029690813706</v>
      </c>
      <c r="AQ61" s="209">
        <f t="shared" si="298"/>
        <v>0</v>
      </c>
      <c r="AR61" s="209">
        <f t="shared" si="299"/>
        <v>1.1161960040183056E-4</v>
      </c>
      <c r="AS61" s="209">
        <f t="shared" si="300"/>
        <v>0</v>
      </c>
      <c r="AT61" s="209">
        <f t="shared" si="301"/>
        <v>8.2375265096550951E-2</v>
      </c>
      <c r="AU61" s="209">
        <f t="shared" si="302"/>
        <v>5.6591137403728092E-2</v>
      </c>
      <c r="AV61" s="209">
        <f t="shared" si="303"/>
        <v>0</v>
      </c>
      <c r="AW61" s="209">
        <f t="shared" si="304"/>
        <v>0</v>
      </c>
      <c r="AX61" s="209">
        <f t="shared" si="305"/>
        <v>0</v>
      </c>
      <c r="AY61" s="209">
        <f t="shared" si="306"/>
        <v>0</v>
      </c>
      <c r="AZ61" s="209">
        <f t="shared" si="307"/>
        <v>0</v>
      </c>
      <c r="BA61" s="209">
        <f t="shared" si="308"/>
        <v>0</v>
      </c>
      <c r="BB61" s="209">
        <f t="shared" si="309"/>
        <v>0</v>
      </c>
      <c r="BC61" s="209">
        <f t="shared" si="310"/>
        <v>0</v>
      </c>
      <c r="BD61" s="210">
        <f t="shared" si="311"/>
        <v>1</v>
      </c>
      <c r="BE61" s="222">
        <f t="shared" si="67"/>
        <v>0.72216479824073676</v>
      </c>
      <c r="BF61" s="209">
        <f t="shared" si="68"/>
        <v>0.16601926385299615</v>
      </c>
      <c r="BG61" s="209">
        <f t="shared" si="323"/>
        <v>5.8445500551207383E-3</v>
      </c>
      <c r="BH61" s="209">
        <f t="shared" si="313"/>
        <v>1.5357687572292125E-2</v>
      </c>
      <c r="BI61" s="209">
        <v>0</v>
      </c>
      <c r="BJ61" s="209">
        <f t="shared" si="314"/>
        <v>5.9750995569382813E-3</v>
      </c>
      <c r="BK61" s="209">
        <f t="shared" si="315"/>
        <v>1.1451188896501342E-4</v>
      </c>
      <c r="BL61" s="209">
        <f t="shared" si="316"/>
        <v>1.7165475582808952E-3</v>
      </c>
      <c r="BM61" s="209">
        <f t="shared" si="69"/>
        <v>3.9315095598949031E-2</v>
      </c>
      <c r="BN61" s="209">
        <f t="shared" si="317"/>
        <v>1.7787040857528212E-3</v>
      </c>
      <c r="BO61" s="209">
        <v>0</v>
      </c>
      <c r="BP61" s="209">
        <f t="shared" si="318"/>
        <v>4.1713741589968246E-2</v>
      </c>
      <c r="BQ61" s="209">
        <f t="shared" si="319"/>
        <v>0</v>
      </c>
      <c r="BR61" s="209">
        <f t="shared" si="320"/>
        <v>1.0000000000000002</v>
      </c>
      <c r="BS61" s="122">
        <f t="shared" si="321"/>
        <v>80.138502234189417</v>
      </c>
      <c r="BT61" s="121" t="str">
        <f t="shared" si="322"/>
        <v xml:space="preserve">R2H1EA10 </v>
      </c>
      <c r="BU61" s="268">
        <f t="shared" si="72"/>
        <v>2.2584429508919156E-2</v>
      </c>
    </row>
    <row r="62" spans="1:73" s="121" customFormat="1" x14ac:dyDescent="0.2">
      <c r="A62" s="49" t="s">
        <v>96</v>
      </c>
      <c r="B62" s="119">
        <v>400</v>
      </c>
      <c r="C62" s="119">
        <v>500</v>
      </c>
      <c r="D62" s="119">
        <f t="shared" si="132"/>
        <v>450</v>
      </c>
      <c r="E62" s="106">
        <v>9.99</v>
      </c>
      <c r="F62" s="106">
        <v>1.48</v>
      </c>
      <c r="G62" s="120">
        <v>38.92</v>
      </c>
      <c r="H62" s="120">
        <v>8.4456000000000007</v>
      </c>
      <c r="I62" s="125">
        <v>0.73439999999999994</v>
      </c>
      <c r="J62" s="120">
        <v>0</v>
      </c>
      <c r="K62" s="120">
        <v>0</v>
      </c>
      <c r="L62" s="120">
        <v>0</v>
      </c>
      <c r="M62" s="120">
        <v>0</v>
      </c>
      <c r="N62" s="120">
        <v>0.25</v>
      </c>
      <c r="O62" s="120">
        <v>0.11</v>
      </c>
      <c r="P62" s="120">
        <v>0</v>
      </c>
      <c r="Q62" s="120">
        <v>27.24</v>
      </c>
      <c r="R62" s="120">
        <v>0</v>
      </c>
      <c r="S62" s="120">
        <v>0.01</v>
      </c>
      <c r="T62" s="120">
        <v>0</v>
      </c>
      <c r="U62" s="120">
        <v>8.11</v>
      </c>
      <c r="V62" s="120">
        <v>4.71</v>
      </c>
      <c r="W62" s="120">
        <v>0</v>
      </c>
      <c r="X62" s="120">
        <v>0</v>
      </c>
      <c r="Y62" s="120">
        <v>0</v>
      </c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87">
        <f t="shared" si="147"/>
        <v>100</v>
      </c>
      <c r="AF62" s="209">
        <f t="shared" si="287"/>
        <v>0.43962498588049248</v>
      </c>
      <c r="AG62" s="209">
        <f t="shared" si="288"/>
        <v>9.5398170111826511E-2</v>
      </c>
      <c r="AH62" s="209">
        <f t="shared" si="289"/>
        <v>8.2954930532023029E-3</v>
      </c>
      <c r="AI62" s="209">
        <f t="shared" si="290"/>
        <v>0</v>
      </c>
      <c r="AJ62" s="209">
        <f t="shared" si="291"/>
        <v>0</v>
      </c>
      <c r="AK62" s="209">
        <f t="shared" si="292"/>
        <v>0</v>
      </c>
      <c r="AL62" s="209">
        <f t="shared" si="293"/>
        <v>0</v>
      </c>
      <c r="AM62" s="209">
        <f t="shared" si="294"/>
        <v>2.823901502315599E-3</v>
      </c>
      <c r="AN62" s="209">
        <f t="shared" si="295"/>
        <v>1.2425166610188637E-3</v>
      </c>
      <c r="AO62" s="209">
        <f t="shared" si="296"/>
        <v>0</v>
      </c>
      <c r="AP62" s="209">
        <f t="shared" si="297"/>
        <v>0.30769230769230765</v>
      </c>
      <c r="AQ62" s="209">
        <f t="shared" si="298"/>
        <v>0</v>
      </c>
      <c r="AR62" s="209">
        <f t="shared" si="299"/>
        <v>1.1295606009262397E-4</v>
      </c>
      <c r="AS62" s="209">
        <f t="shared" si="300"/>
        <v>0</v>
      </c>
      <c r="AT62" s="209">
        <f t="shared" si="301"/>
        <v>9.1607364735118033E-2</v>
      </c>
      <c r="AU62" s="209">
        <f t="shared" si="302"/>
        <v>5.3202304303625887E-2</v>
      </c>
      <c r="AV62" s="209">
        <f t="shared" si="303"/>
        <v>0</v>
      </c>
      <c r="AW62" s="209">
        <f t="shared" si="304"/>
        <v>0</v>
      </c>
      <c r="AX62" s="209">
        <f t="shared" si="305"/>
        <v>0</v>
      </c>
      <c r="AY62" s="209">
        <f t="shared" si="306"/>
        <v>0</v>
      </c>
      <c r="AZ62" s="209">
        <f t="shared" si="307"/>
        <v>0</v>
      </c>
      <c r="BA62" s="209">
        <f t="shared" si="308"/>
        <v>0</v>
      </c>
      <c r="BB62" s="209">
        <f t="shared" si="309"/>
        <v>0</v>
      </c>
      <c r="BC62" s="209">
        <f t="shared" si="310"/>
        <v>0</v>
      </c>
      <c r="BD62" s="210">
        <f t="shared" si="311"/>
        <v>0.99999999999999989</v>
      </c>
      <c r="BE62" s="222">
        <f t="shared" si="67"/>
        <v>0.71494692982597208</v>
      </c>
      <c r="BF62" s="209">
        <f t="shared" si="68"/>
        <v>0.17468178075300025</v>
      </c>
      <c r="BG62" s="209">
        <f t="shared" si="323"/>
        <v>7.0985168801096232E-3</v>
      </c>
      <c r="BH62" s="209">
        <f t="shared" si="313"/>
        <v>1.6642137211400048E-2</v>
      </c>
      <c r="BI62" s="209">
        <v>0</v>
      </c>
      <c r="BJ62" s="209">
        <f t="shared" si="314"/>
        <v>6.4027987152847857E-3</v>
      </c>
      <c r="BK62" s="209">
        <f t="shared" si="315"/>
        <v>1.272433450630774E-4</v>
      </c>
      <c r="BL62" s="209">
        <f t="shared" si="316"/>
        <v>9.8072456307457881E-4</v>
      </c>
      <c r="BM62" s="209">
        <f t="shared" si="69"/>
        <v>2.730951975914327E-2</v>
      </c>
      <c r="BN62" s="209">
        <f t="shared" si="317"/>
        <v>1.9780500098958193E-3</v>
      </c>
      <c r="BO62" s="209">
        <v>0</v>
      </c>
      <c r="BP62" s="209">
        <f t="shared" si="318"/>
        <v>4.9832298937056554E-2</v>
      </c>
      <c r="BQ62" s="209">
        <f t="shared" si="319"/>
        <v>0</v>
      </c>
      <c r="BR62" s="209">
        <f t="shared" si="320"/>
        <v>1.0000000000000002</v>
      </c>
      <c r="BS62" s="122">
        <f t="shared" si="321"/>
        <v>86.008079749221181</v>
      </c>
      <c r="BT62" s="121" t="str">
        <f t="shared" si="322"/>
        <v xml:space="preserve">R2H1EA11 </v>
      </c>
      <c r="BU62" s="268">
        <f t="shared" si="72"/>
        <v>2.5238446440535679E-2</v>
      </c>
    </row>
    <row r="63" spans="1:73" s="121" customFormat="1" x14ac:dyDescent="0.2">
      <c r="A63" s="49" t="s">
        <v>97</v>
      </c>
      <c r="B63" s="119">
        <v>500</v>
      </c>
      <c r="C63" s="119">
        <v>600</v>
      </c>
      <c r="D63" s="119">
        <f t="shared" si="132"/>
        <v>550</v>
      </c>
      <c r="E63" s="106">
        <v>10.16</v>
      </c>
      <c r="F63" s="106">
        <v>0.89</v>
      </c>
      <c r="G63" s="120">
        <v>37.92</v>
      </c>
      <c r="H63" s="120">
        <v>9.0619999999999994</v>
      </c>
      <c r="I63" s="125">
        <v>0.78800000000000003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23.41</v>
      </c>
      <c r="R63" s="120">
        <v>0</v>
      </c>
      <c r="S63" s="120">
        <v>0</v>
      </c>
      <c r="T63" s="120">
        <v>0</v>
      </c>
      <c r="U63" s="120">
        <v>13.06</v>
      </c>
      <c r="V63" s="120">
        <v>4.71</v>
      </c>
      <c r="W63" s="120">
        <v>0</v>
      </c>
      <c r="X63" s="120">
        <v>0</v>
      </c>
      <c r="Y63" s="120">
        <v>0</v>
      </c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87">
        <f t="shared" si="147"/>
        <v>99.999999999999986</v>
      </c>
      <c r="AF63" s="209">
        <f t="shared" si="287"/>
        <v>0.4263069139966274</v>
      </c>
      <c r="AG63" s="209">
        <f t="shared" si="288"/>
        <v>0.10187745924676786</v>
      </c>
      <c r="AH63" s="209">
        <f t="shared" si="289"/>
        <v>8.8589094997189449E-3</v>
      </c>
      <c r="AI63" s="209">
        <f t="shared" si="290"/>
        <v>0</v>
      </c>
      <c r="AJ63" s="209">
        <f t="shared" si="291"/>
        <v>0</v>
      </c>
      <c r="AK63" s="209">
        <f t="shared" si="292"/>
        <v>0</v>
      </c>
      <c r="AL63" s="209">
        <f t="shared" si="293"/>
        <v>0</v>
      </c>
      <c r="AM63" s="209">
        <f t="shared" si="294"/>
        <v>0</v>
      </c>
      <c r="AN63" s="209">
        <f t="shared" si="295"/>
        <v>0</v>
      </c>
      <c r="AO63" s="209">
        <f t="shared" si="296"/>
        <v>0</v>
      </c>
      <c r="AP63" s="209">
        <f t="shared" si="297"/>
        <v>0.26318156267566051</v>
      </c>
      <c r="AQ63" s="209">
        <f t="shared" si="298"/>
        <v>0</v>
      </c>
      <c r="AR63" s="209">
        <f t="shared" si="299"/>
        <v>0</v>
      </c>
      <c r="AS63" s="209">
        <f t="shared" si="300"/>
        <v>0</v>
      </c>
      <c r="AT63" s="209">
        <f t="shared" si="301"/>
        <v>0.14682405845980889</v>
      </c>
      <c r="AU63" s="209">
        <f t="shared" si="302"/>
        <v>5.2951096121416533E-2</v>
      </c>
      <c r="AV63" s="209">
        <f t="shared" si="303"/>
        <v>0</v>
      </c>
      <c r="AW63" s="209">
        <f t="shared" si="304"/>
        <v>0</v>
      </c>
      <c r="AX63" s="209">
        <f t="shared" si="305"/>
        <v>0</v>
      </c>
      <c r="AY63" s="209">
        <f t="shared" si="306"/>
        <v>0</v>
      </c>
      <c r="AZ63" s="209">
        <f t="shared" si="307"/>
        <v>0</v>
      </c>
      <c r="BA63" s="209">
        <f t="shared" si="308"/>
        <v>0</v>
      </c>
      <c r="BB63" s="209">
        <f t="shared" si="309"/>
        <v>0</v>
      </c>
      <c r="BC63" s="209">
        <f t="shared" si="310"/>
        <v>0</v>
      </c>
      <c r="BD63" s="210">
        <f t="shared" si="311"/>
        <v>1.0000000000000002</v>
      </c>
      <c r="BE63" s="222">
        <f t="shared" si="67"/>
        <v>0.70824705584805636</v>
      </c>
      <c r="BF63" s="209">
        <f t="shared" si="68"/>
        <v>0.17187980320193955</v>
      </c>
      <c r="BG63" s="209">
        <f t="shared" si="323"/>
        <v>4.0486335278306848E-3</v>
      </c>
      <c r="BH63" s="209">
        <f t="shared" si="313"/>
        <v>2.5222747582661152E-2</v>
      </c>
      <c r="BI63" s="209">
        <v>0</v>
      </c>
      <c r="BJ63" s="209">
        <f t="shared" si="314"/>
        <v>9.456175402646488E-3</v>
      </c>
      <c r="BK63" s="209">
        <f t="shared" si="315"/>
        <v>2.0228196033059218E-4</v>
      </c>
      <c r="BL63" s="209">
        <f t="shared" si="316"/>
        <v>1.0473337862750927E-3</v>
      </c>
      <c r="BM63" s="209">
        <f t="shared" si="69"/>
        <v>3.1374878190211217E-2</v>
      </c>
      <c r="BN63" s="209">
        <f t="shared" si="317"/>
        <v>3.1703273107913529E-3</v>
      </c>
      <c r="BO63" s="209">
        <v>0</v>
      </c>
      <c r="BP63" s="209">
        <f t="shared" si="318"/>
        <v>4.5350763189257598E-2</v>
      </c>
      <c r="BQ63" s="209">
        <f t="shared" si="319"/>
        <v>0</v>
      </c>
      <c r="BR63" s="209">
        <f t="shared" si="320"/>
        <v>1.0000000000000002</v>
      </c>
      <c r="BS63" s="122">
        <f t="shared" si="321"/>
        <v>84.047037449447259</v>
      </c>
      <c r="BT63" s="121" t="str">
        <f t="shared" si="322"/>
        <v xml:space="preserve">R2H1EA12 </v>
      </c>
      <c r="BU63" s="268">
        <f t="shared" si="72"/>
        <v>3.1541428392931344E-2</v>
      </c>
    </row>
    <row r="64" spans="1:73" s="121" customFormat="1" x14ac:dyDescent="0.2">
      <c r="A64" s="49" t="s">
        <v>98</v>
      </c>
      <c r="B64" s="119">
        <v>600</v>
      </c>
      <c r="C64" s="119">
        <v>700</v>
      </c>
      <c r="D64" s="119">
        <f t="shared" si="132"/>
        <v>650</v>
      </c>
      <c r="E64" s="106">
        <v>9.31</v>
      </c>
      <c r="F64" s="106">
        <v>0.51</v>
      </c>
      <c r="G64" s="120">
        <v>38.81</v>
      </c>
      <c r="H64" s="120">
        <v>19.439599999999999</v>
      </c>
      <c r="I64" s="125">
        <v>1.6903999999999999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16.510000000000002</v>
      </c>
      <c r="R64" s="120">
        <v>0</v>
      </c>
      <c r="S64" s="120">
        <v>0</v>
      </c>
      <c r="T64" s="120">
        <v>0</v>
      </c>
      <c r="U64" s="120">
        <v>5.24</v>
      </c>
      <c r="V64" s="120">
        <v>8.48</v>
      </c>
      <c r="W64" s="120">
        <v>0</v>
      </c>
      <c r="X64" s="120">
        <v>0</v>
      </c>
      <c r="Y64" s="120">
        <v>0</v>
      </c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  <c r="AE64" s="187">
        <f t="shared" si="147"/>
        <v>99.990000000000009</v>
      </c>
      <c r="AF64" s="209">
        <f t="shared" si="287"/>
        <v>0.43040922701563716</v>
      </c>
      <c r="AG64" s="209">
        <f t="shared" si="288"/>
        <v>0.21558833314849726</v>
      </c>
      <c r="AH64" s="209">
        <f t="shared" si="289"/>
        <v>1.8746811578130199E-2</v>
      </c>
      <c r="AI64" s="209">
        <f t="shared" si="290"/>
        <v>0</v>
      </c>
      <c r="AJ64" s="209">
        <f t="shared" si="291"/>
        <v>0</v>
      </c>
      <c r="AK64" s="209">
        <f t="shared" si="292"/>
        <v>0</v>
      </c>
      <c r="AL64" s="209">
        <f t="shared" si="293"/>
        <v>0</v>
      </c>
      <c r="AM64" s="209">
        <f t="shared" si="294"/>
        <v>0</v>
      </c>
      <c r="AN64" s="209">
        <f t="shared" si="295"/>
        <v>0</v>
      </c>
      <c r="AO64" s="209">
        <f t="shared" si="296"/>
        <v>0</v>
      </c>
      <c r="AP64" s="209">
        <f t="shared" si="297"/>
        <v>0.18309859154929578</v>
      </c>
      <c r="AQ64" s="209">
        <f t="shared" si="298"/>
        <v>0</v>
      </c>
      <c r="AR64" s="209">
        <f t="shared" si="299"/>
        <v>0</v>
      </c>
      <c r="AS64" s="209">
        <f t="shared" si="300"/>
        <v>0</v>
      </c>
      <c r="AT64" s="209">
        <f t="shared" si="301"/>
        <v>5.8112454253077518E-2</v>
      </c>
      <c r="AU64" s="209">
        <f t="shared" si="302"/>
        <v>9.4044582455362097E-2</v>
      </c>
      <c r="AV64" s="209">
        <f t="shared" si="303"/>
        <v>0</v>
      </c>
      <c r="AW64" s="209">
        <f t="shared" si="304"/>
        <v>0</v>
      </c>
      <c r="AX64" s="209">
        <f t="shared" si="305"/>
        <v>0</v>
      </c>
      <c r="AY64" s="209">
        <f t="shared" si="306"/>
        <v>0</v>
      </c>
      <c r="AZ64" s="209">
        <f t="shared" si="307"/>
        <v>0</v>
      </c>
      <c r="BA64" s="209">
        <f t="shared" si="308"/>
        <v>0</v>
      </c>
      <c r="BB64" s="209">
        <f t="shared" si="309"/>
        <v>0</v>
      </c>
      <c r="BC64" s="209">
        <f t="shared" si="310"/>
        <v>0</v>
      </c>
      <c r="BD64" s="210">
        <f t="shared" si="311"/>
        <v>1</v>
      </c>
      <c r="BE64" s="222">
        <f t="shared" si="67"/>
        <v>0.74036366804202192</v>
      </c>
      <c r="BF64" s="209">
        <f t="shared" si="68"/>
        <v>0.15173517712803275</v>
      </c>
      <c r="BG64" s="209">
        <f t="shared" si="323"/>
        <v>2.8166832399221541E-3</v>
      </c>
      <c r="BH64" s="209">
        <f t="shared" si="313"/>
        <v>1.3263255578580964E-2</v>
      </c>
      <c r="BI64" s="209">
        <v>0</v>
      </c>
      <c r="BJ64" s="209">
        <f t="shared" si="314"/>
        <v>5.5585350803844221E-3</v>
      </c>
      <c r="BK64" s="209">
        <f t="shared" si="315"/>
        <v>8.0062499901214642E-5</v>
      </c>
      <c r="BL64" s="209">
        <f t="shared" si="316"/>
        <v>2.2163189669486697E-3</v>
      </c>
      <c r="BM64" s="209">
        <f t="shared" si="69"/>
        <v>5.056851311705176E-2</v>
      </c>
      <c r="BN64" s="209">
        <f t="shared" si="317"/>
        <v>1.2548045786792957E-3</v>
      </c>
      <c r="BO64" s="209">
        <v>0</v>
      </c>
      <c r="BP64" s="209">
        <f t="shared" si="318"/>
        <v>3.2142981768477075E-2</v>
      </c>
      <c r="BQ64" s="209">
        <f t="shared" si="319"/>
        <v>0</v>
      </c>
      <c r="BR64" s="209">
        <f t="shared" si="320"/>
        <v>1.0000000000000002</v>
      </c>
      <c r="BS64" s="122">
        <f t="shared" si="321"/>
        <v>74.161839660382654</v>
      </c>
      <c r="BT64" s="121" t="str">
        <f t="shared" si="322"/>
        <v xml:space="preserve">R2H1EA13 </v>
      </c>
      <c r="BU64" s="268">
        <f t="shared" si="72"/>
        <v>1.7273631820575407E-2</v>
      </c>
    </row>
    <row r="65" spans="1:73" s="143" customFormat="1" ht="16" thickBot="1" x14ac:dyDescent="0.25">
      <c r="A65" s="49" t="s">
        <v>99</v>
      </c>
      <c r="B65" s="140">
        <v>700</v>
      </c>
      <c r="C65" s="140">
        <v>800</v>
      </c>
      <c r="D65" s="140">
        <f t="shared" si="132"/>
        <v>750</v>
      </c>
      <c r="E65" s="134">
        <v>9.5500000000000007</v>
      </c>
      <c r="F65" s="134">
        <v>0.59</v>
      </c>
      <c r="G65" s="141">
        <v>38.82</v>
      </c>
      <c r="H65" s="141">
        <v>15.897600000000002</v>
      </c>
      <c r="I65" s="141">
        <v>2.6124000000000001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141">
        <v>20.260000000000002</v>
      </c>
      <c r="R65" s="141">
        <v>0</v>
      </c>
      <c r="S65" s="141">
        <v>0</v>
      </c>
      <c r="T65" s="141">
        <v>0</v>
      </c>
      <c r="U65" s="141">
        <v>4.09</v>
      </c>
      <c r="V65" s="141">
        <v>8.17</v>
      </c>
      <c r="W65" s="141">
        <v>0</v>
      </c>
      <c r="X65" s="141">
        <v>0</v>
      </c>
      <c r="Y65" s="141">
        <v>0</v>
      </c>
      <c r="Z65" s="141">
        <v>0</v>
      </c>
      <c r="AA65" s="141">
        <v>0</v>
      </c>
      <c r="AB65" s="141">
        <v>0</v>
      </c>
      <c r="AC65" s="141">
        <v>0</v>
      </c>
      <c r="AD65" s="141">
        <v>0</v>
      </c>
      <c r="AE65" s="188">
        <f t="shared" si="147"/>
        <v>99.990000000000009</v>
      </c>
      <c r="AF65" s="211">
        <f t="shared" si="287"/>
        <v>0.43205342237061767</v>
      </c>
      <c r="AG65" s="211">
        <f t="shared" si="288"/>
        <v>0.17693489148580968</v>
      </c>
      <c r="AH65" s="211">
        <f t="shared" si="289"/>
        <v>2.9075125208681132E-2</v>
      </c>
      <c r="AI65" s="211">
        <f t="shared" si="290"/>
        <v>0</v>
      </c>
      <c r="AJ65" s="211">
        <f t="shared" si="291"/>
        <v>0</v>
      </c>
      <c r="AK65" s="211">
        <f t="shared" si="292"/>
        <v>0</v>
      </c>
      <c r="AL65" s="211">
        <f t="shared" si="293"/>
        <v>0</v>
      </c>
      <c r="AM65" s="211">
        <f t="shared" si="294"/>
        <v>0</v>
      </c>
      <c r="AN65" s="211">
        <f t="shared" si="295"/>
        <v>0</v>
      </c>
      <c r="AO65" s="211">
        <f t="shared" si="296"/>
        <v>0</v>
      </c>
      <c r="AP65" s="211">
        <f t="shared" si="297"/>
        <v>0.22548692264885919</v>
      </c>
      <c r="AQ65" s="211">
        <f t="shared" si="298"/>
        <v>0</v>
      </c>
      <c r="AR65" s="211">
        <f t="shared" si="299"/>
        <v>0</v>
      </c>
      <c r="AS65" s="211">
        <f t="shared" si="300"/>
        <v>0</v>
      </c>
      <c r="AT65" s="211">
        <f t="shared" si="301"/>
        <v>4.5520311630495261E-2</v>
      </c>
      <c r="AU65" s="211">
        <f t="shared" si="302"/>
        <v>9.0929326655536991E-2</v>
      </c>
      <c r="AV65" s="211">
        <f t="shared" si="303"/>
        <v>0</v>
      </c>
      <c r="AW65" s="211">
        <f t="shared" si="304"/>
        <v>0</v>
      </c>
      <c r="AX65" s="211">
        <f t="shared" si="305"/>
        <v>0</v>
      </c>
      <c r="AY65" s="211">
        <f t="shared" si="306"/>
        <v>0</v>
      </c>
      <c r="AZ65" s="211">
        <f t="shared" si="307"/>
        <v>0</v>
      </c>
      <c r="BA65" s="211">
        <f t="shared" si="308"/>
        <v>0</v>
      </c>
      <c r="BB65" s="211">
        <f t="shared" si="309"/>
        <v>0</v>
      </c>
      <c r="BC65" s="211">
        <f t="shared" si="310"/>
        <v>0</v>
      </c>
      <c r="BD65" s="212">
        <f t="shared" si="311"/>
        <v>1</v>
      </c>
      <c r="BE65" s="222">
        <f t="shared" si="67"/>
        <v>0.73687842759226796</v>
      </c>
      <c r="BF65" s="211">
        <f t="shared" si="68"/>
        <v>0.15891495218944887</v>
      </c>
      <c r="BG65" s="211">
        <f t="shared" si="323"/>
        <v>3.468760903470247E-3</v>
      </c>
      <c r="BH65" s="211">
        <f t="shared" si="313"/>
        <v>1.116406535746399E-2</v>
      </c>
      <c r="BI65" s="211">
        <v>0</v>
      </c>
      <c r="BJ65" s="211">
        <f t="shared" si="314"/>
        <v>4.7829693688085251E-3</v>
      </c>
      <c r="BK65" s="211">
        <f t="shared" si="315"/>
        <v>6.2714094461546193E-5</v>
      </c>
      <c r="BL65" s="211">
        <f t="shared" si="316"/>
        <v>3.4373712669935846E-3</v>
      </c>
      <c r="BM65" s="211">
        <f t="shared" si="69"/>
        <v>4.2980036800093692E-2</v>
      </c>
      <c r="BN65" s="211">
        <f t="shared" si="317"/>
        <v>9.8290626666879986E-4</v>
      </c>
      <c r="BO65" s="211">
        <v>0</v>
      </c>
      <c r="BP65" s="211">
        <f t="shared" si="318"/>
        <v>3.7327796160322821E-2</v>
      </c>
      <c r="BQ65" s="211">
        <f t="shared" si="319"/>
        <v>0</v>
      </c>
      <c r="BR65" s="211">
        <f t="shared" si="320"/>
        <v>0.99999999999999989</v>
      </c>
      <c r="BS65" s="142">
        <f t="shared" si="321"/>
        <v>77.370381296428093</v>
      </c>
      <c r="BT65" s="143" t="str">
        <f t="shared" si="322"/>
        <v xml:space="preserve">R2H1EA14 </v>
      </c>
      <c r="BU65" s="268">
        <f t="shared" si="72"/>
        <v>1.5637592143105998E-2</v>
      </c>
    </row>
    <row r="66" spans="1:73" s="127" customFormat="1" x14ac:dyDescent="0.2">
      <c r="A66" s="49" t="s">
        <v>100</v>
      </c>
      <c r="B66" s="123">
        <v>0</v>
      </c>
      <c r="C66" s="123">
        <v>15</v>
      </c>
      <c r="D66" s="123">
        <f t="shared" si="132"/>
        <v>7.5</v>
      </c>
      <c r="E66" s="124">
        <v>8.73</v>
      </c>
      <c r="F66" s="124">
        <v>0.62</v>
      </c>
      <c r="G66" s="125">
        <v>52.24</v>
      </c>
      <c r="H66" s="125">
        <v>14.572800000000001</v>
      </c>
      <c r="I66" s="125">
        <v>1.2672000000000001</v>
      </c>
      <c r="J66" s="125">
        <v>0</v>
      </c>
      <c r="K66" s="125">
        <v>0</v>
      </c>
      <c r="L66" s="125">
        <v>0</v>
      </c>
      <c r="M66" s="125">
        <v>0</v>
      </c>
      <c r="N66" s="125">
        <v>1.72</v>
      </c>
      <c r="O66" s="125">
        <v>0.33</v>
      </c>
      <c r="P66" s="125">
        <v>0</v>
      </c>
      <c r="Q66" s="125">
        <v>13.73</v>
      </c>
      <c r="R66" s="125">
        <v>0</v>
      </c>
      <c r="S66" s="125">
        <v>0.28000000000000003</v>
      </c>
      <c r="T66" s="125">
        <v>0</v>
      </c>
      <c r="U66" s="125">
        <v>1.61</v>
      </c>
      <c r="V66" s="125">
        <v>4.92</v>
      </c>
      <c r="W66" s="125">
        <v>0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86">
        <f t="shared" si="147"/>
        <v>100.02000000000001</v>
      </c>
      <c r="AF66" s="207">
        <f t="shared" ref="AF66:AF88" si="324">G66/SUM($G66:$AD66)</f>
        <v>0.57615528840851427</v>
      </c>
      <c r="AG66" s="207">
        <f t="shared" ref="AG66:AG88" si="325">H66/SUM($G66:$AD66)</f>
        <v>0.16072350281239658</v>
      </c>
      <c r="AH66" s="207">
        <f t="shared" ref="AH66:AH88" si="326">I66/SUM($G66:$AD66)</f>
        <v>1.3975956766295355E-2</v>
      </c>
      <c r="AI66" s="207">
        <f t="shared" ref="AI66:AI88" si="327">J66/SUM($G66:$AD66)</f>
        <v>0</v>
      </c>
      <c r="AJ66" s="207">
        <f t="shared" ref="AJ66:AJ88" si="328">K66/SUM($G66:$AD66)</f>
        <v>0</v>
      </c>
      <c r="AK66" s="207">
        <f t="shared" ref="AK66:AK88" si="329">L66/SUM($G66:$AD66)</f>
        <v>0</v>
      </c>
      <c r="AL66" s="207">
        <f t="shared" ref="AL66:AL88" si="330">M66/SUM($G66:$AD66)</f>
        <v>0</v>
      </c>
      <c r="AM66" s="207">
        <f t="shared" ref="AM66:AM88" si="331">N66/SUM($G66:$AD66)</f>
        <v>1.8969890812837759E-2</v>
      </c>
      <c r="AN66" s="207">
        <f t="shared" ref="AN66:AN88" si="332">O66/SUM($G66:$AD66)</f>
        <v>3.639572074556082E-3</v>
      </c>
      <c r="AO66" s="207">
        <f t="shared" ref="AO66:AO88" si="333">P66/SUM($G66:$AD66)</f>
        <v>0</v>
      </c>
      <c r="AP66" s="207">
        <f t="shared" ref="AP66:AP88" si="334">Q66/SUM($G66:$AD66)</f>
        <v>0.15142825631410609</v>
      </c>
      <c r="AQ66" s="207">
        <f t="shared" ref="AQ66:AQ88" si="335">R66/SUM($G66:$AD66)</f>
        <v>0</v>
      </c>
      <c r="AR66" s="207">
        <f t="shared" ref="AR66:AR88" si="336">S66/SUM($G66:$AD66)</f>
        <v>3.088121760229403E-3</v>
      </c>
      <c r="AS66" s="207">
        <f t="shared" ref="AS66:AS88" si="337">T66/SUM($G66:$AD66)</f>
        <v>0</v>
      </c>
      <c r="AT66" s="207">
        <f t="shared" ref="AT66:AT88" si="338">U66/SUM($G66:$AD66)</f>
        <v>1.7756700121319066E-2</v>
      </c>
      <c r="AU66" s="207">
        <f t="shared" ref="AU66:AU88" si="339">V66/SUM($G66:$AD66)</f>
        <v>5.4262710929745217E-2</v>
      </c>
      <c r="AV66" s="207">
        <f t="shared" ref="AV66:AV88" si="340">W66/SUM($G66:$AD66)</f>
        <v>0</v>
      </c>
      <c r="AW66" s="207">
        <f t="shared" ref="AW66:AW88" si="341">X66/SUM($G66:$AD66)</f>
        <v>0</v>
      </c>
      <c r="AX66" s="207">
        <f t="shared" ref="AX66:AX88" si="342">Y66/SUM($G66:$AD66)</f>
        <v>0</v>
      </c>
      <c r="AY66" s="207">
        <f t="shared" ref="AY66:AY88" si="343">Z66/SUM($G66:$AD66)</f>
        <v>0</v>
      </c>
      <c r="AZ66" s="207">
        <f t="shared" ref="AZ66:AZ88" si="344">AA66/SUM($G66:$AD66)</f>
        <v>0</v>
      </c>
      <c r="BA66" s="207">
        <f t="shared" ref="BA66:BA88" si="345">AB66/SUM($G66:$AD66)</f>
        <v>0</v>
      </c>
      <c r="BB66" s="207">
        <f t="shared" ref="BB66:BB88" si="346">AC66/SUM($G66:$AD66)</f>
        <v>0</v>
      </c>
      <c r="BC66" s="207">
        <f t="shared" ref="BC66:BC88" si="347">AD66/SUM($G66:$AD66)</f>
        <v>0</v>
      </c>
      <c r="BD66" s="208">
        <f t="shared" ref="BD66:BD88" si="348">SUM(AF66:BB66)</f>
        <v>0.99999999999999978</v>
      </c>
      <c r="BE66" s="222">
        <f t="shared" si="67"/>
        <v>0.79658829027426825</v>
      </c>
      <c r="BF66" s="207">
        <f t="shared" si="68"/>
        <v>0.11306816393713535</v>
      </c>
      <c r="BG66" s="207">
        <f t="shared" ref="BG66:BG88" si="349">$BG$3*(AJ66*2.25*0.5/$AJ$2+AL66/$AL$2+AM66*0.9*0.5/$AM$2+AP66*0.05*0.5/$AP$2+AR66*0.24*0.5/$AR$2+AV66*0.3*0.5/$AV$2)</f>
        <v>1.8308808636327965E-2</v>
      </c>
      <c r="BH66" s="207">
        <f t="shared" ref="BH66:BH88" si="350">$BH$3*(AK66*2/$AK$2+AS66*0.39/$AS$2+AT66*0.87/$AT$2+AU66*0.25/$AU$2+AV66*0.63/$AV$2)</f>
        <v>5.1983418900567839E-3</v>
      </c>
      <c r="BI66" s="207">
        <v>0</v>
      </c>
      <c r="BJ66" s="207">
        <f t="shared" ref="BJ66:BJ88" si="351">$BJ$3*(AK66*2/$AK$2+AO66/$AO$2+AR66*0.2/$AR$2+AS66*0.23/$AS$2+AT66*0.56/$AT$2+AU66*0.25/$AU$2+AV66*1.21/$AV$2)</f>
        <v>2.383458329826448E-3</v>
      </c>
      <c r="BK66" s="207">
        <f t="shared" ref="BK66:BK88" si="352">$BK$3*(AI66/$AI$2+AJ66/$AJ$2+AK66*2/$AK$2+AO66/$AO$2+AR66*0.08/$AR$2+AT66*0.01/$AT$2)</f>
        <v>5.2741860329613555E-5</v>
      </c>
      <c r="BL66" s="207">
        <f t="shared" ref="BL66:BL88" si="353">$BL$3*(0.5*AH66/$AH$2)</f>
        <v>1.65229046727766E-3</v>
      </c>
      <c r="BM66" s="207">
        <f t="shared" si="69"/>
        <v>3.4590534184586789E-2</v>
      </c>
      <c r="BN66" s="207">
        <f t="shared" ref="BN66:BN88" si="354">$BN$3*(AS66*0.03/$AS$2+AT66*0.11/$AT$2+AV66*0.09/$AV$2)</f>
        <v>3.8341503384855581E-4</v>
      </c>
      <c r="BO66" s="207">
        <v>0</v>
      </c>
      <c r="BP66" s="207">
        <f t="shared" ref="BP66:BP88" si="355">$BP$3*(AJ66*0.5/$AJ$2+AK66/$AK$2+AM66*0.5/$AM$2+AN66*1.5/$AN$2+AP66*2/$AP$2+AQ66*2/$AQ$2+3.79*0.5*AR66/$AR$2+AR66/$AR$2+AS66/$AS$2+AT66/$AT$2+AU66/$AU$2+AV66/$AV$2)</f>
        <v>2.7773955386342468E-2</v>
      </c>
      <c r="BQ66" s="207">
        <f t="shared" ref="BQ66:BQ88" si="356">$BQ$3*(AO66*2/$AO$2)</f>
        <v>0</v>
      </c>
      <c r="BR66" s="207">
        <f t="shared" ref="BR66:BR102" si="357">SUM(BE66:BQ66)</f>
        <v>0.99999999999999989</v>
      </c>
      <c r="BS66" s="126">
        <f t="shared" ref="BS66:BS88" si="358">100*BF66/(BF66+BK66+BL66+BM66)</f>
        <v>75.699879480107754</v>
      </c>
      <c r="BT66" s="127" t="str">
        <f t="shared" ref="BT66:BT102" si="359">A66</f>
        <v xml:space="preserve">R2P1EA01 </v>
      </c>
      <c r="BU66" s="268">
        <f t="shared" si="72"/>
        <v>2.397500129648986E-2</v>
      </c>
    </row>
    <row r="67" spans="1:73" s="121" customFormat="1" x14ac:dyDescent="0.2">
      <c r="A67" s="49" t="s">
        <v>101</v>
      </c>
      <c r="B67" s="119">
        <v>15</v>
      </c>
      <c r="C67" s="119">
        <v>55</v>
      </c>
      <c r="D67" s="119">
        <f t="shared" si="132"/>
        <v>35</v>
      </c>
      <c r="E67" s="106">
        <v>9.9700000000000006</v>
      </c>
      <c r="F67" s="106">
        <v>1.02</v>
      </c>
      <c r="G67" s="120">
        <v>29.69</v>
      </c>
      <c r="H67" s="120">
        <v>2.8980000000000001</v>
      </c>
      <c r="I67" s="125">
        <v>0.252</v>
      </c>
      <c r="J67" s="120">
        <v>0</v>
      </c>
      <c r="K67" s="120">
        <v>0</v>
      </c>
      <c r="L67" s="120">
        <v>0</v>
      </c>
      <c r="M67" s="120">
        <v>0</v>
      </c>
      <c r="N67" s="120">
        <v>3.99</v>
      </c>
      <c r="O67" s="120">
        <v>2.23</v>
      </c>
      <c r="P67" s="120">
        <v>0</v>
      </c>
      <c r="Q67" s="120">
        <v>37.159999999999997</v>
      </c>
      <c r="R67" s="120">
        <v>0</v>
      </c>
      <c r="S67" s="120">
        <v>5.39</v>
      </c>
      <c r="T67" s="120">
        <v>0</v>
      </c>
      <c r="U67" s="120">
        <v>5.6</v>
      </c>
      <c r="V67" s="120">
        <v>1.81</v>
      </c>
      <c r="W67" s="120">
        <v>0</v>
      </c>
      <c r="X67" s="120">
        <v>0</v>
      </c>
      <c r="Y67" s="120">
        <v>0</v>
      </c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87">
        <f t="shared" si="147"/>
        <v>100.01</v>
      </c>
      <c r="AF67" s="209">
        <f t="shared" si="324"/>
        <v>0.33352055717816226</v>
      </c>
      <c r="AG67" s="209">
        <f t="shared" si="325"/>
        <v>3.2554482138845209E-2</v>
      </c>
      <c r="AH67" s="209">
        <f t="shared" si="326"/>
        <v>2.8308245338126265E-3</v>
      </c>
      <c r="AI67" s="209">
        <f t="shared" si="327"/>
        <v>0</v>
      </c>
      <c r="AJ67" s="209">
        <f t="shared" si="328"/>
        <v>0</v>
      </c>
      <c r="AK67" s="209">
        <f t="shared" si="329"/>
        <v>0</v>
      </c>
      <c r="AL67" s="209">
        <f t="shared" si="330"/>
        <v>0</v>
      </c>
      <c r="AM67" s="209">
        <f t="shared" si="331"/>
        <v>4.4821388452033255E-2</v>
      </c>
      <c r="AN67" s="209">
        <f t="shared" si="332"/>
        <v>2.5050550438103798E-2</v>
      </c>
      <c r="AO67" s="209">
        <f t="shared" si="333"/>
        <v>0</v>
      </c>
      <c r="AP67" s="209">
        <f t="shared" si="334"/>
        <v>0.41743428443046504</v>
      </c>
      <c r="AQ67" s="209">
        <f t="shared" si="335"/>
        <v>0</v>
      </c>
      <c r="AR67" s="209">
        <f t="shared" si="336"/>
        <v>6.054819141765895E-2</v>
      </c>
      <c r="AS67" s="209">
        <f t="shared" si="337"/>
        <v>0</v>
      </c>
      <c r="AT67" s="209">
        <f t="shared" si="338"/>
        <v>6.290721186250281E-2</v>
      </c>
      <c r="AU67" s="209">
        <f t="shared" si="339"/>
        <v>2.0332509548416089E-2</v>
      </c>
      <c r="AV67" s="209">
        <f t="shared" si="340"/>
        <v>0</v>
      </c>
      <c r="AW67" s="209">
        <f t="shared" si="341"/>
        <v>0</v>
      </c>
      <c r="AX67" s="209">
        <f t="shared" si="342"/>
        <v>0</v>
      </c>
      <c r="AY67" s="209">
        <f t="shared" si="343"/>
        <v>0</v>
      </c>
      <c r="AZ67" s="209">
        <f t="shared" si="344"/>
        <v>0</v>
      </c>
      <c r="BA67" s="209">
        <f t="shared" si="345"/>
        <v>0</v>
      </c>
      <c r="BB67" s="209">
        <f t="shared" si="346"/>
        <v>0</v>
      </c>
      <c r="BC67" s="209">
        <f t="shared" si="347"/>
        <v>0</v>
      </c>
      <c r="BD67" s="210">
        <f t="shared" si="348"/>
        <v>1</v>
      </c>
      <c r="BE67" s="222">
        <f t="shared" si="67"/>
        <v>0.6102911501923991</v>
      </c>
      <c r="BF67" s="209">
        <f t="shared" si="68"/>
        <v>0.23035251393207593</v>
      </c>
      <c r="BG67" s="209">
        <f t="shared" si="349"/>
        <v>4.6259893375637233E-2</v>
      </c>
      <c r="BH67" s="209">
        <f t="shared" si="350"/>
        <v>1.0701088853671046E-2</v>
      </c>
      <c r="BI67" s="209">
        <v>0</v>
      </c>
      <c r="BJ67" s="209">
        <f t="shared" si="351"/>
        <v>4.9891461810477981E-3</v>
      </c>
      <c r="BK67" s="209">
        <f t="shared" si="352"/>
        <v>6.4111255151765305E-4</v>
      </c>
      <c r="BL67" s="209">
        <f t="shared" si="353"/>
        <v>3.3467078282857092E-4</v>
      </c>
      <c r="BM67" s="209">
        <f t="shared" si="69"/>
        <v>1.3677491959629424E-2</v>
      </c>
      <c r="BN67" s="209">
        <f t="shared" si="354"/>
        <v>1.358336323798211E-3</v>
      </c>
      <c r="BO67" s="209">
        <v>0</v>
      </c>
      <c r="BP67" s="209">
        <f t="shared" si="355"/>
        <v>8.1394595847395224E-2</v>
      </c>
      <c r="BQ67" s="209">
        <f t="shared" si="356"/>
        <v>0</v>
      </c>
      <c r="BR67" s="209">
        <f t="shared" si="357"/>
        <v>1.0000000000000002</v>
      </c>
      <c r="BS67" s="122">
        <f t="shared" si="358"/>
        <v>94.019212631561132</v>
      </c>
      <c r="BT67" s="121" t="str">
        <f t="shared" si="359"/>
        <v xml:space="preserve">R2P1EA02 </v>
      </c>
      <c r="BU67" s="268">
        <f t="shared" si="72"/>
        <v>5.7924080226138673E-2</v>
      </c>
    </row>
    <row r="68" spans="1:73" s="121" customFormat="1" x14ac:dyDescent="0.2">
      <c r="A68" s="49" t="s">
        <v>102</v>
      </c>
      <c r="B68" s="119">
        <v>55</v>
      </c>
      <c r="C68" s="119">
        <v>77</v>
      </c>
      <c r="D68" s="119">
        <f t="shared" si="132"/>
        <v>66</v>
      </c>
      <c r="E68" s="106">
        <f>(10.85+12.47)/2</f>
        <v>11.66</v>
      </c>
      <c r="F68" s="106">
        <f>(0.16+0.73)/2</f>
        <v>0.44500000000000001</v>
      </c>
      <c r="G68" s="120">
        <f>(31.2+33.14)/2</f>
        <v>32.17</v>
      </c>
      <c r="H68" s="120">
        <v>8.160400000000001</v>
      </c>
      <c r="I68" s="125">
        <v>0.70960000000000012</v>
      </c>
      <c r="J68" s="120">
        <v>0</v>
      </c>
      <c r="K68" s="120">
        <v>0</v>
      </c>
      <c r="L68" s="120">
        <v>0</v>
      </c>
      <c r="M68" s="120">
        <v>0</v>
      </c>
      <c r="N68" s="120">
        <f>(2.61+3.51)/2</f>
        <v>3.0599999999999996</v>
      </c>
      <c r="O68" s="120">
        <f>(1.1+2.92)/2</f>
        <v>2.0099999999999998</v>
      </c>
      <c r="P68" s="120">
        <v>0</v>
      </c>
      <c r="Q68" s="120">
        <f>(30.31+38.53)/2</f>
        <v>34.42</v>
      </c>
      <c r="R68" s="120">
        <v>0</v>
      </c>
      <c r="S68" s="120">
        <v>0</v>
      </c>
      <c r="T68" s="121">
        <v>0</v>
      </c>
      <c r="U68" s="120">
        <f>(7.13+3.06)/2</f>
        <v>5.0949999999999998</v>
      </c>
      <c r="V68" s="120">
        <f>(1.38+2.21)/2</f>
        <v>1.7949999999999999</v>
      </c>
      <c r="W68" s="120">
        <v>0</v>
      </c>
      <c r="X68" s="120">
        <v>0</v>
      </c>
      <c r="Y68" s="120">
        <v>0</v>
      </c>
      <c r="Z68" s="120">
        <v>0</v>
      </c>
      <c r="AA68" s="120">
        <v>0</v>
      </c>
      <c r="AB68" s="120">
        <v>0</v>
      </c>
      <c r="AC68" s="120">
        <v>0</v>
      </c>
      <c r="AD68" s="120">
        <v>0</v>
      </c>
      <c r="AE68" s="187">
        <f t="shared" si="147"/>
        <v>99.52500000000002</v>
      </c>
      <c r="AF68" s="209">
        <f t="shared" si="324"/>
        <v>0.36799359414321664</v>
      </c>
      <c r="AG68" s="209">
        <f t="shared" si="325"/>
        <v>9.3347060169297655E-2</v>
      </c>
      <c r="AH68" s="209">
        <f t="shared" si="326"/>
        <v>8.1171356668954479E-3</v>
      </c>
      <c r="AI68" s="209">
        <f t="shared" si="327"/>
        <v>0</v>
      </c>
      <c r="AJ68" s="209">
        <f t="shared" si="328"/>
        <v>0</v>
      </c>
      <c r="AK68" s="209">
        <f t="shared" si="329"/>
        <v>0</v>
      </c>
      <c r="AL68" s="209">
        <f t="shared" si="330"/>
        <v>0</v>
      </c>
      <c r="AM68" s="209">
        <f t="shared" si="331"/>
        <v>3.5003431708991076E-2</v>
      </c>
      <c r="AN68" s="209">
        <f t="shared" si="332"/>
        <v>2.2992450240219627E-2</v>
      </c>
      <c r="AO68" s="209">
        <f t="shared" si="333"/>
        <v>0</v>
      </c>
      <c r="AP68" s="209">
        <f t="shared" si="334"/>
        <v>0.39373141157629832</v>
      </c>
      <c r="AQ68" s="209">
        <f t="shared" si="335"/>
        <v>0</v>
      </c>
      <c r="AR68" s="209">
        <f t="shared" si="336"/>
        <v>0</v>
      </c>
      <c r="AS68" s="209">
        <f t="shared" si="337"/>
        <v>0</v>
      </c>
      <c r="AT68" s="209">
        <f t="shared" si="338"/>
        <v>5.8281857698467165E-2</v>
      </c>
      <c r="AU68" s="209">
        <f t="shared" si="339"/>
        <v>2.0533058796614045E-2</v>
      </c>
      <c r="AV68" s="209">
        <f t="shared" si="340"/>
        <v>0</v>
      </c>
      <c r="AW68" s="209">
        <f t="shared" si="341"/>
        <v>0</v>
      </c>
      <c r="AX68" s="209">
        <f t="shared" si="342"/>
        <v>0</v>
      </c>
      <c r="AY68" s="209">
        <f t="shared" si="343"/>
        <v>0</v>
      </c>
      <c r="AZ68" s="209">
        <f t="shared" si="344"/>
        <v>0</v>
      </c>
      <c r="BA68" s="209">
        <f t="shared" si="345"/>
        <v>0</v>
      </c>
      <c r="BB68" s="209">
        <f t="shared" si="346"/>
        <v>0</v>
      </c>
      <c r="BC68" s="209">
        <f t="shared" si="347"/>
        <v>0</v>
      </c>
      <c r="BD68" s="210">
        <f t="shared" si="348"/>
        <v>1</v>
      </c>
      <c r="BE68" s="222">
        <f t="shared" si="67"/>
        <v>0.65093833516873922</v>
      </c>
      <c r="BF68" s="209">
        <f t="shared" si="68"/>
        <v>0.20662945204747926</v>
      </c>
      <c r="BG68" s="209">
        <f t="shared" si="349"/>
        <v>3.5319257678774474E-2</v>
      </c>
      <c r="BH68" s="209">
        <f t="shared" si="350"/>
        <v>9.990370518752659E-3</v>
      </c>
      <c r="BI68" s="209">
        <v>0</v>
      </c>
      <c r="BJ68" s="209">
        <f t="shared" si="351"/>
        <v>3.7415599844092444E-3</v>
      </c>
      <c r="BK68" s="209">
        <f t="shared" si="352"/>
        <v>8.0295889860459993E-5</v>
      </c>
      <c r="BL68" s="209">
        <f t="shared" si="353"/>
        <v>9.5963847830118605E-4</v>
      </c>
      <c r="BM68" s="209">
        <f t="shared" si="69"/>
        <v>2.1352234093696913E-2</v>
      </c>
      <c r="BN68" s="209">
        <f t="shared" si="354"/>
        <v>1.2584624558357696E-3</v>
      </c>
      <c r="BO68" s="209">
        <v>0</v>
      </c>
      <c r="BP68" s="209">
        <f t="shared" si="355"/>
        <v>6.9730393684150821E-2</v>
      </c>
      <c r="BQ68" s="209">
        <f t="shared" si="356"/>
        <v>0</v>
      </c>
      <c r="BR68" s="209">
        <f t="shared" si="357"/>
        <v>1</v>
      </c>
      <c r="BS68" s="122">
        <f t="shared" si="358"/>
        <v>90.222683599889393</v>
      </c>
      <c r="BT68" s="121" t="str">
        <f t="shared" si="359"/>
        <v xml:space="preserve">R2P1EA03 </v>
      </c>
      <c r="BU68" s="268">
        <f t="shared" si="72"/>
        <v>4.6208761544214876E-2</v>
      </c>
    </row>
    <row r="69" spans="1:73" s="121" customFormat="1" x14ac:dyDescent="0.2">
      <c r="A69" s="49" t="s">
        <v>103</v>
      </c>
      <c r="B69" s="119">
        <v>77</v>
      </c>
      <c r="C69" s="119">
        <v>90</v>
      </c>
      <c r="D69" s="119">
        <f t="shared" si="132"/>
        <v>83.5</v>
      </c>
      <c r="E69" s="106">
        <f>(12.47+11.37)/2</f>
        <v>11.92</v>
      </c>
      <c r="F69" s="106">
        <f>(0.73+0.55)/2</f>
        <v>0.64</v>
      </c>
      <c r="G69" s="120">
        <f>(33.14+38.85)/2</f>
        <v>35.995000000000005</v>
      </c>
      <c r="H69" s="120">
        <v>6.3065999999999995</v>
      </c>
      <c r="I69" s="125">
        <v>0.5484</v>
      </c>
      <c r="J69" s="120">
        <v>0</v>
      </c>
      <c r="K69" s="120">
        <v>0</v>
      </c>
      <c r="L69" s="120">
        <v>0</v>
      </c>
      <c r="M69" s="120">
        <v>0</v>
      </c>
      <c r="N69" s="120">
        <f>(3.51+1.55)/2</f>
        <v>2.5299999999999998</v>
      </c>
      <c r="O69" s="120">
        <f>(2.92+0.5)/2</f>
        <v>1.71</v>
      </c>
      <c r="P69" s="120">
        <v>0</v>
      </c>
      <c r="Q69" s="120">
        <f>(38.53+30.45)/2</f>
        <v>34.49</v>
      </c>
      <c r="R69" s="120">
        <v>0</v>
      </c>
      <c r="S69" s="120">
        <v>0</v>
      </c>
      <c r="T69" s="120">
        <v>0</v>
      </c>
      <c r="U69" s="120">
        <f>(3.06+7.78)/2</f>
        <v>5.42</v>
      </c>
      <c r="V69" s="120">
        <f>(2.21+2.59)/2</f>
        <v>2.4</v>
      </c>
      <c r="W69" s="120">
        <v>0</v>
      </c>
      <c r="X69" s="120">
        <v>0</v>
      </c>
      <c r="Y69" s="120">
        <v>0</v>
      </c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87">
        <f t="shared" si="147"/>
        <v>101.96000000000002</v>
      </c>
      <c r="AF69" s="209">
        <f t="shared" si="324"/>
        <v>0.40262863534675614</v>
      </c>
      <c r="AG69" s="209">
        <f t="shared" si="325"/>
        <v>7.0543624161073806E-2</v>
      </c>
      <c r="AH69" s="209">
        <f t="shared" si="326"/>
        <v>6.1342281879194615E-3</v>
      </c>
      <c r="AI69" s="209">
        <f t="shared" si="327"/>
        <v>0</v>
      </c>
      <c r="AJ69" s="209">
        <f t="shared" si="328"/>
        <v>0</v>
      </c>
      <c r="AK69" s="209">
        <f t="shared" si="329"/>
        <v>0</v>
      </c>
      <c r="AL69" s="209">
        <f t="shared" si="330"/>
        <v>0</v>
      </c>
      <c r="AM69" s="209">
        <f t="shared" si="331"/>
        <v>2.829977628635346E-2</v>
      </c>
      <c r="AN69" s="209">
        <f t="shared" si="332"/>
        <v>1.9127516778523486E-2</v>
      </c>
      <c r="AO69" s="209">
        <f t="shared" si="333"/>
        <v>0</v>
      </c>
      <c r="AP69" s="209">
        <f t="shared" si="334"/>
        <v>0.38579418344519012</v>
      </c>
      <c r="AQ69" s="209">
        <f t="shared" si="335"/>
        <v>0</v>
      </c>
      <c r="AR69" s="209">
        <f t="shared" si="336"/>
        <v>0</v>
      </c>
      <c r="AS69" s="209">
        <f t="shared" si="337"/>
        <v>0</v>
      </c>
      <c r="AT69" s="209">
        <f t="shared" si="338"/>
        <v>6.0626398210290811E-2</v>
      </c>
      <c r="AU69" s="209">
        <f t="shared" si="339"/>
        <v>2.684563758389261E-2</v>
      </c>
      <c r="AV69" s="209">
        <f t="shared" si="340"/>
        <v>0</v>
      </c>
      <c r="AW69" s="209">
        <f t="shared" si="341"/>
        <v>0</v>
      </c>
      <c r="AX69" s="209">
        <f t="shared" si="342"/>
        <v>0</v>
      </c>
      <c r="AY69" s="209">
        <f t="shared" si="343"/>
        <v>0</v>
      </c>
      <c r="AZ69" s="209">
        <f t="shared" si="344"/>
        <v>0</v>
      </c>
      <c r="BA69" s="209">
        <f t="shared" si="345"/>
        <v>0</v>
      </c>
      <c r="BB69" s="209">
        <f t="shared" si="346"/>
        <v>0</v>
      </c>
      <c r="BC69" s="209">
        <f t="shared" si="347"/>
        <v>0</v>
      </c>
      <c r="BD69" s="210">
        <f t="shared" si="348"/>
        <v>0.99999999999999989</v>
      </c>
      <c r="BE69" s="222">
        <f t="shared" si="67"/>
        <v>0.67001278987772783</v>
      </c>
      <c r="BF69" s="209">
        <f t="shared" si="68"/>
        <v>0.19828283222347096</v>
      </c>
      <c r="BG69" s="209">
        <f t="shared" si="349"/>
        <v>2.9593005030549152E-2</v>
      </c>
      <c r="BH69" s="209">
        <f t="shared" si="350"/>
        <v>1.0638500743052523E-2</v>
      </c>
      <c r="BI69" s="209">
        <v>0</v>
      </c>
      <c r="BJ69" s="209">
        <f t="shared" si="351"/>
        <v>4.0283862360174331E-3</v>
      </c>
      <c r="BK69" s="209">
        <f t="shared" si="352"/>
        <v>8.3526002525789974E-5</v>
      </c>
      <c r="BL69" s="209">
        <f t="shared" si="353"/>
        <v>7.2521165659643729E-4</v>
      </c>
      <c r="BM69" s="209">
        <f t="shared" si="69"/>
        <v>1.8353302908155844E-2</v>
      </c>
      <c r="BN69" s="209">
        <f t="shared" si="354"/>
        <v>1.3090874071813689E-3</v>
      </c>
      <c r="BO69" s="209">
        <v>0</v>
      </c>
      <c r="BP69" s="209">
        <f t="shared" si="355"/>
        <v>6.6973357914722545E-2</v>
      </c>
      <c r="BQ69" s="209">
        <f t="shared" si="356"/>
        <v>0</v>
      </c>
      <c r="BR69" s="209">
        <f t="shared" si="357"/>
        <v>1</v>
      </c>
      <c r="BS69" s="122">
        <f t="shared" si="358"/>
        <v>91.187632837074048</v>
      </c>
      <c r="BT69" s="121" t="str">
        <f t="shared" si="359"/>
        <v xml:space="preserve">R2P1EA04 </v>
      </c>
      <c r="BU69" s="268">
        <f t="shared" si="72"/>
        <v>4.1188970840476402E-2</v>
      </c>
    </row>
    <row r="70" spans="1:73" s="121" customFormat="1" x14ac:dyDescent="0.2">
      <c r="A70" s="49" t="s">
        <v>104</v>
      </c>
      <c r="B70" s="119">
        <v>90</v>
      </c>
      <c r="C70" s="119">
        <v>110</v>
      </c>
      <c r="D70" s="119">
        <f t="shared" si="132"/>
        <v>100</v>
      </c>
      <c r="E70" s="106">
        <f>(8.58+11.37)/2</f>
        <v>9.9749999999999996</v>
      </c>
      <c r="F70" s="106">
        <f>(0.55+1.46)/2</f>
        <v>1.0049999999999999</v>
      </c>
      <c r="G70" s="120">
        <f>(39.85+38.99)/2</f>
        <v>39.42</v>
      </c>
      <c r="H70" s="120">
        <v>19.494800000000001</v>
      </c>
      <c r="I70" s="125">
        <v>1.6952</v>
      </c>
      <c r="J70" s="120">
        <v>0</v>
      </c>
      <c r="K70" s="120">
        <v>0</v>
      </c>
      <c r="L70" s="120">
        <v>0</v>
      </c>
      <c r="M70" s="120">
        <v>0</v>
      </c>
      <c r="N70" s="120">
        <f>(1.55+0.2)/2</f>
        <v>0.875</v>
      </c>
      <c r="O70" s="120">
        <f>(0.56+0)/2</f>
        <v>0.28000000000000003</v>
      </c>
      <c r="P70" s="120">
        <v>0</v>
      </c>
      <c r="Q70" s="120">
        <f>(30.45+15.74)/2</f>
        <v>23.094999999999999</v>
      </c>
      <c r="R70" s="120">
        <v>0</v>
      </c>
      <c r="S70" s="120">
        <v>0</v>
      </c>
      <c r="T70" s="120">
        <v>0</v>
      </c>
      <c r="U70" s="120">
        <f>(2.78+1.79)/2</f>
        <v>2.2850000000000001</v>
      </c>
      <c r="V70" s="120">
        <f>(2.59+1.21)/2</f>
        <v>1.9</v>
      </c>
      <c r="W70" s="120">
        <v>0</v>
      </c>
      <c r="X70" s="120">
        <v>0</v>
      </c>
      <c r="Y70" s="120">
        <v>0</v>
      </c>
      <c r="Z70" s="120">
        <v>0</v>
      </c>
      <c r="AA70" s="120">
        <v>0</v>
      </c>
      <c r="AB70" s="120">
        <v>0</v>
      </c>
      <c r="AC70" s="120">
        <v>0</v>
      </c>
      <c r="AD70" s="120">
        <v>0</v>
      </c>
      <c r="AE70" s="187">
        <f t="shared" si="147"/>
        <v>100.02500000000001</v>
      </c>
      <c r="AF70" s="209">
        <f t="shared" si="324"/>
        <v>0.442697512493683</v>
      </c>
      <c r="AG70" s="209">
        <f t="shared" si="325"/>
        <v>0.21893200067381663</v>
      </c>
      <c r="AH70" s="209">
        <f t="shared" si="326"/>
        <v>1.9037565275984054E-2</v>
      </c>
      <c r="AI70" s="209">
        <f t="shared" si="327"/>
        <v>0</v>
      </c>
      <c r="AJ70" s="209">
        <f t="shared" si="328"/>
        <v>0</v>
      </c>
      <c r="AK70" s="209">
        <f t="shared" si="329"/>
        <v>0</v>
      </c>
      <c r="AL70" s="209">
        <f t="shared" si="330"/>
        <v>0</v>
      </c>
      <c r="AM70" s="209">
        <f t="shared" si="331"/>
        <v>9.8264922230332976E-3</v>
      </c>
      <c r="AN70" s="209">
        <f t="shared" si="332"/>
        <v>3.1444775113706556E-3</v>
      </c>
      <c r="AO70" s="209">
        <f t="shared" si="333"/>
        <v>0</v>
      </c>
      <c r="AP70" s="209">
        <f t="shared" si="334"/>
        <v>0.25936324330394744</v>
      </c>
      <c r="AQ70" s="209">
        <f t="shared" si="335"/>
        <v>0</v>
      </c>
      <c r="AR70" s="209">
        <f t="shared" si="336"/>
        <v>0</v>
      </c>
      <c r="AS70" s="209">
        <f t="shared" si="337"/>
        <v>0</v>
      </c>
      <c r="AT70" s="209">
        <f t="shared" si="338"/>
        <v>2.5661182548149811E-2</v>
      </c>
      <c r="AU70" s="209">
        <f t="shared" si="339"/>
        <v>2.1337525970015158E-2</v>
      </c>
      <c r="AV70" s="209">
        <f t="shared" si="340"/>
        <v>0</v>
      </c>
      <c r="AW70" s="209">
        <f t="shared" si="341"/>
        <v>0</v>
      </c>
      <c r="AX70" s="209">
        <f t="shared" si="342"/>
        <v>0</v>
      </c>
      <c r="AY70" s="209">
        <f t="shared" si="343"/>
        <v>0</v>
      </c>
      <c r="AZ70" s="209">
        <f t="shared" si="344"/>
        <v>0</v>
      </c>
      <c r="BA70" s="209">
        <f t="shared" si="345"/>
        <v>0</v>
      </c>
      <c r="BB70" s="209">
        <f t="shared" si="346"/>
        <v>0</v>
      </c>
      <c r="BC70" s="209">
        <f t="shared" si="347"/>
        <v>0</v>
      </c>
      <c r="BD70" s="210">
        <f t="shared" si="348"/>
        <v>1.0000000000000002</v>
      </c>
      <c r="BE70" s="222">
        <f t="shared" si="67"/>
        <v>0.73922183278573594</v>
      </c>
      <c r="BF70" s="209">
        <f t="shared" si="68"/>
        <v>0.15772565494775193</v>
      </c>
      <c r="BG70" s="209">
        <f t="shared" si="349"/>
        <v>1.2204688244282157E-2</v>
      </c>
      <c r="BH70" s="209">
        <f t="shared" si="350"/>
        <v>4.9505996870172989E-3</v>
      </c>
      <c r="BI70" s="209">
        <v>0</v>
      </c>
      <c r="BJ70" s="209">
        <f t="shared" si="351"/>
        <v>1.9529012709675977E-3</v>
      </c>
      <c r="BK70" s="209">
        <f t="shared" si="352"/>
        <v>3.5353840267682255E-5</v>
      </c>
      <c r="BL70" s="209">
        <f t="shared" si="353"/>
        <v>2.2506929687664359E-3</v>
      </c>
      <c r="BM70" s="209">
        <f t="shared" si="69"/>
        <v>4.0926981530012542E-2</v>
      </c>
      <c r="BN70" s="209">
        <f t="shared" si="354"/>
        <v>5.5409412267316837E-4</v>
      </c>
      <c r="BO70" s="209">
        <v>0</v>
      </c>
      <c r="BP70" s="209">
        <f t="shared" si="355"/>
        <v>4.0177200602525318E-2</v>
      </c>
      <c r="BQ70" s="209">
        <f t="shared" si="356"/>
        <v>0</v>
      </c>
      <c r="BR70" s="209">
        <f t="shared" si="357"/>
        <v>0.99999999999999989</v>
      </c>
      <c r="BS70" s="122">
        <f t="shared" si="358"/>
        <v>78.494420470861286</v>
      </c>
      <c r="BT70" s="121" t="str">
        <f t="shared" si="359"/>
        <v xml:space="preserve">R2P1EA05 </v>
      </c>
      <c r="BU70" s="268">
        <f t="shared" si="72"/>
        <v>1.7600841903131013E-2</v>
      </c>
    </row>
    <row r="71" spans="1:73" s="121" customFormat="1" x14ac:dyDescent="0.2">
      <c r="A71" s="49" t="s">
        <v>105</v>
      </c>
      <c r="B71" s="119">
        <v>110</v>
      </c>
      <c r="C71" s="119">
        <v>127</v>
      </c>
      <c r="D71" s="119">
        <f t="shared" si="132"/>
        <v>118.5</v>
      </c>
      <c r="E71" s="106">
        <f>(8.58+9.81)/2</f>
        <v>9.1950000000000003</v>
      </c>
      <c r="F71" s="106">
        <f>(1.43+0.51)/2</f>
        <v>0.97</v>
      </c>
      <c r="G71" s="120">
        <f>(38.99+34)/2</f>
        <v>36.495000000000005</v>
      </c>
      <c r="H71" s="120">
        <v>30.866</v>
      </c>
      <c r="I71" s="125">
        <v>2.6839999999999997</v>
      </c>
      <c r="J71" s="120">
        <v>0</v>
      </c>
      <c r="K71" s="120">
        <v>0</v>
      </c>
      <c r="L71" s="120">
        <v>0</v>
      </c>
      <c r="M71" s="120">
        <v>0</v>
      </c>
      <c r="N71" s="120">
        <f>(0.2+0.21)/2</f>
        <v>0.20500000000000002</v>
      </c>
      <c r="O71" s="120">
        <v>0</v>
      </c>
      <c r="P71" s="120">
        <v>0</v>
      </c>
      <c r="Q71" s="120">
        <f>(18.74+10.41)/2</f>
        <v>14.574999999999999</v>
      </c>
      <c r="R71" s="120">
        <v>0</v>
      </c>
      <c r="S71" s="120">
        <v>0</v>
      </c>
      <c r="T71" s="120">
        <v>0</v>
      </c>
      <c r="U71" s="120">
        <f>(1.76+6.89)/2</f>
        <v>4.3250000000000002</v>
      </c>
      <c r="V71" s="120">
        <f>(1.21+3.15)/2</f>
        <v>2.1799999999999997</v>
      </c>
      <c r="W71" s="120">
        <v>0</v>
      </c>
      <c r="X71" s="120">
        <v>0</v>
      </c>
      <c r="Y71" s="120">
        <v>0</v>
      </c>
      <c r="Z71" s="120">
        <v>0</v>
      </c>
      <c r="AA71" s="120">
        <v>0</v>
      </c>
      <c r="AB71" s="120">
        <v>0</v>
      </c>
      <c r="AC71" s="120">
        <v>0</v>
      </c>
      <c r="AD71" s="120">
        <v>0</v>
      </c>
      <c r="AE71" s="187">
        <f t="shared" si="147"/>
        <v>101.495</v>
      </c>
      <c r="AF71" s="209">
        <f t="shared" si="324"/>
        <v>0.39959487572539143</v>
      </c>
      <c r="AG71" s="209">
        <f t="shared" si="325"/>
        <v>0.33796123946129414</v>
      </c>
      <c r="AH71" s="209">
        <f t="shared" si="326"/>
        <v>2.9387933866199489E-2</v>
      </c>
      <c r="AI71" s="209">
        <f t="shared" si="327"/>
        <v>0</v>
      </c>
      <c r="AJ71" s="209">
        <f t="shared" si="328"/>
        <v>0</v>
      </c>
      <c r="AK71" s="209">
        <f t="shared" si="329"/>
        <v>0</v>
      </c>
      <c r="AL71" s="209">
        <f t="shared" si="330"/>
        <v>0</v>
      </c>
      <c r="AM71" s="209">
        <f t="shared" si="331"/>
        <v>2.2446074674258181E-3</v>
      </c>
      <c r="AN71" s="209">
        <f t="shared" si="332"/>
        <v>0</v>
      </c>
      <c r="AO71" s="209">
        <f t="shared" si="333"/>
        <v>0</v>
      </c>
      <c r="AP71" s="209">
        <f t="shared" si="334"/>
        <v>0.15958611628161609</v>
      </c>
      <c r="AQ71" s="209">
        <f t="shared" si="335"/>
        <v>0</v>
      </c>
      <c r="AR71" s="209">
        <f t="shared" si="336"/>
        <v>0</v>
      </c>
      <c r="AS71" s="209">
        <f t="shared" si="337"/>
        <v>0</v>
      </c>
      <c r="AT71" s="209">
        <f t="shared" si="338"/>
        <v>4.735574291032519E-2</v>
      </c>
      <c r="AU71" s="209">
        <f t="shared" si="339"/>
        <v>2.3869484287747721E-2</v>
      </c>
      <c r="AV71" s="209">
        <f t="shared" si="340"/>
        <v>0</v>
      </c>
      <c r="AW71" s="209">
        <f t="shared" si="341"/>
        <v>0</v>
      </c>
      <c r="AX71" s="209">
        <f t="shared" si="342"/>
        <v>0</v>
      </c>
      <c r="AY71" s="209">
        <f t="shared" si="343"/>
        <v>0</v>
      </c>
      <c r="AZ71" s="209">
        <f t="shared" si="344"/>
        <v>0</v>
      </c>
      <c r="BA71" s="209">
        <f t="shared" si="345"/>
        <v>0</v>
      </c>
      <c r="BB71" s="209">
        <f t="shared" si="346"/>
        <v>0</v>
      </c>
      <c r="BC71" s="209">
        <f t="shared" si="347"/>
        <v>0</v>
      </c>
      <c r="BD71" s="210">
        <f t="shared" si="348"/>
        <v>1</v>
      </c>
      <c r="BE71" s="222">
        <f t="shared" si="67"/>
        <v>0.74440214353908818</v>
      </c>
      <c r="BF71" s="209">
        <f t="shared" si="68"/>
        <v>0.14697366152101266</v>
      </c>
      <c r="BG71" s="209">
        <f t="shared" si="349"/>
        <v>4.331437542490579E-3</v>
      </c>
      <c r="BH71" s="209">
        <f t="shared" si="350"/>
        <v>8.4399749049597923E-3</v>
      </c>
      <c r="BI71" s="209">
        <v>0</v>
      </c>
      <c r="BJ71" s="209">
        <f t="shared" si="351"/>
        <v>3.2186565059480598E-3</v>
      </c>
      <c r="BK71" s="209">
        <f t="shared" si="352"/>
        <v>6.5242798825332173E-5</v>
      </c>
      <c r="BL71" s="209">
        <f t="shared" si="353"/>
        <v>3.4743526895567932E-3</v>
      </c>
      <c r="BM71" s="209">
        <f t="shared" si="69"/>
        <v>6.2546141960355239E-2</v>
      </c>
      <c r="BN71" s="209">
        <f t="shared" si="354"/>
        <v>1.0225381769603846E-3</v>
      </c>
      <c r="BO71" s="209">
        <v>0</v>
      </c>
      <c r="BP71" s="209">
        <f t="shared" si="355"/>
        <v>2.5525850360802998E-2</v>
      </c>
      <c r="BQ71" s="209">
        <f t="shared" si="356"/>
        <v>0</v>
      </c>
      <c r="BR71" s="209">
        <f t="shared" si="357"/>
        <v>1</v>
      </c>
      <c r="BS71" s="122">
        <f t="shared" si="358"/>
        <v>68.982481989391061</v>
      </c>
      <c r="BT71" s="121" t="str">
        <f t="shared" si="359"/>
        <v xml:space="preserve">R2P1EA06 </v>
      </c>
      <c r="BU71" s="268">
        <f t="shared" si="72"/>
        <v>1.3531010188896754E-2</v>
      </c>
    </row>
    <row r="72" spans="1:73" s="121" customFormat="1" x14ac:dyDescent="0.2">
      <c r="A72" s="49" t="s">
        <v>106</v>
      </c>
      <c r="B72" s="119">
        <v>127</v>
      </c>
      <c r="C72" s="119">
        <v>222</v>
      </c>
      <c r="D72" s="119">
        <f t="shared" si="132"/>
        <v>174.5</v>
      </c>
      <c r="E72" s="106">
        <f>(9.81+9.3)/2</f>
        <v>9.5549999999999997</v>
      </c>
      <c r="F72" s="106">
        <f>(0.51+0)/2</f>
        <v>0.255</v>
      </c>
      <c r="G72" s="120">
        <f>(34+31.6)/2</f>
        <v>32.799999999999997</v>
      </c>
      <c r="H72" s="120">
        <v>25.5806</v>
      </c>
      <c r="I72" s="125">
        <v>2.2244000000000002</v>
      </c>
      <c r="J72" s="120">
        <v>0</v>
      </c>
      <c r="K72" s="120">
        <v>0</v>
      </c>
      <c r="L72" s="120">
        <v>0</v>
      </c>
      <c r="M72" s="120">
        <v>0</v>
      </c>
      <c r="N72" s="120">
        <f>(0.21+0.15)/2</f>
        <v>0.18</v>
      </c>
      <c r="O72" s="120">
        <v>0</v>
      </c>
      <c r="P72" s="120">
        <v>0</v>
      </c>
      <c r="Q72" s="120">
        <f>(10.41+20.6)/2</f>
        <v>15.505000000000001</v>
      </c>
      <c r="R72" s="120">
        <v>0</v>
      </c>
      <c r="S72" s="120">
        <v>0</v>
      </c>
      <c r="T72" s="120">
        <v>0</v>
      </c>
      <c r="U72" s="120">
        <f>(6.89+17.57)/2</f>
        <v>12.23</v>
      </c>
      <c r="V72" s="120">
        <f>(3.15+2.78)/2</f>
        <v>2.9649999999999999</v>
      </c>
      <c r="W72" s="120">
        <v>0</v>
      </c>
      <c r="X72" s="120">
        <v>0</v>
      </c>
      <c r="Y72" s="120">
        <v>0</v>
      </c>
      <c r="Z72" s="120">
        <v>0</v>
      </c>
      <c r="AA72" s="120">
        <v>0</v>
      </c>
      <c r="AB72" s="120">
        <v>0</v>
      </c>
      <c r="AC72" s="120">
        <v>0</v>
      </c>
      <c r="AD72" s="120">
        <v>0</v>
      </c>
      <c r="AE72" s="187">
        <f t="shared" si="147"/>
        <v>101.29500000000002</v>
      </c>
      <c r="AF72" s="209">
        <f t="shared" si="324"/>
        <v>0.35852872055528218</v>
      </c>
      <c r="AG72" s="209">
        <f t="shared" si="325"/>
        <v>0.27961523747062356</v>
      </c>
      <c r="AH72" s="209">
        <f t="shared" si="326"/>
        <v>2.4314368475706397E-2</v>
      </c>
      <c r="AI72" s="209">
        <f t="shared" si="327"/>
        <v>0</v>
      </c>
      <c r="AJ72" s="209">
        <f t="shared" si="328"/>
        <v>0</v>
      </c>
      <c r="AK72" s="209">
        <f t="shared" si="329"/>
        <v>0</v>
      </c>
      <c r="AL72" s="209">
        <f t="shared" si="330"/>
        <v>0</v>
      </c>
      <c r="AM72" s="209">
        <f t="shared" si="331"/>
        <v>1.9675356615838657E-3</v>
      </c>
      <c r="AN72" s="209">
        <f t="shared" si="332"/>
        <v>0</v>
      </c>
      <c r="AO72" s="209">
        <f t="shared" si="333"/>
        <v>0</v>
      </c>
      <c r="AP72" s="209">
        <f t="shared" si="334"/>
        <v>0.16948133573809912</v>
      </c>
      <c r="AQ72" s="209">
        <f t="shared" si="335"/>
        <v>0</v>
      </c>
      <c r="AR72" s="209">
        <f t="shared" si="336"/>
        <v>0</v>
      </c>
      <c r="AS72" s="209">
        <f t="shared" si="337"/>
        <v>0</v>
      </c>
      <c r="AT72" s="209">
        <f t="shared" si="338"/>
        <v>0.13368311745094824</v>
      </c>
      <c r="AU72" s="209">
        <f t="shared" si="339"/>
        <v>3.2409684647756454E-2</v>
      </c>
      <c r="AV72" s="209">
        <f t="shared" si="340"/>
        <v>0</v>
      </c>
      <c r="AW72" s="209">
        <f t="shared" si="341"/>
        <v>0</v>
      </c>
      <c r="AX72" s="209">
        <f t="shared" si="342"/>
        <v>0</v>
      </c>
      <c r="AY72" s="209">
        <f t="shared" si="343"/>
        <v>0</v>
      </c>
      <c r="AZ72" s="209">
        <f t="shared" si="344"/>
        <v>0</v>
      </c>
      <c r="BA72" s="209">
        <f t="shared" si="345"/>
        <v>0</v>
      </c>
      <c r="BB72" s="209">
        <f t="shared" si="346"/>
        <v>0</v>
      </c>
      <c r="BC72" s="209">
        <f t="shared" si="347"/>
        <v>0</v>
      </c>
      <c r="BD72" s="210">
        <f t="shared" si="348"/>
        <v>0.99999999999999978</v>
      </c>
      <c r="BE72" s="222">
        <f t="shared" si="67"/>
        <v>0.70673690203507988</v>
      </c>
      <c r="BF72" s="209">
        <f t="shared" si="68"/>
        <v>0.16316947007217064</v>
      </c>
      <c r="BG72" s="209">
        <f t="shared" si="349"/>
        <v>4.2520322088095454E-3</v>
      </c>
      <c r="BH72" s="209">
        <f t="shared" si="350"/>
        <v>2.2256065528113905E-2</v>
      </c>
      <c r="BI72" s="209">
        <v>0</v>
      </c>
      <c r="BJ72" s="209">
        <f t="shared" si="351"/>
        <v>8.2172350652771585E-3</v>
      </c>
      <c r="BK72" s="209">
        <f t="shared" si="352"/>
        <v>1.8417746617789416E-4</v>
      </c>
      <c r="BL72" s="209">
        <f t="shared" si="353"/>
        <v>2.8745366003972883E-3</v>
      </c>
      <c r="BM72" s="209">
        <f t="shared" si="69"/>
        <v>5.835687388122509E-2</v>
      </c>
      <c r="BN72" s="209">
        <f t="shared" si="354"/>
        <v>2.8865789618700947E-3</v>
      </c>
      <c r="BO72" s="209">
        <v>0</v>
      </c>
      <c r="BP72" s="209">
        <f t="shared" si="355"/>
        <v>3.1066128180878325E-2</v>
      </c>
      <c r="BQ72" s="209">
        <f t="shared" si="356"/>
        <v>0</v>
      </c>
      <c r="BR72" s="209">
        <f t="shared" si="357"/>
        <v>0.99999999999999978</v>
      </c>
      <c r="BS72" s="122">
        <f t="shared" si="358"/>
        <v>72.653751549963317</v>
      </c>
      <c r="BT72" s="121" t="str">
        <f t="shared" si="359"/>
        <v xml:space="preserve">R2P1EA07 </v>
      </c>
      <c r="BU72" s="268">
        <f t="shared" si="72"/>
        <v>2.8511143634453704E-2</v>
      </c>
    </row>
    <row r="73" spans="1:73" s="121" customFormat="1" x14ac:dyDescent="0.2">
      <c r="A73" s="49" t="s">
        <v>107</v>
      </c>
      <c r="B73" s="119">
        <v>219</v>
      </c>
      <c r="C73" s="119">
        <v>250</v>
      </c>
      <c r="D73" s="119">
        <f t="shared" si="132"/>
        <v>234.5</v>
      </c>
      <c r="E73" s="106">
        <v>9.3000000000000007</v>
      </c>
      <c r="F73" s="106">
        <v>0</v>
      </c>
      <c r="G73" s="120">
        <v>31.6</v>
      </c>
      <c r="H73" s="120">
        <v>2.7875999999999999</v>
      </c>
      <c r="I73" s="125">
        <v>0.24239999999999998</v>
      </c>
      <c r="J73" s="120">
        <v>0</v>
      </c>
      <c r="K73" s="120">
        <v>0</v>
      </c>
      <c r="L73" s="120">
        <v>0</v>
      </c>
      <c r="M73" s="120">
        <v>0</v>
      </c>
      <c r="N73" s="120">
        <v>0.15</v>
      </c>
      <c r="O73" s="120">
        <v>0</v>
      </c>
      <c r="P73" s="120">
        <v>0</v>
      </c>
      <c r="Q73" s="120">
        <v>20.68</v>
      </c>
      <c r="R73" s="120">
        <v>14.89</v>
      </c>
      <c r="S73" s="120">
        <v>0</v>
      </c>
      <c r="T73" s="120">
        <v>0</v>
      </c>
      <c r="U73" s="120">
        <v>17.57</v>
      </c>
      <c r="V73" s="120">
        <v>2.78</v>
      </c>
      <c r="W73" s="120">
        <v>0</v>
      </c>
      <c r="X73" s="120">
        <v>0</v>
      </c>
      <c r="Y73" s="120">
        <v>0</v>
      </c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87">
        <f t="shared" si="147"/>
        <v>100</v>
      </c>
      <c r="AF73" s="209">
        <f t="shared" si="324"/>
        <v>0.34840132304299898</v>
      </c>
      <c r="AG73" s="209">
        <f t="shared" si="325"/>
        <v>3.0734288864388094E-2</v>
      </c>
      <c r="AH73" s="209">
        <f t="shared" si="326"/>
        <v>2.6725468577728775E-3</v>
      </c>
      <c r="AI73" s="209">
        <f t="shared" si="327"/>
        <v>0</v>
      </c>
      <c r="AJ73" s="209">
        <f t="shared" si="328"/>
        <v>0</v>
      </c>
      <c r="AK73" s="209">
        <f t="shared" si="329"/>
        <v>0</v>
      </c>
      <c r="AL73" s="209">
        <f t="shared" si="330"/>
        <v>0</v>
      </c>
      <c r="AM73" s="209">
        <f t="shared" si="331"/>
        <v>1.6538037486218305E-3</v>
      </c>
      <c r="AN73" s="209">
        <f t="shared" si="332"/>
        <v>0</v>
      </c>
      <c r="AO73" s="209">
        <f t="shared" si="333"/>
        <v>0</v>
      </c>
      <c r="AP73" s="209">
        <f t="shared" si="334"/>
        <v>0.22800441014332967</v>
      </c>
      <c r="AQ73" s="209">
        <f t="shared" si="335"/>
        <v>0.16416758544652704</v>
      </c>
      <c r="AR73" s="209">
        <f t="shared" si="336"/>
        <v>0</v>
      </c>
      <c r="AS73" s="209">
        <f t="shared" si="337"/>
        <v>0</v>
      </c>
      <c r="AT73" s="209">
        <f t="shared" si="338"/>
        <v>0.19371554575523708</v>
      </c>
      <c r="AU73" s="209">
        <f t="shared" si="339"/>
        <v>3.0650496141124587E-2</v>
      </c>
      <c r="AV73" s="209">
        <f t="shared" si="340"/>
        <v>0</v>
      </c>
      <c r="AW73" s="209">
        <f t="shared" si="341"/>
        <v>0</v>
      </c>
      <c r="AX73" s="209">
        <f t="shared" si="342"/>
        <v>0</v>
      </c>
      <c r="AY73" s="209">
        <f t="shared" si="343"/>
        <v>0</v>
      </c>
      <c r="AZ73" s="209">
        <f t="shared" si="344"/>
        <v>0</v>
      </c>
      <c r="BA73" s="209">
        <f t="shared" si="345"/>
        <v>0</v>
      </c>
      <c r="BB73" s="209">
        <f t="shared" si="346"/>
        <v>0</v>
      </c>
      <c r="BC73" s="209">
        <f t="shared" si="347"/>
        <v>0</v>
      </c>
      <c r="BD73" s="210">
        <f t="shared" si="348"/>
        <v>1.0000000000000002</v>
      </c>
      <c r="BE73" s="222">
        <f t="shared" ref="BE73:BE123" si="360">$BE$3*(AF73/$AF$2+3*AG73/$AG$2+3*AH73/$AH$2+2*AI73/$AI$2+3*AJ73/$AJ$2+AK73*7/$AK$2+AP73*2/$AP$2+2*AQ73/$AQ$2+3.24*AR73/$AR$2+3.47*AS73/$AS$2+2.8*AT73/$AT$2+3.5*AU73/$AU$2+3*AV73/$AV$2+AW73/$AW$2+3*AX73/$AX$2)</f>
        <v>0.64795566201994192</v>
      </c>
      <c r="BF73" s="209">
        <f t="shared" ref="BF73:BF123" si="361">$BF$3*(AG73*0.5/$AG$2+AH73*0.5/$AH$2+AI73/$AI$2+AJ73*0.75*0.5/$AJ$2+AK73*0.5/$AK$2+AM73*0.1*0.5/$AM$2+AN73*0.5/$AN$2+AP73*1.95*0.5/$AP$2+AQ73/$AQ$2+AR73*(0.76+1.56+1.45)*0.5/$AR$2+AS73*2.62*0.5/$AS$2+AT73*2.03*0.5/$AT$2+AU73/$AU$2+AV73*1.4*0.5/$AV$2+AW73/$AW$2+0.5*AX73/$AX$2)</f>
        <v>0.21544610543294274</v>
      </c>
      <c r="BG73" s="209">
        <f t="shared" si="349"/>
        <v>4.8900425034837415E-3</v>
      </c>
      <c r="BH73" s="209">
        <f t="shared" si="350"/>
        <v>3.1518339650785557E-2</v>
      </c>
      <c r="BI73" s="209">
        <v>0</v>
      </c>
      <c r="BJ73" s="209">
        <f t="shared" si="351"/>
        <v>1.1502012065622571E-2</v>
      </c>
      <c r="BK73" s="209">
        <f t="shared" si="352"/>
        <v>2.6688514643263519E-4</v>
      </c>
      <c r="BL73" s="209">
        <f t="shared" si="353"/>
        <v>3.1595859734628417E-4</v>
      </c>
      <c r="BM73" s="209">
        <f t="shared" ref="BM73:BM123" si="362">$BM$3*(AG73*0.5/$AG$2+AR73*0.41*0.5/$AR$2+AS73*0.5/$AS$2+AT73*0.47*0.5/$AT$2+AU73*0.5/$AU$2+AV73*0.35*0.5/$AV$2+0.5*AX73/$AX$2)</f>
        <v>1.9294097739317621E-2</v>
      </c>
      <c r="BN73" s="209">
        <f t="shared" si="354"/>
        <v>4.1828409572317671E-3</v>
      </c>
      <c r="BO73" s="209">
        <v>0</v>
      </c>
      <c r="BP73" s="209">
        <f t="shared" si="355"/>
        <v>6.4628055886895255E-2</v>
      </c>
      <c r="BQ73" s="209">
        <f t="shared" si="356"/>
        <v>0</v>
      </c>
      <c r="BR73" s="209">
        <f t="shared" si="357"/>
        <v>1.0000000000000002</v>
      </c>
      <c r="BS73" s="122">
        <f t="shared" si="358"/>
        <v>91.553338381604235</v>
      </c>
      <c r="BT73" s="121" t="str">
        <f t="shared" si="359"/>
        <v xml:space="preserve">R2P1EA08 </v>
      </c>
      <c r="BU73" s="268">
        <f t="shared" ref="BU73:BU136" si="363">BG73+BH73*1.09</f>
        <v>3.9245032722839995E-2</v>
      </c>
    </row>
    <row r="74" spans="1:73" s="121" customFormat="1" x14ac:dyDescent="0.2">
      <c r="A74" s="49" t="s">
        <v>108</v>
      </c>
      <c r="B74" s="119">
        <v>300</v>
      </c>
      <c r="C74" s="119">
        <v>400</v>
      </c>
      <c r="D74" s="119">
        <f t="shared" si="132"/>
        <v>350</v>
      </c>
      <c r="E74" s="106">
        <v>9.59</v>
      </c>
      <c r="F74" s="106">
        <v>0.63</v>
      </c>
      <c r="G74" s="120">
        <v>38.33</v>
      </c>
      <c r="H74" s="120">
        <v>7.9855999999999998</v>
      </c>
      <c r="I74" s="125">
        <v>0.69440000000000002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12.71</v>
      </c>
      <c r="R74" s="120">
        <v>14.81</v>
      </c>
      <c r="S74" s="120">
        <v>0</v>
      </c>
      <c r="T74" s="121">
        <v>0</v>
      </c>
      <c r="U74" s="120">
        <v>14.2</v>
      </c>
      <c r="V74" s="120">
        <v>1.03</v>
      </c>
      <c r="W74" s="120">
        <v>0</v>
      </c>
      <c r="X74" s="120">
        <v>0</v>
      </c>
      <c r="Y74" s="120">
        <v>0</v>
      </c>
      <c r="Z74" s="120">
        <v>0</v>
      </c>
      <c r="AA74" s="120">
        <v>0</v>
      </c>
      <c r="AB74" s="120">
        <v>0</v>
      </c>
      <c r="AC74" s="120">
        <v>0</v>
      </c>
      <c r="AD74" s="120">
        <v>0</v>
      </c>
      <c r="AE74" s="187">
        <f t="shared" si="147"/>
        <v>99.98</v>
      </c>
      <c r="AF74" s="209">
        <f t="shared" si="324"/>
        <v>0.42702762923351156</v>
      </c>
      <c r="AG74" s="209">
        <f t="shared" si="325"/>
        <v>8.8966131907308371E-2</v>
      </c>
      <c r="AH74" s="209">
        <f t="shared" si="326"/>
        <v>7.7361853832442068E-3</v>
      </c>
      <c r="AI74" s="209">
        <f t="shared" si="327"/>
        <v>0</v>
      </c>
      <c r="AJ74" s="209">
        <f t="shared" si="328"/>
        <v>0</v>
      </c>
      <c r="AK74" s="209">
        <f t="shared" si="329"/>
        <v>0</v>
      </c>
      <c r="AL74" s="209">
        <f t="shared" si="330"/>
        <v>0</v>
      </c>
      <c r="AM74" s="209">
        <f t="shared" si="331"/>
        <v>0</v>
      </c>
      <c r="AN74" s="209">
        <f t="shared" si="332"/>
        <v>0</v>
      </c>
      <c r="AO74" s="209">
        <f t="shared" si="333"/>
        <v>0</v>
      </c>
      <c r="AP74" s="209">
        <f t="shared" si="334"/>
        <v>0.14159982174688057</v>
      </c>
      <c r="AQ74" s="209">
        <f t="shared" si="335"/>
        <v>0.16499554367201424</v>
      </c>
      <c r="AR74" s="209">
        <f t="shared" si="336"/>
        <v>0</v>
      </c>
      <c r="AS74" s="209">
        <f t="shared" si="337"/>
        <v>0</v>
      </c>
      <c r="AT74" s="209">
        <f t="shared" si="338"/>
        <v>0.15819964349376112</v>
      </c>
      <c r="AU74" s="209">
        <f t="shared" si="339"/>
        <v>1.1475044563279857E-2</v>
      </c>
      <c r="AV74" s="209">
        <f t="shared" si="340"/>
        <v>0</v>
      </c>
      <c r="AW74" s="209">
        <f t="shared" si="341"/>
        <v>0</v>
      </c>
      <c r="AX74" s="209">
        <f t="shared" si="342"/>
        <v>0</v>
      </c>
      <c r="AY74" s="209">
        <f t="shared" si="343"/>
        <v>0</v>
      </c>
      <c r="AZ74" s="209">
        <f t="shared" si="344"/>
        <v>0</v>
      </c>
      <c r="BA74" s="209">
        <f t="shared" si="345"/>
        <v>0</v>
      </c>
      <c r="BB74" s="209">
        <f t="shared" si="346"/>
        <v>0</v>
      </c>
      <c r="BC74" s="209">
        <f t="shared" si="347"/>
        <v>0</v>
      </c>
      <c r="BD74" s="210">
        <f t="shared" si="348"/>
        <v>1</v>
      </c>
      <c r="BE74" s="222">
        <f t="shared" si="360"/>
        <v>0.70355651080206294</v>
      </c>
      <c r="BF74" s="209">
        <f t="shared" si="361"/>
        <v>0.18037405789400129</v>
      </c>
      <c r="BG74" s="209">
        <f t="shared" si="349"/>
        <v>2.1782900748475859E-3</v>
      </c>
      <c r="BH74" s="209">
        <f t="shared" si="350"/>
        <v>2.5131351030927698E-2</v>
      </c>
      <c r="BI74" s="209">
        <v>0</v>
      </c>
      <c r="BJ74" s="209">
        <f t="shared" si="351"/>
        <v>9.0564342211147727E-3</v>
      </c>
      <c r="BK74" s="209">
        <f t="shared" si="352"/>
        <v>2.1795429403879773E-4</v>
      </c>
      <c r="BL74" s="209">
        <f t="shared" si="353"/>
        <v>9.1460109497859066E-4</v>
      </c>
      <c r="BM74" s="209">
        <f t="shared" si="362"/>
        <v>2.4991892565930998E-2</v>
      </c>
      <c r="BN74" s="209">
        <f t="shared" si="354"/>
        <v>3.4159568642016355E-3</v>
      </c>
      <c r="BO74" s="209">
        <v>0</v>
      </c>
      <c r="BP74" s="209">
        <f t="shared" si="355"/>
        <v>5.0162951157895624E-2</v>
      </c>
      <c r="BQ74" s="209">
        <f t="shared" si="356"/>
        <v>0</v>
      </c>
      <c r="BR74" s="209">
        <f t="shared" si="357"/>
        <v>0.99999999999999989</v>
      </c>
      <c r="BS74" s="122">
        <f t="shared" si="358"/>
        <v>87.348844076354723</v>
      </c>
      <c r="BT74" s="121" t="str">
        <f t="shared" si="359"/>
        <v xml:space="preserve">R2P1EA09 </v>
      </c>
      <c r="BU74" s="268">
        <f t="shared" si="363"/>
        <v>2.9571462698558777E-2</v>
      </c>
    </row>
    <row r="75" spans="1:73" s="121" customFormat="1" x14ac:dyDescent="0.2">
      <c r="A75" s="49" t="s">
        <v>109</v>
      </c>
      <c r="B75" s="119">
        <v>400</v>
      </c>
      <c r="C75" s="119">
        <v>500</v>
      </c>
      <c r="D75" s="119">
        <f t="shared" si="132"/>
        <v>450</v>
      </c>
      <c r="E75" s="106">
        <v>9.6199999999999992</v>
      </c>
      <c r="F75" s="106">
        <v>0.72</v>
      </c>
      <c r="G75" s="120">
        <v>22.01</v>
      </c>
      <c r="H75" s="120">
        <v>5.6487999999999996</v>
      </c>
      <c r="I75" s="125">
        <v>0.49119999999999997</v>
      </c>
      <c r="J75" s="120">
        <v>0</v>
      </c>
      <c r="K75" s="120">
        <v>0</v>
      </c>
      <c r="L75" s="120">
        <v>0</v>
      </c>
      <c r="M75" s="120">
        <v>0</v>
      </c>
      <c r="N75" s="120">
        <v>0.61</v>
      </c>
      <c r="O75" s="120">
        <v>0</v>
      </c>
      <c r="P75" s="120">
        <v>0</v>
      </c>
      <c r="Q75" s="120">
        <v>29.61</v>
      </c>
      <c r="R75" s="120">
        <v>14.03</v>
      </c>
      <c r="S75" s="120">
        <v>0</v>
      </c>
      <c r="T75" s="120">
        <v>0</v>
      </c>
      <c r="U75" s="120">
        <v>15.54</v>
      </c>
      <c r="V75" s="120">
        <v>1.73</v>
      </c>
      <c r="W75" s="120">
        <v>0</v>
      </c>
      <c r="X75" s="120">
        <v>0</v>
      </c>
      <c r="Y75" s="120">
        <v>0</v>
      </c>
      <c r="Z75" s="120">
        <v>0</v>
      </c>
      <c r="AA75" s="120">
        <v>0</v>
      </c>
      <c r="AB75" s="120">
        <v>0</v>
      </c>
      <c r="AC75" s="120">
        <v>0</v>
      </c>
      <c r="AD75" s="120">
        <v>0</v>
      </c>
      <c r="AE75" s="187">
        <f t="shared" si="147"/>
        <v>100.01</v>
      </c>
      <c r="AF75" s="209">
        <f t="shared" si="324"/>
        <v>0.24545555927288951</v>
      </c>
      <c r="AG75" s="209">
        <f t="shared" si="325"/>
        <v>6.2995427679268426E-2</v>
      </c>
      <c r="AH75" s="209">
        <f t="shared" si="326"/>
        <v>5.4778632764581241E-3</v>
      </c>
      <c r="AI75" s="209">
        <f t="shared" si="327"/>
        <v>0</v>
      </c>
      <c r="AJ75" s="209">
        <f t="shared" si="328"/>
        <v>0</v>
      </c>
      <c r="AK75" s="209">
        <f t="shared" si="329"/>
        <v>0</v>
      </c>
      <c r="AL75" s="209">
        <f t="shared" si="330"/>
        <v>0</v>
      </c>
      <c r="AM75" s="209">
        <f t="shared" si="331"/>
        <v>6.8027210884353739E-3</v>
      </c>
      <c r="AN75" s="209">
        <f t="shared" si="332"/>
        <v>0</v>
      </c>
      <c r="AO75" s="209">
        <f t="shared" si="333"/>
        <v>0</v>
      </c>
      <c r="AP75" s="209">
        <f t="shared" si="334"/>
        <v>0.33021077283372363</v>
      </c>
      <c r="AQ75" s="209">
        <f t="shared" si="335"/>
        <v>0.15646258503401358</v>
      </c>
      <c r="AR75" s="209">
        <f t="shared" si="336"/>
        <v>0</v>
      </c>
      <c r="AS75" s="209">
        <f t="shared" si="337"/>
        <v>0</v>
      </c>
      <c r="AT75" s="209">
        <f t="shared" si="338"/>
        <v>0.17330210772833723</v>
      </c>
      <c r="AU75" s="209">
        <f t="shared" si="339"/>
        <v>1.9292963086874095E-2</v>
      </c>
      <c r="AV75" s="209">
        <f t="shared" si="340"/>
        <v>0</v>
      </c>
      <c r="AW75" s="209">
        <f t="shared" si="341"/>
        <v>0</v>
      </c>
      <c r="AX75" s="209">
        <f t="shared" si="342"/>
        <v>0</v>
      </c>
      <c r="AY75" s="209">
        <f t="shared" si="343"/>
        <v>0</v>
      </c>
      <c r="AZ75" s="209">
        <f t="shared" si="344"/>
        <v>0</v>
      </c>
      <c r="BA75" s="209">
        <f t="shared" si="345"/>
        <v>0</v>
      </c>
      <c r="BB75" s="209">
        <f t="shared" si="346"/>
        <v>0</v>
      </c>
      <c r="BC75" s="209">
        <f t="shared" si="347"/>
        <v>0</v>
      </c>
      <c r="BD75" s="210">
        <f t="shared" si="348"/>
        <v>1</v>
      </c>
      <c r="BE75" s="222">
        <f t="shared" si="360"/>
        <v>0.59722027272750744</v>
      </c>
      <c r="BF75" s="209">
        <f t="shared" si="361"/>
        <v>0.25027573861330649</v>
      </c>
      <c r="BG75" s="209">
        <f t="shared" si="349"/>
        <v>1.0766740526136725E-2</v>
      </c>
      <c r="BH75" s="209">
        <f t="shared" si="350"/>
        <v>2.7832213442908812E-2</v>
      </c>
      <c r="BI75" s="209">
        <v>0</v>
      </c>
      <c r="BJ75" s="209">
        <f t="shared" si="351"/>
        <v>1.0088020085819363E-2</v>
      </c>
      <c r="BK75" s="209">
        <f t="shared" si="352"/>
        <v>2.387612115374648E-4</v>
      </c>
      <c r="BL75" s="209">
        <f t="shared" si="353"/>
        <v>6.4761371433043628E-4</v>
      </c>
      <c r="BM75" s="209">
        <f t="shared" si="362"/>
        <v>2.2325413551159589E-2</v>
      </c>
      <c r="BN75" s="209">
        <f t="shared" si="354"/>
        <v>3.7420597885138161E-3</v>
      </c>
      <c r="BO75" s="209">
        <v>0</v>
      </c>
      <c r="BP75" s="209">
        <f t="shared" si="355"/>
        <v>7.6863166338779987E-2</v>
      </c>
      <c r="BQ75" s="209">
        <f t="shared" si="356"/>
        <v>0</v>
      </c>
      <c r="BR75" s="209">
        <f t="shared" si="357"/>
        <v>0.99999999999999989</v>
      </c>
      <c r="BS75" s="122">
        <f t="shared" si="358"/>
        <v>91.512670166723709</v>
      </c>
      <c r="BT75" s="121" t="str">
        <f t="shared" si="359"/>
        <v xml:space="preserve">R2P1EA10 </v>
      </c>
      <c r="BU75" s="268">
        <f t="shared" si="363"/>
        <v>4.1103853178907329E-2</v>
      </c>
    </row>
    <row r="76" spans="1:73" s="121" customFormat="1" x14ac:dyDescent="0.2">
      <c r="A76" s="49" t="s">
        <v>110</v>
      </c>
      <c r="B76" s="119">
        <v>500</v>
      </c>
      <c r="C76" s="119">
        <v>600</v>
      </c>
      <c r="D76" s="119">
        <f t="shared" si="132"/>
        <v>550</v>
      </c>
      <c r="E76" s="106">
        <v>9.19</v>
      </c>
      <c r="F76" s="106">
        <v>0.44</v>
      </c>
      <c r="G76" s="120">
        <v>33.369999999999997</v>
      </c>
      <c r="H76" s="120">
        <v>6.9551999999999996</v>
      </c>
      <c r="I76" s="125">
        <v>0.6048</v>
      </c>
      <c r="J76" s="120">
        <v>0</v>
      </c>
      <c r="K76" s="120">
        <v>0</v>
      </c>
      <c r="L76" s="120">
        <v>0</v>
      </c>
      <c r="M76" s="120">
        <v>0</v>
      </c>
      <c r="N76" s="120">
        <v>0.22</v>
      </c>
      <c r="O76" s="120">
        <v>0</v>
      </c>
      <c r="P76" s="120">
        <v>0</v>
      </c>
      <c r="Q76" s="120">
        <v>20.69</v>
      </c>
      <c r="R76" s="120">
        <v>14.63</v>
      </c>
      <c r="S76" s="120">
        <v>0</v>
      </c>
      <c r="T76" s="120">
        <v>0</v>
      </c>
      <c r="U76" s="120">
        <v>13.56</v>
      </c>
      <c r="V76" s="120">
        <v>0.33</v>
      </c>
      <c r="W76" s="120">
        <v>0</v>
      </c>
      <c r="X76" s="120">
        <v>0</v>
      </c>
      <c r="Y76" s="120">
        <v>0</v>
      </c>
      <c r="Z76" s="120">
        <v>0</v>
      </c>
      <c r="AA76" s="120">
        <v>0</v>
      </c>
      <c r="AB76" s="120">
        <v>0</v>
      </c>
      <c r="AC76" s="120">
        <v>0</v>
      </c>
      <c r="AD76" s="120">
        <v>0</v>
      </c>
      <c r="AE76" s="187">
        <f t="shared" si="147"/>
        <v>99.99</v>
      </c>
      <c r="AF76" s="209">
        <f t="shared" si="324"/>
        <v>0.3693005754758743</v>
      </c>
      <c r="AG76" s="209">
        <f t="shared" si="325"/>
        <v>7.6972111553784875E-2</v>
      </c>
      <c r="AH76" s="209">
        <f t="shared" si="326"/>
        <v>6.6932270916334677E-3</v>
      </c>
      <c r="AI76" s="209">
        <f t="shared" si="327"/>
        <v>0</v>
      </c>
      <c r="AJ76" s="209">
        <f t="shared" si="328"/>
        <v>0</v>
      </c>
      <c r="AK76" s="209">
        <f t="shared" si="329"/>
        <v>0</v>
      </c>
      <c r="AL76" s="209">
        <f t="shared" si="330"/>
        <v>0</v>
      </c>
      <c r="AM76" s="209">
        <f t="shared" si="331"/>
        <v>2.4347056219566183E-3</v>
      </c>
      <c r="AN76" s="209">
        <f t="shared" si="332"/>
        <v>0</v>
      </c>
      <c r="AO76" s="209">
        <f t="shared" si="333"/>
        <v>0</v>
      </c>
      <c r="AP76" s="209">
        <f t="shared" si="334"/>
        <v>0.22897299690128381</v>
      </c>
      <c r="AQ76" s="209">
        <f t="shared" si="335"/>
        <v>0.16190792386011513</v>
      </c>
      <c r="AR76" s="209">
        <f t="shared" si="336"/>
        <v>0</v>
      </c>
      <c r="AS76" s="209">
        <f t="shared" si="337"/>
        <v>0</v>
      </c>
      <c r="AT76" s="209">
        <f t="shared" si="338"/>
        <v>0.15006640106241703</v>
      </c>
      <c r="AU76" s="209">
        <f t="shared" si="339"/>
        <v>3.6520584329349276E-3</v>
      </c>
      <c r="AV76" s="209">
        <f t="shared" si="340"/>
        <v>0</v>
      </c>
      <c r="AW76" s="209">
        <f t="shared" si="341"/>
        <v>0</v>
      </c>
      <c r="AX76" s="209">
        <f t="shared" si="342"/>
        <v>0</v>
      </c>
      <c r="AY76" s="209">
        <f t="shared" si="343"/>
        <v>0</v>
      </c>
      <c r="AZ76" s="209">
        <f t="shared" si="344"/>
        <v>0</v>
      </c>
      <c r="BA76" s="209">
        <f t="shared" si="345"/>
        <v>0</v>
      </c>
      <c r="BB76" s="209">
        <f t="shared" si="346"/>
        <v>0</v>
      </c>
      <c r="BC76" s="209">
        <f t="shared" si="347"/>
        <v>0</v>
      </c>
      <c r="BD76" s="210">
        <f t="shared" si="348"/>
        <v>1.0000000000000002</v>
      </c>
      <c r="BE76" s="222">
        <f t="shared" si="360"/>
        <v>0.66892950618350377</v>
      </c>
      <c r="BF76" s="209">
        <f t="shared" si="361"/>
        <v>0.20633694400356706</v>
      </c>
      <c r="BG76" s="209">
        <f t="shared" si="349"/>
        <v>5.5577644154313696E-3</v>
      </c>
      <c r="BH76" s="209">
        <f t="shared" si="350"/>
        <v>2.3514693199048795E-2</v>
      </c>
      <c r="BI76" s="209">
        <v>0</v>
      </c>
      <c r="BJ76" s="209">
        <f t="shared" si="351"/>
        <v>8.4111292643840492E-3</v>
      </c>
      <c r="BK76" s="209">
        <f t="shared" si="352"/>
        <v>2.0674898994821106E-4</v>
      </c>
      <c r="BL76" s="209">
        <f t="shared" si="353"/>
        <v>7.9129862117926651E-4</v>
      </c>
      <c r="BM76" s="209">
        <f t="shared" si="362"/>
        <v>2.1611258618243277E-2</v>
      </c>
      <c r="BN76" s="209">
        <f t="shared" si="354"/>
        <v>3.2403382300631744E-3</v>
      </c>
      <c r="BO76" s="209">
        <v>0</v>
      </c>
      <c r="BP76" s="209">
        <f t="shared" si="355"/>
        <v>6.1400318474631177E-2</v>
      </c>
      <c r="BQ76" s="209">
        <f t="shared" si="356"/>
        <v>0</v>
      </c>
      <c r="BR76" s="209">
        <f t="shared" si="357"/>
        <v>1</v>
      </c>
      <c r="BS76" s="122">
        <f t="shared" si="358"/>
        <v>90.124622610605215</v>
      </c>
      <c r="BT76" s="121" t="str">
        <f t="shared" si="359"/>
        <v xml:space="preserve">R2P1EA11 </v>
      </c>
      <c r="BU76" s="268">
        <f t="shared" si="363"/>
        <v>3.1188780002394556E-2</v>
      </c>
    </row>
    <row r="77" spans="1:73" s="121" customFormat="1" x14ac:dyDescent="0.2">
      <c r="A77" s="49" t="s">
        <v>111</v>
      </c>
      <c r="B77" s="119">
        <v>600</v>
      </c>
      <c r="C77" s="119">
        <v>700</v>
      </c>
      <c r="D77" s="119">
        <f t="shared" si="132"/>
        <v>650</v>
      </c>
      <c r="E77" s="106">
        <v>9.66</v>
      </c>
      <c r="F77" s="106">
        <v>0.48</v>
      </c>
      <c r="G77" s="120">
        <v>36.94</v>
      </c>
      <c r="H77" s="120">
        <v>12.502800000000001</v>
      </c>
      <c r="I77" s="125">
        <v>1.0871999999999999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8.59</v>
      </c>
      <c r="R77" s="120">
        <v>15.28</v>
      </c>
      <c r="S77" s="120">
        <v>0</v>
      </c>
      <c r="T77" s="120">
        <v>0</v>
      </c>
      <c r="U77" s="120">
        <v>15.34</v>
      </c>
      <c r="V77" s="120">
        <v>0.11</v>
      </c>
      <c r="W77" s="120">
        <v>0</v>
      </c>
      <c r="X77" s="120">
        <v>0</v>
      </c>
      <c r="Y77" s="120">
        <v>0</v>
      </c>
      <c r="Z77" s="120">
        <v>0</v>
      </c>
      <c r="AA77" s="120">
        <v>0</v>
      </c>
      <c r="AB77" s="120">
        <v>0</v>
      </c>
      <c r="AC77" s="120">
        <v>0</v>
      </c>
      <c r="AD77" s="120">
        <v>0</v>
      </c>
      <c r="AE77" s="187">
        <f t="shared" si="147"/>
        <v>99.990000000000009</v>
      </c>
      <c r="AF77" s="209">
        <f t="shared" si="324"/>
        <v>0.41112966054535333</v>
      </c>
      <c r="AG77" s="209">
        <f t="shared" si="325"/>
        <v>0.13915191986644407</v>
      </c>
      <c r="AH77" s="209">
        <f t="shared" si="326"/>
        <v>1.2100166944908178E-2</v>
      </c>
      <c r="AI77" s="209">
        <f t="shared" si="327"/>
        <v>0</v>
      </c>
      <c r="AJ77" s="209">
        <f t="shared" si="328"/>
        <v>0</v>
      </c>
      <c r="AK77" s="209">
        <f t="shared" si="329"/>
        <v>0</v>
      </c>
      <c r="AL77" s="209">
        <f t="shared" si="330"/>
        <v>0</v>
      </c>
      <c r="AM77" s="209">
        <f t="shared" si="331"/>
        <v>0</v>
      </c>
      <c r="AN77" s="209">
        <f t="shared" si="332"/>
        <v>0</v>
      </c>
      <c r="AO77" s="209">
        <f t="shared" si="333"/>
        <v>0</v>
      </c>
      <c r="AP77" s="209">
        <f t="shared" si="334"/>
        <v>9.5603784084585405E-2</v>
      </c>
      <c r="AQ77" s="209">
        <f t="shared" si="335"/>
        <v>0.17006121313299943</v>
      </c>
      <c r="AR77" s="209">
        <f t="shared" si="336"/>
        <v>0</v>
      </c>
      <c r="AS77" s="209">
        <f t="shared" si="337"/>
        <v>0</v>
      </c>
      <c r="AT77" s="209">
        <f t="shared" si="338"/>
        <v>0.17072899276572062</v>
      </c>
      <c r="AU77" s="209">
        <f t="shared" si="339"/>
        <v>1.2242626599888702E-3</v>
      </c>
      <c r="AV77" s="209">
        <f t="shared" si="340"/>
        <v>0</v>
      </c>
      <c r="AW77" s="209">
        <f t="shared" si="341"/>
        <v>0</v>
      </c>
      <c r="AX77" s="209">
        <f t="shared" si="342"/>
        <v>0</v>
      </c>
      <c r="AY77" s="209">
        <f t="shared" si="343"/>
        <v>0</v>
      </c>
      <c r="AZ77" s="209">
        <f t="shared" si="344"/>
        <v>0</v>
      </c>
      <c r="BA77" s="209">
        <f t="shared" si="345"/>
        <v>0</v>
      </c>
      <c r="BB77" s="209">
        <f t="shared" si="346"/>
        <v>0</v>
      </c>
      <c r="BC77" s="209">
        <f t="shared" si="347"/>
        <v>0</v>
      </c>
      <c r="BD77" s="210">
        <f t="shared" si="348"/>
        <v>1</v>
      </c>
      <c r="BE77" s="222">
        <f t="shared" si="360"/>
        <v>0.70408680716981231</v>
      </c>
      <c r="BF77" s="209">
        <f t="shared" si="361"/>
        <v>0.17540796279186516</v>
      </c>
      <c r="BG77" s="209">
        <f t="shared" si="349"/>
        <v>1.4707135321228733E-3</v>
      </c>
      <c r="BH77" s="209">
        <f t="shared" si="350"/>
        <v>2.6620893995646225E-2</v>
      </c>
      <c r="BI77" s="209">
        <v>0</v>
      </c>
      <c r="BJ77" s="209">
        <f t="shared" si="351"/>
        <v>9.4964439233358178E-3</v>
      </c>
      <c r="BK77" s="209">
        <f t="shared" si="352"/>
        <v>2.3521618802936894E-4</v>
      </c>
      <c r="BL77" s="209">
        <f t="shared" si="353"/>
        <v>1.4305275001819876E-3</v>
      </c>
      <c r="BM77" s="209">
        <f t="shared" si="362"/>
        <v>3.2976688588995842E-2</v>
      </c>
      <c r="BN77" s="209">
        <f t="shared" si="354"/>
        <v>3.6864992984595086E-3</v>
      </c>
      <c r="BO77" s="209">
        <v>0</v>
      </c>
      <c r="BP77" s="209">
        <f t="shared" si="355"/>
        <v>4.458824701155082E-2</v>
      </c>
      <c r="BQ77" s="209">
        <f t="shared" si="356"/>
        <v>0</v>
      </c>
      <c r="BR77" s="209">
        <f t="shared" si="357"/>
        <v>1</v>
      </c>
      <c r="BS77" s="122">
        <f t="shared" si="358"/>
        <v>83.507561475513782</v>
      </c>
      <c r="BT77" s="121" t="str">
        <f t="shared" si="359"/>
        <v xml:space="preserve">R2P1EA12 </v>
      </c>
      <c r="BU77" s="268">
        <f t="shared" si="363"/>
        <v>3.048748798737726E-2</v>
      </c>
    </row>
    <row r="78" spans="1:73" s="143" customFormat="1" ht="16" thickBot="1" x14ac:dyDescent="0.25">
      <c r="A78" s="49" t="s">
        <v>112</v>
      </c>
      <c r="B78" s="140">
        <v>700</v>
      </c>
      <c r="C78" s="140">
        <v>800</v>
      </c>
      <c r="D78" s="140">
        <f t="shared" si="132"/>
        <v>750</v>
      </c>
      <c r="E78" s="134">
        <v>9.26</v>
      </c>
      <c r="F78" s="134">
        <v>0.38</v>
      </c>
      <c r="G78" s="141">
        <v>35.14</v>
      </c>
      <c r="H78" s="141">
        <v>21.7028</v>
      </c>
      <c r="I78" s="141">
        <v>4.7772000000000006</v>
      </c>
      <c r="J78" s="141">
        <v>0</v>
      </c>
      <c r="K78" s="141">
        <v>0</v>
      </c>
      <c r="L78" s="141">
        <v>0</v>
      </c>
      <c r="M78" s="141">
        <v>0</v>
      </c>
      <c r="N78" s="141">
        <v>0</v>
      </c>
      <c r="O78" s="141">
        <v>0</v>
      </c>
      <c r="P78" s="141">
        <v>0</v>
      </c>
      <c r="Q78" s="141">
        <v>0.21</v>
      </c>
      <c r="R78" s="141">
        <v>16.5</v>
      </c>
      <c r="S78" s="141">
        <v>0</v>
      </c>
      <c r="T78" s="141">
        <v>0</v>
      </c>
      <c r="U78" s="141">
        <v>12.02</v>
      </c>
      <c r="V78" s="141">
        <v>0</v>
      </c>
      <c r="W78" s="141">
        <v>0</v>
      </c>
      <c r="X78" s="141">
        <v>0</v>
      </c>
      <c r="Y78" s="141">
        <v>0</v>
      </c>
      <c r="Z78" s="141">
        <v>0</v>
      </c>
      <c r="AA78" s="141">
        <v>0</v>
      </c>
      <c r="AB78" s="141">
        <v>0</v>
      </c>
      <c r="AC78" s="141">
        <v>0</v>
      </c>
      <c r="AD78" s="141">
        <v>0</v>
      </c>
      <c r="AE78" s="188">
        <f t="shared" si="147"/>
        <v>99.989999999999981</v>
      </c>
      <c r="AF78" s="211">
        <f t="shared" si="324"/>
        <v>0.38893193137797455</v>
      </c>
      <c r="AG78" s="211">
        <f t="shared" si="325"/>
        <v>0.24020807969009408</v>
      </c>
      <c r="AH78" s="211">
        <f t="shared" si="326"/>
        <v>5.2874377421140019E-2</v>
      </c>
      <c r="AI78" s="211">
        <f t="shared" si="327"/>
        <v>0</v>
      </c>
      <c r="AJ78" s="211">
        <f t="shared" si="328"/>
        <v>0</v>
      </c>
      <c r="AK78" s="211">
        <f t="shared" si="329"/>
        <v>0</v>
      </c>
      <c r="AL78" s="211">
        <f t="shared" si="330"/>
        <v>0</v>
      </c>
      <c r="AM78" s="211">
        <f t="shared" si="331"/>
        <v>0</v>
      </c>
      <c r="AN78" s="211">
        <f t="shared" si="332"/>
        <v>0</v>
      </c>
      <c r="AO78" s="211">
        <f t="shared" si="333"/>
        <v>0</v>
      </c>
      <c r="AP78" s="211">
        <f t="shared" si="334"/>
        <v>2.324294410625346E-3</v>
      </c>
      <c r="AQ78" s="211">
        <f t="shared" si="335"/>
        <v>0.18262313226342006</v>
      </c>
      <c r="AR78" s="211">
        <f t="shared" si="336"/>
        <v>0</v>
      </c>
      <c r="AS78" s="211">
        <f t="shared" si="337"/>
        <v>0</v>
      </c>
      <c r="AT78" s="211">
        <f t="shared" si="338"/>
        <v>0.13303818483674598</v>
      </c>
      <c r="AU78" s="211">
        <f t="shared" si="339"/>
        <v>0</v>
      </c>
      <c r="AV78" s="211">
        <f t="shared" si="340"/>
        <v>0</v>
      </c>
      <c r="AW78" s="211">
        <f t="shared" si="341"/>
        <v>0</v>
      </c>
      <c r="AX78" s="211">
        <f t="shared" si="342"/>
        <v>0</v>
      </c>
      <c r="AY78" s="211">
        <f t="shared" si="343"/>
        <v>0</v>
      </c>
      <c r="AZ78" s="211">
        <f t="shared" si="344"/>
        <v>0</v>
      </c>
      <c r="BA78" s="211">
        <f t="shared" si="345"/>
        <v>0</v>
      </c>
      <c r="BB78" s="211">
        <f t="shared" si="346"/>
        <v>0</v>
      </c>
      <c r="BC78" s="211">
        <f t="shared" si="347"/>
        <v>0</v>
      </c>
      <c r="BD78" s="212">
        <f t="shared" si="348"/>
        <v>1</v>
      </c>
      <c r="BE78" s="222">
        <f t="shared" si="360"/>
        <v>0.72181842270776242</v>
      </c>
      <c r="BF78" s="211">
        <f t="shared" si="361"/>
        <v>0.16119269416098786</v>
      </c>
      <c r="BG78" s="211">
        <f t="shared" si="349"/>
        <v>3.5755606068059534E-5</v>
      </c>
      <c r="BH78" s="211">
        <f t="shared" si="350"/>
        <v>2.0701144441945978E-2</v>
      </c>
      <c r="BI78" s="211">
        <v>0</v>
      </c>
      <c r="BJ78" s="211">
        <f t="shared" si="351"/>
        <v>7.376269858624428E-3</v>
      </c>
      <c r="BK78" s="211">
        <f t="shared" si="352"/>
        <v>1.832889317316292E-4</v>
      </c>
      <c r="BL78" s="211">
        <f t="shared" si="353"/>
        <v>6.2510088745322137E-3</v>
      </c>
      <c r="BM78" s="211">
        <f t="shared" si="362"/>
        <v>4.7888711284461496E-2</v>
      </c>
      <c r="BN78" s="211">
        <f t="shared" si="354"/>
        <v>2.8726531277671976E-3</v>
      </c>
      <c r="BO78" s="211">
        <v>0</v>
      </c>
      <c r="BP78" s="211">
        <f t="shared" si="355"/>
        <v>3.1680051006118849E-2</v>
      </c>
      <c r="BQ78" s="211">
        <f t="shared" si="356"/>
        <v>0</v>
      </c>
      <c r="BR78" s="211">
        <f t="shared" si="357"/>
        <v>0.99999999999999989</v>
      </c>
      <c r="BS78" s="142">
        <f t="shared" si="358"/>
        <v>74.793943888497822</v>
      </c>
      <c r="BT78" s="143" t="str">
        <f t="shared" si="359"/>
        <v xml:space="preserve">R2P1EA13 </v>
      </c>
      <c r="BU78" s="268">
        <f t="shared" si="363"/>
        <v>2.2600003047789176E-2</v>
      </c>
    </row>
    <row r="79" spans="1:73" s="218" customFormat="1" x14ac:dyDescent="0.2">
      <c r="A79" s="72" t="s">
        <v>128</v>
      </c>
      <c r="B79" s="223">
        <v>0</v>
      </c>
      <c r="C79" s="223">
        <v>8</v>
      </c>
      <c r="D79" s="224">
        <f t="shared" si="132"/>
        <v>4</v>
      </c>
      <c r="E79" s="174">
        <v>10.74</v>
      </c>
      <c r="F79" s="174">
        <v>1.2390000000000001</v>
      </c>
      <c r="G79" s="174">
        <v>54.11</v>
      </c>
      <c r="H79" s="174">
        <v>2.99</v>
      </c>
      <c r="I79" s="174">
        <v>0.26</v>
      </c>
      <c r="J79" s="174">
        <v>0</v>
      </c>
      <c r="K79" s="174">
        <v>0</v>
      </c>
      <c r="L79" s="174">
        <v>0</v>
      </c>
      <c r="M79" s="174">
        <v>0</v>
      </c>
      <c r="N79" s="174">
        <v>0</v>
      </c>
      <c r="O79" s="174">
        <v>0</v>
      </c>
      <c r="P79" s="174">
        <v>0</v>
      </c>
      <c r="Q79" s="174">
        <v>9.8800000000000008</v>
      </c>
      <c r="R79" s="174">
        <v>15.01</v>
      </c>
      <c r="S79" s="174">
        <v>0.16</v>
      </c>
      <c r="T79" s="174">
        <v>0</v>
      </c>
      <c r="U79" s="174">
        <v>0.69</v>
      </c>
      <c r="V79" s="174">
        <v>4.83</v>
      </c>
      <c r="W79" s="174">
        <v>0</v>
      </c>
      <c r="X79" s="174">
        <v>0</v>
      </c>
      <c r="Y79" s="174">
        <v>0</v>
      </c>
      <c r="Z79" s="174">
        <v>0</v>
      </c>
      <c r="AA79" s="174">
        <v>0</v>
      </c>
      <c r="AB79" s="174">
        <v>0</v>
      </c>
      <c r="AC79" s="174">
        <v>0</v>
      </c>
      <c r="AD79" s="174">
        <v>0</v>
      </c>
      <c r="AE79" s="225">
        <f t="shared" si="147"/>
        <v>99.908999999999992</v>
      </c>
      <c r="AF79" s="217">
        <f t="shared" si="324"/>
        <v>0.61537586716706472</v>
      </c>
      <c r="AG79" s="217">
        <f t="shared" si="325"/>
        <v>3.4004321619470035E-2</v>
      </c>
      <c r="AH79" s="217">
        <f t="shared" si="326"/>
        <v>2.9568975321278292E-3</v>
      </c>
      <c r="AI79" s="217">
        <f t="shared" si="327"/>
        <v>0</v>
      </c>
      <c r="AJ79" s="217">
        <f t="shared" si="328"/>
        <v>0</v>
      </c>
      <c r="AK79" s="217">
        <f t="shared" si="329"/>
        <v>0</v>
      </c>
      <c r="AL79" s="217">
        <f t="shared" si="330"/>
        <v>0</v>
      </c>
      <c r="AM79" s="217">
        <f t="shared" si="331"/>
        <v>0</v>
      </c>
      <c r="AN79" s="217">
        <f t="shared" si="332"/>
        <v>0</v>
      </c>
      <c r="AO79" s="217">
        <f t="shared" si="333"/>
        <v>0</v>
      </c>
      <c r="AP79" s="217">
        <f t="shared" si="334"/>
        <v>0.11236210622085752</v>
      </c>
      <c r="AQ79" s="217">
        <f t="shared" si="335"/>
        <v>0.17070396906630275</v>
      </c>
      <c r="AR79" s="217">
        <f t="shared" si="336"/>
        <v>1.8196292505402026E-3</v>
      </c>
      <c r="AS79" s="217">
        <f t="shared" si="337"/>
        <v>0</v>
      </c>
      <c r="AT79" s="217">
        <f t="shared" si="338"/>
        <v>7.8471511429546222E-3</v>
      </c>
      <c r="AU79" s="217">
        <f t="shared" si="339"/>
        <v>5.4930058000682368E-2</v>
      </c>
      <c r="AV79" s="217">
        <f t="shared" si="340"/>
        <v>0</v>
      </c>
      <c r="AW79" s="217">
        <f t="shared" si="341"/>
        <v>0</v>
      </c>
      <c r="AX79" s="217">
        <f t="shared" si="342"/>
        <v>0</v>
      </c>
      <c r="AY79" s="217">
        <f t="shared" si="343"/>
        <v>0</v>
      </c>
      <c r="AZ79" s="217">
        <f t="shared" si="344"/>
        <v>0</v>
      </c>
      <c r="BA79" s="217">
        <f t="shared" si="345"/>
        <v>0</v>
      </c>
      <c r="BB79" s="217">
        <f t="shared" si="346"/>
        <v>0</v>
      </c>
      <c r="BC79" s="217">
        <f t="shared" si="347"/>
        <v>0</v>
      </c>
      <c r="BD79" s="226">
        <f t="shared" si="348"/>
        <v>1</v>
      </c>
      <c r="BE79" s="213">
        <f t="shared" si="360"/>
        <v>0.80329572590632592</v>
      </c>
      <c r="BF79" s="217">
        <f t="shared" si="361"/>
        <v>0.13383285770925435</v>
      </c>
      <c r="BG79" s="217">
        <f t="shared" si="349"/>
        <v>1.7996888179510452E-3</v>
      </c>
      <c r="BH79" s="217">
        <f t="shared" si="350"/>
        <v>3.6863370281652636E-3</v>
      </c>
      <c r="BI79" s="217">
        <v>0</v>
      </c>
      <c r="BJ79" s="217">
        <f t="shared" si="351"/>
        <v>1.8297370090650333E-3</v>
      </c>
      <c r="BK79" s="217">
        <f t="shared" si="352"/>
        <v>2.7473629972108685E-5</v>
      </c>
      <c r="BL79" s="217">
        <f t="shared" si="353"/>
        <v>3.4957560950918024E-4</v>
      </c>
      <c r="BM79" s="217">
        <f t="shared" si="362"/>
        <v>1.2632187325950174E-2</v>
      </c>
      <c r="BN79" s="217">
        <f t="shared" si="354"/>
        <v>1.6944115182067825E-4</v>
      </c>
      <c r="BO79" s="217">
        <v>0</v>
      </c>
      <c r="BP79" s="217">
        <f t="shared" si="355"/>
        <v>4.2376975811986302E-2</v>
      </c>
      <c r="BQ79" s="217">
        <f t="shared" si="356"/>
        <v>0</v>
      </c>
      <c r="BR79" s="213">
        <f t="shared" si="357"/>
        <v>1.0000000000000002</v>
      </c>
      <c r="BS79" s="227">
        <f t="shared" si="358"/>
        <v>91.140662607892182</v>
      </c>
      <c r="BT79" s="215" t="str">
        <f t="shared" si="359"/>
        <v xml:space="preserve">R7H1EA01 </v>
      </c>
      <c r="BU79" s="269">
        <f t="shared" si="363"/>
        <v>5.8177961786511825E-3</v>
      </c>
    </row>
    <row r="80" spans="1:73" s="215" customFormat="1" x14ac:dyDescent="0.2">
      <c r="A80" s="72" t="s">
        <v>129</v>
      </c>
      <c r="B80" s="228">
        <v>8</v>
      </c>
      <c r="C80" s="228">
        <v>28</v>
      </c>
      <c r="D80" s="229">
        <f t="shared" si="132"/>
        <v>18</v>
      </c>
      <c r="E80" s="175">
        <v>8.82</v>
      </c>
      <c r="F80" s="175">
        <v>2.0099999999999998</v>
      </c>
      <c r="G80" s="175">
        <v>42.52</v>
      </c>
      <c r="H80" s="175">
        <v>2.4656000000000002</v>
      </c>
      <c r="I80" s="174">
        <v>0.21440000000000001</v>
      </c>
      <c r="J80" s="175">
        <v>0</v>
      </c>
      <c r="K80" s="175">
        <v>0</v>
      </c>
      <c r="L80" s="175">
        <v>0</v>
      </c>
      <c r="M80" s="175">
        <v>0</v>
      </c>
      <c r="N80" s="175">
        <v>0</v>
      </c>
      <c r="O80" s="175">
        <v>0</v>
      </c>
      <c r="P80" s="175">
        <v>0</v>
      </c>
      <c r="Q80" s="175">
        <v>20.86</v>
      </c>
      <c r="R80" s="175">
        <v>14.72</v>
      </c>
      <c r="S80" s="175">
        <v>3.58</v>
      </c>
      <c r="T80" s="175">
        <v>0</v>
      </c>
      <c r="U80" s="175">
        <v>1.02</v>
      </c>
      <c r="V80" s="175">
        <v>4.03</v>
      </c>
      <c r="W80" s="175">
        <v>0</v>
      </c>
      <c r="X80" s="175">
        <v>0</v>
      </c>
      <c r="Y80" s="175">
        <v>0</v>
      </c>
      <c r="Z80" s="175">
        <v>0</v>
      </c>
      <c r="AA80" s="175">
        <v>0</v>
      </c>
      <c r="AB80" s="175">
        <v>0</v>
      </c>
      <c r="AC80" s="175">
        <v>0</v>
      </c>
      <c r="AD80" s="175">
        <v>0</v>
      </c>
      <c r="AE80" s="230">
        <f t="shared" si="147"/>
        <v>100.24</v>
      </c>
      <c r="AF80" s="213">
        <f t="shared" si="324"/>
        <v>0.47556201767140144</v>
      </c>
      <c r="AG80" s="213">
        <f t="shared" si="325"/>
        <v>2.757633374342915E-2</v>
      </c>
      <c r="AH80" s="213">
        <f t="shared" si="326"/>
        <v>2.3979420646460131E-3</v>
      </c>
      <c r="AI80" s="213">
        <f t="shared" si="327"/>
        <v>0</v>
      </c>
      <c r="AJ80" s="213">
        <f t="shared" si="328"/>
        <v>0</v>
      </c>
      <c r="AK80" s="213">
        <f t="shared" si="329"/>
        <v>0</v>
      </c>
      <c r="AL80" s="213">
        <f t="shared" si="330"/>
        <v>0</v>
      </c>
      <c r="AM80" s="213">
        <f t="shared" si="331"/>
        <v>0</v>
      </c>
      <c r="AN80" s="213">
        <f t="shared" si="332"/>
        <v>0</v>
      </c>
      <c r="AO80" s="213">
        <f t="shared" si="333"/>
        <v>0</v>
      </c>
      <c r="AP80" s="213">
        <f t="shared" si="334"/>
        <v>0.23330723632703276</v>
      </c>
      <c r="AQ80" s="213">
        <f t="shared" si="335"/>
        <v>0.16463482831897999</v>
      </c>
      <c r="AR80" s="213">
        <f t="shared" si="336"/>
        <v>4.0040263952578016E-2</v>
      </c>
      <c r="AS80" s="213">
        <f t="shared" si="337"/>
        <v>0</v>
      </c>
      <c r="AT80" s="213">
        <f t="shared" si="338"/>
        <v>1.1408119897103233E-2</v>
      </c>
      <c r="AU80" s="213">
        <f t="shared" si="339"/>
        <v>4.5073258024829442E-2</v>
      </c>
      <c r="AV80" s="213">
        <f t="shared" si="340"/>
        <v>0</v>
      </c>
      <c r="AW80" s="213">
        <f t="shared" si="341"/>
        <v>0</v>
      </c>
      <c r="AX80" s="213">
        <f t="shared" si="342"/>
        <v>0</v>
      </c>
      <c r="AY80" s="213">
        <f t="shared" si="343"/>
        <v>0</v>
      </c>
      <c r="AZ80" s="213">
        <f t="shared" si="344"/>
        <v>0</v>
      </c>
      <c r="BA80" s="213">
        <f t="shared" si="345"/>
        <v>0</v>
      </c>
      <c r="BB80" s="213">
        <f t="shared" si="346"/>
        <v>0</v>
      </c>
      <c r="BC80" s="213">
        <f t="shared" si="347"/>
        <v>0</v>
      </c>
      <c r="BD80" s="231">
        <f t="shared" si="348"/>
        <v>1</v>
      </c>
      <c r="BE80" s="213">
        <f t="shared" si="360"/>
        <v>0.723622320154516</v>
      </c>
      <c r="BF80" s="213">
        <f t="shared" si="361"/>
        <v>0.18990893491103941</v>
      </c>
      <c r="BG80" s="213">
        <f t="shared" si="349"/>
        <v>5.1552415645270532E-3</v>
      </c>
      <c r="BH80" s="213">
        <f t="shared" si="350"/>
        <v>3.7980549890809382E-3</v>
      </c>
      <c r="BI80" s="217">
        <v>0</v>
      </c>
      <c r="BJ80" s="213">
        <f t="shared" si="351"/>
        <v>2.411077547766738E-3</v>
      </c>
      <c r="BK80" s="213">
        <f t="shared" si="352"/>
        <v>3.8236879405634998E-4</v>
      </c>
      <c r="BL80" s="213">
        <f t="shared" si="353"/>
        <v>2.8349378012200032E-4</v>
      </c>
      <c r="BM80" s="213">
        <f t="shared" si="362"/>
        <v>1.2099496122718044E-2</v>
      </c>
      <c r="BN80" s="213">
        <f t="shared" si="354"/>
        <v>2.4633206883100138E-4</v>
      </c>
      <c r="BO80" s="217">
        <v>0</v>
      </c>
      <c r="BP80" s="213">
        <f t="shared" si="355"/>
        <v>6.2092680067342497E-2</v>
      </c>
      <c r="BQ80" s="213">
        <f t="shared" si="356"/>
        <v>0</v>
      </c>
      <c r="BR80" s="213">
        <f t="shared" si="357"/>
        <v>1</v>
      </c>
      <c r="BS80" s="232">
        <f t="shared" si="358"/>
        <v>93.701540304075067</v>
      </c>
      <c r="BT80" s="215" t="str">
        <f t="shared" si="359"/>
        <v xml:space="preserve">R7H1EA02 </v>
      </c>
      <c r="BU80" s="269">
        <f t="shared" si="363"/>
        <v>9.2951215026252764E-3</v>
      </c>
    </row>
    <row r="81" spans="1:73" s="215" customFormat="1" x14ac:dyDescent="0.2">
      <c r="A81" s="72" t="s">
        <v>130</v>
      </c>
      <c r="B81" s="228">
        <v>28</v>
      </c>
      <c r="C81" s="228">
        <v>78</v>
      </c>
      <c r="D81" s="229">
        <f t="shared" si="132"/>
        <v>53</v>
      </c>
      <c r="E81" s="175">
        <v>9.26</v>
      </c>
      <c r="F81" s="175">
        <v>2.06</v>
      </c>
      <c r="G81" s="175">
        <v>27.41</v>
      </c>
      <c r="H81" s="175">
        <v>0.21160000000000001</v>
      </c>
      <c r="I81" s="174">
        <v>1.84E-2</v>
      </c>
      <c r="J81" s="175">
        <v>0</v>
      </c>
      <c r="K81" s="175">
        <v>0</v>
      </c>
      <c r="L81" s="175">
        <v>0</v>
      </c>
      <c r="M81" s="175">
        <v>0</v>
      </c>
      <c r="N81" s="175">
        <v>11.8</v>
      </c>
      <c r="O81" s="175">
        <v>2.09</v>
      </c>
      <c r="P81" s="175">
        <v>0</v>
      </c>
      <c r="Q81" s="175">
        <v>23.36</v>
      </c>
      <c r="R81" s="175">
        <v>16.350000000000001</v>
      </c>
      <c r="S81" s="175">
        <v>0.2</v>
      </c>
      <c r="T81" s="175">
        <v>0</v>
      </c>
      <c r="U81" s="175">
        <v>1.02</v>
      </c>
      <c r="V81" s="175">
        <v>6.25</v>
      </c>
      <c r="W81" s="175">
        <v>0</v>
      </c>
      <c r="X81" s="175">
        <v>0</v>
      </c>
      <c r="Y81" s="175">
        <v>0</v>
      </c>
      <c r="Z81" s="175">
        <v>0</v>
      </c>
      <c r="AA81" s="175">
        <v>0</v>
      </c>
      <c r="AB81" s="175">
        <v>0</v>
      </c>
      <c r="AC81" s="175">
        <v>0</v>
      </c>
      <c r="AD81" s="175">
        <v>0</v>
      </c>
      <c r="AE81" s="230">
        <f t="shared" si="147"/>
        <v>100.03</v>
      </c>
      <c r="AF81" s="213">
        <f t="shared" si="324"/>
        <v>0.3089843309660692</v>
      </c>
      <c r="AG81" s="213">
        <f t="shared" si="325"/>
        <v>2.3853004170893925E-3</v>
      </c>
      <c r="AH81" s="213">
        <f t="shared" si="326"/>
        <v>2.0741742757299063E-4</v>
      </c>
      <c r="AI81" s="213">
        <f t="shared" si="327"/>
        <v>0</v>
      </c>
      <c r="AJ81" s="213">
        <f t="shared" si="328"/>
        <v>0</v>
      </c>
      <c r="AK81" s="213">
        <f t="shared" si="329"/>
        <v>0</v>
      </c>
      <c r="AL81" s="213">
        <f t="shared" si="330"/>
        <v>0</v>
      </c>
      <c r="AM81" s="213">
        <f t="shared" si="331"/>
        <v>0.13301769811746139</v>
      </c>
      <c r="AN81" s="213">
        <f t="shared" si="332"/>
        <v>2.355991432758426E-2</v>
      </c>
      <c r="AO81" s="213">
        <f t="shared" si="333"/>
        <v>0</v>
      </c>
      <c r="AP81" s="213">
        <f t="shared" si="334"/>
        <v>0.26332995152744898</v>
      </c>
      <c r="AQ81" s="213">
        <f t="shared" si="335"/>
        <v>0.18430842069665201</v>
      </c>
      <c r="AR81" s="213">
        <f t="shared" si="336"/>
        <v>2.2545372562281589E-3</v>
      </c>
      <c r="AS81" s="213">
        <f t="shared" si="337"/>
        <v>0</v>
      </c>
      <c r="AT81" s="213">
        <f t="shared" si="338"/>
        <v>1.1498140006763611E-2</v>
      </c>
      <c r="AU81" s="213">
        <f t="shared" si="339"/>
        <v>7.0454289257129973E-2</v>
      </c>
      <c r="AV81" s="213">
        <f t="shared" si="340"/>
        <v>0</v>
      </c>
      <c r="AW81" s="213">
        <f t="shared" si="341"/>
        <v>0</v>
      </c>
      <c r="AX81" s="213">
        <f t="shared" si="342"/>
        <v>0</v>
      </c>
      <c r="AY81" s="213">
        <f t="shared" si="343"/>
        <v>0</v>
      </c>
      <c r="AZ81" s="213">
        <f t="shared" si="344"/>
        <v>0</v>
      </c>
      <c r="BA81" s="213">
        <f t="shared" si="345"/>
        <v>0</v>
      </c>
      <c r="BB81" s="213">
        <f t="shared" si="346"/>
        <v>0</v>
      </c>
      <c r="BC81" s="213">
        <f t="shared" si="347"/>
        <v>0</v>
      </c>
      <c r="BD81" s="231">
        <f t="shared" si="348"/>
        <v>0.99999999999999989</v>
      </c>
      <c r="BE81" s="213">
        <f t="shared" si="360"/>
        <v>0.56046329303637255</v>
      </c>
      <c r="BF81" s="213">
        <f t="shared" si="361"/>
        <v>0.21901605333243829</v>
      </c>
      <c r="BG81" s="213">
        <f t="shared" si="349"/>
        <v>0.11533981419338875</v>
      </c>
      <c r="BH81" s="213">
        <f t="shared" si="350"/>
        <v>4.9511794957736105E-3</v>
      </c>
      <c r="BI81" s="217">
        <v>0</v>
      </c>
      <c r="BJ81" s="213">
        <f t="shared" si="351"/>
        <v>2.4250141483708361E-3</v>
      </c>
      <c r="BK81" s="213">
        <f t="shared" si="352"/>
        <v>3.6486142912956374E-5</v>
      </c>
      <c r="BL81" s="213">
        <f t="shared" si="353"/>
        <v>2.4521672759649714E-5</v>
      </c>
      <c r="BM81" s="213">
        <f t="shared" si="362"/>
        <v>9.2990882996537693E-3</v>
      </c>
      <c r="BN81" s="213">
        <f t="shared" si="354"/>
        <v>2.4827584572404278E-4</v>
      </c>
      <c r="BO81" s="217">
        <v>0</v>
      </c>
      <c r="BP81" s="213">
        <f t="shared" si="355"/>
        <v>8.8196273832605476E-2</v>
      </c>
      <c r="BQ81" s="213">
        <f t="shared" si="356"/>
        <v>0</v>
      </c>
      <c r="BR81" s="213">
        <f t="shared" si="357"/>
        <v>1</v>
      </c>
      <c r="BS81" s="232">
        <f t="shared" si="358"/>
        <v>95.901456374511966</v>
      </c>
      <c r="BT81" s="215" t="str">
        <f t="shared" si="359"/>
        <v xml:space="preserve">R7H1EA03 </v>
      </c>
      <c r="BU81" s="269">
        <f t="shared" si="363"/>
        <v>0.12073659984378199</v>
      </c>
    </row>
    <row r="82" spans="1:73" s="215" customFormat="1" x14ac:dyDescent="0.2">
      <c r="A82" s="72" t="s">
        <v>131</v>
      </c>
      <c r="B82" s="228">
        <v>78</v>
      </c>
      <c r="C82" s="228">
        <v>110</v>
      </c>
      <c r="D82" s="229">
        <f t="shared" si="132"/>
        <v>94</v>
      </c>
      <c r="E82" s="175">
        <v>8.2799999999999994</v>
      </c>
      <c r="F82" s="175">
        <v>1.82</v>
      </c>
      <c r="G82" s="175">
        <v>24.26</v>
      </c>
      <c r="H82" s="175">
        <v>0.1012</v>
      </c>
      <c r="I82" s="174">
        <v>8.8000000000000005E-3</v>
      </c>
      <c r="J82" s="175">
        <v>0</v>
      </c>
      <c r="K82" s="175">
        <v>0</v>
      </c>
      <c r="L82" s="175">
        <v>0</v>
      </c>
      <c r="M82" s="175">
        <v>0</v>
      </c>
      <c r="N82" s="175">
        <v>8.1</v>
      </c>
      <c r="O82" s="175">
        <v>1.6</v>
      </c>
      <c r="P82" s="175">
        <v>0</v>
      </c>
      <c r="Q82" s="175">
        <v>26.39</v>
      </c>
      <c r="R82" s="175">
        <v>13.89</v>
      </c>
      <c r="S82" s="175">
        <v>0.18</v>
      </c>
      <c r="T82" s="175">
        <v>0</v>
      </c>
      <c r="U82" s="175">
        <v>12.07</v>
      </c>
      <c r="V82" s="175">
        <v>3.3</v>
      </c>
      <c r="W82" s="175">
        <v>0</v>
      </c>
      <c r="X82" s="175">
        <v>0</v>
      </c>
      <c r="Y82" s="175">
        <v>0</v>
      </c>
      <c r="Z82" s="175">
        <v>0</v>
      </c>
      <c r="AA82" s="175">
        <v>0</v>
      </c>
      <c r="AB82" s="175">
        <v>0</v>
      </c>
      <c r="AC82" s="175">
        <v>0</v>
      </c>
      <c r="AD82" s="175">
        <v>0</v>
      </c>
      <c r="AE82" s="230">
        <f t="shared" si="147"/>
        <v>100.00000000000001</v>
      </c>
      <c r="AF82" s="213">
        <f t="shared" si="324"/>
        <v>0.26985539488320359</v>
      </c>
      <c r="AG82" s="213">
        <f t="shared" si="325"/>
        <v>1.1256952169076753E-3</v>
      </c>
      <c r="AH82" s="213">
        <f t="shared" si="326"/>
        <v>9.7886540600667426E-5</v>
      </c>
      <c r="AI82" s="213">
        <f t="shared" si="327"/>
        <v>0</v>
      </c>
      <c r="AJ82" s="213">
        <f t="shared" si="328"/>
        <v>0</v>
      </c>
      <c r="AK82" s="213">
        <f t="shared" si="329"/>
        <v>0</v>
      </c>
      <c r="AL82" s="213">
        <f t="shared" si="330"/>
        <v>0</v>
      </c>
      <c r="AM82" s="213">
        <f t="shared" si="331"/>
        <v>9.0100111234705238E-2</v>
      </c>
      <c r="AN82" s="213">
        <f t="shared" si="332"/>
        <v>1.7797552836484987E-2</v>
      </c>
      <c r="AO82" s="213">
        <f t="shared" si="333"/>
        <v>0</v>
      </c>
      <c r="AP82" s="213">
        <f t="shared" si="334"/>
        <v>0.29354838709677422</v>
      </c>
      <c r="AQ82" s="213">
        <f t="shared" si="335"/>
        <v>0.15450500556173527</v>
      </c>
      <c r="AR82" s="213">
        <f t="shared" si="336"/>
        <v>2.0022246941045607E-3</v>
      </c>
      <c r="AS82" s="213">
        <f t="shared" si="337"/>
        <v>0</v>
      </c>
      <c r="AT82" s="213">
        <f t="shared" si="338"/>
        <v>0.13426028921023361</v>
      </c>
      <c r="AU82" s="213">
        <f t="shared" si="339"/>
        <v>3.6707452725250278E-2</v>
      </c>
      <c r="AV82" s="213">
        <f t="shared" si="340"/>
        <v>0</v>
      </c>
      <c r="AW82" s="213">
        <f t="shared" si="341"/>
        <v>0</v>
      </c>
      <c r="AX82" s="213">
        <f t="shared" si="342"/>
        <v>0</v>
      </c>
      <c r="AY82" s="213">
        <f t="shared" si="343"/>
        <v>0</v>
      </c>
      <c r="AZ82" s="213">
        <f t="shared" si="344"/>
        <v>0</v>
      </c>
      <c r="BA82" s="213">
        <f t="shared" si="345"/>
        <v>0</v>
      </c>
      <c r="BB82" s="213">
        <f t="shared" si="346"/>
        <v>0</v>
      </c>
      <c r="BC82" s="213">
        <f t="shared" si="347"/>
        <v>0</v>
      </c>
      <c r="BD82" s="231">
        <f t="shared" si="348"/>
        <v>1.0000000000000002</v>
      </c>
      <c r="BE82" s="213">
        <f t="shared" si="360"/>
        <v>0.55367886034630509</v>
      </c>
      <c r="BF82" s="213">
        <f t="shared" si="361"/>
        <v>0.23488437657595046</v>
      </c>
      <c r="BG82" s="213">
        <f t="shared" si="349"/>
        <v>7.9916377751921133E-2</v>
      </c>
      <c r="BH82" s="213">
        <f t="shared" si="350"/>
        <v>2.2538761813992364E-2</v>
      </c>
      <c r="BI82" s="217">
        <v>0</v>
      </c>
      <c r="BJ82" s="213">
        <f t="shared" si="351"/>
        <v>8.3889526135226041E-3</v>
      </c>
      <c r="BK82" s="213">
        <f t="shared" si="352"/>
        <v>2.0330716387624941E-4</v>
      </c>
      <c r="BL82" s="213">
        <f t="shared" si="353"/>
        <v>1.1572517045796679E-5</v>
      </c>
      <c r="BM82" s="213">
        <f t="shared" si="362"/>
        <v>1.1832301795078147E-2</v>
      </c>
      <c r="BN82" s="213">
        <f t="shared" si="354"/>
        <v>2.8990416564085436E-3</v>
      </c>
      <c r="BO82" s="217">
        <v>0</v>
      </c>
      <c r="BP82" s="213">
        <f t="shared" si="355"/>
        <v>8.5646447765899719E-2</v>
      </c>
      <c r="BQ82" s="213">
        <f t="shared" si="356"/>
        <v>0</v>
      </c>
      <c r="BR82" s="213">
        <f t="shared" si="357"/>
        <v>1</v>
      </c>
      <c r="BS82" s="232">
        <f t="shared" si="358"/>
        <v>95.121246724784498</v>
      </c>
      <c r="BT82" s="215" t="str">
        <f t="shared" si="359"/>
        <v xml:space="preserve">R7H1EA04 </v>
      </c>
      <c r="BU82" s="269">
        <f t="shared" si="363"/>
        <v>0.10448362812917281</v>
      </c>
    </row>
    <row r="83" spans="1:73" s="215" customFormat="1" x14ac:dyDescent="0.2">
      <c r="A83" s="72" t="s">
        <v>132</v>
      </c>
      <c r="B83" s="228">
        <v>110</v>
      </c>
      <c r="C83" s="228">
        <v>148</v>
      </c>
      <c r="D83" s="229">
        <f t="shared" si="132"/>
        <v>129</v>
      </c>
      <c r="E83" s="175">
        <v>9.9700000000000006</v>
      </c>
      <c r="F83" s="175">
        <v>1.18</v>
      </c>
      <c r="G83" s="175">
        <v>26.75</v>
      </c>
      <c r="H83" s="175">
        <v>0</v>
      </c>
      <c r="I83" s="174">
        <v>0</v>
      </c>
      <c r="J83" s="175">
        <v>0</v>
      </c>
      <c r="K83" s="175">
        <v>0</v>
      </c>
      <c r="L83" s="175">
        <v>0</v>
      </c>
      <c r="M83" s="175">
        <v>0</v>
      </c>
      <c r="N83" s="175">
        <v>8.02</v>
      </c>
      <c r="O83" s="175">
        <v>2.81</v>
      </c>
      <c r="P83" s="175">
        <v>0</v>
      </c>
      <c r="Q83" s="175">
        <v>24.87</v>
      </c>
      <c r="R83" s="175">
        <v>14.98</v>
      </c>
      <c r="S83" s="175">
        <v>0</v>
      </c>
      <c r="T83" s="175">
        <v>0</v>
      </c>
      <c r="U83" s="175">
        <v>6.94</v>
      </c>
      <c r="V83" s="175">
        <v>4.2300000000000004</v>
      </c>
      <c r="W83" s="175">
        <v>0</v>
      </c>
      <c r="X83" s="175">
        <v>0</v>
      </c>
      <c r="Y83" s="175">
        <v>0</v>
      </c>
      <c r="Z83" s="175">
        <v>0</v>
      </c>
      <c r="AA83" s="175">
        <v>0</v>
      </c>
      <c r="AB83" s="175">
        <v>0</v>
      </c>
      <c r="AC83" s="175">
        <v>0</v>
      </c>
      <c r="AD83" s="175">
        <v>0</v>
      </c>
      <c r="AE83" s="230">
        <f t="shared" si="147"/>
        <v>99.750000000000014</v>
      </c>
      <c r="AF83" s="213">
        <f t="shared" si="324"/>
        <v>0.3019187358916478</v>
      </c>
      <c r="AG83" s="213">
        <f t="shared" si="325"/>
        <v>0</v>
      </c>
      <c r="AH83" s="213">
        <f t="shared" si="326"/>
        <v>0</v>
      </c>
      <c r="AI83" s="213">
        <f t="shared" si="327"/>
        <v>0</v>
      </c>
      <c r="AJ83" s="213">
        <f t="shared" si="328"/>
        <v>0</v>
      </c>
      <c r="AK83" s="213">
        <f t="shared" si="329"/>
        <v>0</v>
      </c>
      <c r="AL83" s="213">
        <f t="shared" si="330"/>
        <v>0</v>
      </c>
      <c r="AM83" s="213">
        <f t="shared" si="331"/>
        <v>9.0519187358916467E-2</v>
      </c>
      <c r="AN83" s="213">
        <f t="shared" si="332"/>
        <v>3.1715575620767489E-2</v>
      </c>
      <c r="AO83" s="213">
        <f t="shared" si="333"/>
        <v>0</v>
      </c>
      <c r="AP83" s="213">
        <f t="shared" si="334"/>
        <v>0.28069977426636566</v>
      </c>
      <c r="AQ83" s="213">
        <f t="shared" si="335"/>
        <v>0.16907449209932279</v>
      </c>
      <c r="AR83" s="213">
        <f t="shared" si="336"/>
        <v>0</v>
      </c>
      <c r="AS83" s="213">
        <f t="shared" si="337"/>
        <v>0</v>
      </c>
      <c r="AT83" s="213">
        <f t="shared" si="338"/>
        <v>7.83295711060948E-2</v>
      </c>
      <c r="AU83" s="213">
        <f t="shared" si="339"/>
        <v>4.7742663656884878E-2</v>
      </c>
      <c r="AV83" s="213">
        <f t="shared" si="340"/>
        <v>0</v>
      </c>
      <c r="AW83" s="213">
        <f t="shared" si="341"/>
        <v>0</v>
      </c>
      <c r="AX83" s="213">
        <f t="shared" si="342"/>
        <v>0</v>
      </c>
      <c r="AY83" s="213">
        <f t="shared" si="343"/>
        <v>0</v>
      </c>
      <c r="AZ83" s="213">
        <f t="shared" si="344"/>
        <v>0</v>
      </c>
      <c r="BA83" s="213">
        <f t="shared" si="345"/>
        <v>0</v>
      </c>
      <c r="BB83" s="213">
        <f t="shared" si="346"/>
        <v>0</v>
      </c>
      <c r="BC83" s="213">
        <f t="shared" si="347"/>
        <v>0</v>
      </c>
      <c r="BD83" s="231">
        <f t="shared" si="348"/>
        <v>0.99999999999999989</v>
      </c>
      <c r="BE83" s="213">
        <f t="shared" si="360"/>
        <v>0.56760027831218285</v>
      </c>
      <c r="BF83" s="213">
        <f t="shared" si="361"/>
        <v>0.23238422910978809</v>
      </c>
      <c r="BG83" s="213">
        <f t="shared" si="349"/>
        <v>7.9990746023086895E-2</v>
      </c>
      <c r="BH83" s="213">
        <f t="shared" si="350"/>
        <v>1.4331040108402877E-2</v>
      </c>
      <c r="BI83" s="217">
        <v>0</v>
      </c>
      <c r="BJ83" s="213">
        <f t="shared" si="351"/>
        <v>5.5291135308088088E-3</v>
      </c>
      <c r="BK83" s="213">
        <f t="shared" si="352"/>
        <v>1.0791595983251363E-4</v>
      </c>
      <c r="BL83" s="213">
        <f t="shared" si="353"/>
        <v>0</v>
      </c>
      <c r="BM83" s="213">
        <f t="shared" si="362"/>
        <v>9.8031162747975985E-3</v>
      </c>
      <c r="BN83" s="213">
        <f t="shared" si="354"/>
        <v>1.6913466439030674E-3</v>
      </c>
      <c r="BO83" s="217">
        <v>0</v>
      </c>
      <c r="BP83" s="213">
        <f t="shared" si="355"/>
        <v>8.856221403719719E-2</v>
      </c>
      <c r="BQ83" s="213">
        <f t="shared" si="356"/>
        <v>0</v>
      </c>
      <c r="BR83" s="213">
        <f t="shared" si="357"/>
        <v>0.99999999999999978</v>
      </c>
      <c r="BS83" s="232">
        <f t="shared" si="358"/>
        <v>95.909522877320427</v>
      </c>
      <c r="BT83" s="215" t="str">
        <f t="shared" si="359"/>
        <v xml:space="preserve">R7H1EA05 </v>
      </c>
      <c r="BU83" s="269">
        <f t="shared" si="363"/>
        <v>9.5611579741246039E-2</v>
      </c>
    </row>
    <row r="84" spans="1:73" s="215" customFormat="1" x14ac:dyDescent="0.2">
      <c r="A84" s="72" t="s">
        <v>133</v>
      </c>
      <c r="B84" s="228">
        <v>148</v>
      </c>
      <c r="C84" s="228">
        <v>200</v>
      </c>
      <c r="D84" s="229">
        <f t="shared" si="132"/>
        <v>174</v>
      </c>
      <c r="E84" s="175">
        <v>9.85</v>
      </c>
      <c r="F84" s="175">
        <v>0.61</v>
      </c>
      <c r="G84" s="175">
        <v>30.08</v>
      </c>
      <c r="H84" s="175">
        <v>1.84E-2</v>
      </c>
      <c r="I84" s="174">
        <v>1.6000000000000001E-3</v>
      </c>
      <c r="J84" s="175">
        <v>0</v>
      </c>
      <c r="K84" s="175">
        <v>0</v>
      </c>
      <c r="L84" s="175">
        <v>0</v>
      </c>
      <c r="M84" s="175">
        <v>0</v>
      </c>
      <c r="N84" s="175">
        <v>8.86</v>
      </c>
      <c r="O84" s="175">
        <v>1.76</v>
      </c>
      <c r="P84" s="175">
        <v>0</v>
      </c>
      <c r="Q84" s="175">
        <v>26.84</v>
      </c>
      <c r="R84" s="175">
        <v>15.76</v>
      </c>
      <c r="S84" s="175">
        <v>0.18</v>
      </c>
      <c r="T84" s="175">
        <v>0</v>
      </c>
      <c r="U84" s="175">
        <v>1.49</v>
      </c>
      <c r="V84" s="175">
        <v>4.53</v>
      </c>
      <c r="W84" s="175">
        <v>0</v>
      </c>
      <c r="X84" s="175">
        <v>0</v>
      </c>
      <c r="Y84" s="175">
        <v>0</v>
      </c>
      <c r="Z84" s="175">
        <v>0</v>
      </c>
      <c r="AA84" s="175">
        <v>0</v>
      </c>
      <c r="AB84" s="175">
        <v>0</v>
      </c>
      <c r="AC84" s="175">
        <v>0</v>
      </c>
      <c r="AD84" s="175">
        <v>0</v>
      </c>
      <c r="AE84" s="230">
        <f t="shared" si="147"/>
        <v>99.98</v>
      </c>
      <c r="AF84" s="213">
        <f t="shared" si="324"/>
        <v>0.3360142984807864</v>
      </c>
      <c r="AG84" s="213">
        <f t="shared" si="325"/>
        <v>2.0554066130473638E-4</v>
      </c>
      <c r="AH84" s="213">
        <f t="shared" si="326"/>
        <v>1.7873100983020557E-5</v>
      </c>
      <c r="AI84" s="213">
        <f t="shared" si="327"/>
        <v>0</v>
      </c>
      <c r="AJ84" s="213">
        <f t="shared" si="328"/>
        <v>0</v>
      </c>
      <c r="AK84" s="213">
        <f t="shared" si="329"/>
        <v>0</v>
      </c>
      <c r="AL84" s="213">
        <f t="shared" si="330"/>
        <v>0</v>
      </c>
      <c r="AM84" s="213">
        <f t="shared" si="331"/>
        <v>9.8972296693476319E-2</v>
      </c>
      <c r="AN84" s="213">
        <f t="shared" si="332"/>
        <v>1.9660411081322611E-2</v>
      </c>
      <c r="AO84" s="213">
        <f t="shared" si="333"/>
        <v>0</v>
      </c>
      <c r="AP84" s="213">
        <f t="shared" si="334"/>
        <v>0.29982126899016981</v>
      </c>
      <c r="AQ84" s="213">
        <f t="shared" si="335"/>
        <v>0.17605004468275245</v>
      </c>
      <c r="AR84" s="213">
        <f t="shared" si="336"/>
        <v>2.0107238605898124E-3</v>
      </c>
      <c r="AS84" s="213">
        <f t="shared" si="337"/>
        <v>0</v>
      </c>
      <c r="AT84" s="213">
        <f t="shared" si="338"/>
        <v>1.664432529043789E-2</v>
      </c>
      <c r="AU84" s="213">
        <f t="shared" si="339"/>
        <v>5.060321715817695E-2</v>
      </c>
      <c r="AV84" s="213">
        <f t="shared" si="340"/>
        <v>0</v>
      </c>
      <c r="AW84" s="213">
        <f t="shared" si="341"/>
        <v>0</v>
      </c>
      <c r="AX84" s="213">
        <f t="shared" si="342"/>
        <v>0</v>
      </c>
      <c r="AY84" s="213">
        <f t="shared" si="343"/>
        <v>0</v>
      </c>
      <c r="AZ84" s="213">
        <f t="shared" si="344"/>
        <v>0</v>
      </c>
      <c r="BA84" s="213">
        <f t="shared" si="345"/>
        <v>0</v>
      </c>
      <c r="BB84" s="213">
        <f t="shared" si="346"/>
        <v>0</v>
      </c>
      <c r="BC84" s="213">
        <f t="shared" si="347"/>
        <v>0</v>
      </c>
      <c r="BD84" s="231">
        <f t="shared" si="348"/>
        <v>0.99999999999999989</v>
      </c>
      <c r="BE84" s="213">
        <f t="shared" si="360"/>
        <v>0.59073615568160787</v>
      </c>
      <c r="BF84" s="213">
        <f t="shared" si="361"/>
        <v>0.22094915942474247</v>
      </c>
      <c r="BG84" s="213">
        <f t="shared" si="349"/>
        <v>8.7430216636705693E-2</v>
      </c>
      <c r="BH84" s="213">
        <f t="shared" si="350"/>
        <v>4.8610125493336268E-3</v>
      </c>
      <c r="BI84" s="217">
        <v>0</v>
      </c>
      <c r="BJ84" s="213">
        <f t="shared" si="351"/>
        <v>2.2131391938456043E-3</v>
      </c>
      <c r="BK84" s="213">
        <f t="shared" si="352"/>
        <v>4.1343511262588655E-5</v>
      </c>
      <c r="BL84" s="213">
        <f t="shared" si="353"/>
        <v>2.1130255959402092E-6</v>
      </c>
      <c r="BM84" s="213">
        <f t="shared" si="362"/>
        <v>6.8952231585448047E-3</v>
      </c>
      <c r="BN84" s="213">
        <f t="shared" si="354"/>
        <v>3.5939586190103149E-4</v>
      </c>
      <c r="BO84" s="217">
        <v>0</v>
      </c>
      <c r="BP84" s="213">
        <f t="shared" si="355"/>
        <v>8.6512240956460346E-2</v>
      </c>
      <c r="BQ84" s="213">
        <f t="shared" si="356"/>
        <v>0</v>
      </c>
      <c r="BR84" s="213">
        <f t="shared" si="357"/>
        <v>1</v>
      </c>
      <c r="BS84" s="232">
        <f t="shared" si="358"/>
        <v>96.955221602788058</v>
      </c>
      <c r="BT84" s="215" t="str">
        <f t="shared" si="359"/>
        <v xml:space="preserve">R7H1EA06 </v>
      </c>
      <c r="BU84" s="269">
        <f t="shared" si="363"/>
        <v>9.2728720315479352E-2</v>
      </c>
    </row>
    <row r="85" spans="1:73" s="215" customFormat="1" x14ac:dyDescent="0.2">
      <c r="A85" s="72" t="s">
        <v>134</v>
      </c>
      <c r="B85" s="228">
        <v>210</v>
      </c>
      <c r="C85" s="228">
        <v>300</v>
      </c>
      <c r="D85" s="229">
        <f t="shared" si="132"/>
        <v>255</v>
      </c>
      <c r="E85" s="175">
        <v>9.86</v>
      </c>
      <c r="F85" s="175">
        <v>0.03</v>
      </c>
      <c r="G85" s="175">
        <v>34.57</v>
      </c>
      <c r="H85" s="175">
        <v>0</v>
      </c>
      <c r="I85" s="175">
        <v>0</v>
      </c>
      <c r="J85" s="175">
        <v>0</v>
      </c>
      <c r="K85" s="175">
        <v>0</v>
      </c>
      <c r="L85" s="175">
        <v>0</v>
      </c>
      <c r="M85" s="175">
        <v>0</v>
      </c>
      <c r="N85" s="175">
        <v>6.16</v>
      </c>
      <c r="O85" s="175">
        <v>1.36</v>
      </c>
      <c r="P85" s="175">
        <v>0</v>
      </c>
      <c r="Q85" s="175">
        <v>25.85</v>
      </c>
      <c r="R85" s="175">
        <v>15.91</v>
      </c>
      <c r="S85" s="175">
        <v>0.14000000000000001</v>
      </c>
      <c r="T85" s="175">
        <v>0</v>
      </c>
      <c r="U85" s="175">
        <v>0.69</v>
      </c>
      <c r="V85" s="175">
        <v>5.44</v>
      </c>
      <c r="W85" s="175">
        <v>0</v>
      </c>
      <c r="X85" s="175">
        <v>0</v>
      </c>
      <c r="Y85" s="175">
        <v>0</v>
      </c>
      <c r="Z85" s="175">
        <v>0</v>
      </c>
      <c r="AA85" s="175">
        <v>0</v>
      </c>
      <c r="AB85" s="175">
        <v>0</v>
      </c>
      <c r="AC85" s="175">
        <v>0</v>
      </c>
      <c r="AD85" s="175">
        <v>0</v>
      </c>
      <c r="AE85" s="230">
        <f t="shared" si="147"/>
        <v>100.01</v>
      </c>
      <c r="AF85" s="213">
        <f t="shared" si="324"/>
        <v>0.38359964491788728</v>
      </c>
      <c r="AG85" s="213">
        <f t="shared" si="325"/>
        <v>0</v>
      </c>
      <c r="AH85" s="213">
        <f t="shared" si="326"/>
        <v>0</v>
      </c>
      <c r="AI85" s="213">
        <f t="shared" si="327"/>
        <v>0</v>
      </c>
      <c r="AJ85" s="213">
        <f t="shared" si="328"/>
        <v>0</v>
      </c>
      <c r="AK85" s="213">
        <f t="shared" si="329"/>
        <v>0</v>
      </c>
      <c r="AL85" s="213">
        <f t="shared" si="330"/>
        <v>0</v>
      </c>
      <c r="AM85" s="213">
        <f t="shared" si="331"/>
        <v>6.835330670217489E-2</v>
      </c>
      <c r="AN85" s="213">
        <f t="shared" si="332"/>
        <v>1.5090989791389262E-2</v>
      </c>
      <c r="AO85" s="213">
        <f t="shared" si="333"/>
        <v>0</v>
      </c>
      <c r="AP85" s="213">
        <f t="shared" si="334"/>
        <v>0.28683976919662679</v>
      </c>
      <c r="AQ85" s="213">
        <f t="shared" si="335"/>
        <v>0.17654238792720819</v>
      </c>
      <c r="AR85" s="213">
        <f t="shared" si="336"/>
        <v>1.5534842432312476E-3</v>
      </c>
      <c r="AS85" s="213">
        <f t="shared" si="337"/>
        <v>0</v>
      </c>
      <c r="AT85" s="213">
        <f t="shared" si="338"/>
        <v>7.6564580559254332E-3</v>
      </c>
      <c r="AU85" s="213">
        <f t="shared" si="339"/>
        <v>6.0363959165557049E-2</v>
      </c>
      <c r="AV85" s="213">
        <f t="shared" si="340"/>
        <v>0</v>
      </c>
      <c r="AW85" s="213">
        <f t="shared" si="341"/>
        <v>0</v>
      </c>
      <c r="AX85" s="213">
        <f t="shared" si="342"/>
        <v>0</v>
      </c>
      <c r="AY85" s="213">
        <f t="shared" si="343"/>
        <v>0</v>
      </c>
      <c r="AZ85" s="213">
        <f t="shared" si="344"/>
        <v>0</v>
      </c>
      <c r="BA85" s="213">
        <f t="shared" si="345"/>
        <v>0</v>
      </c>
      <c r="BB85" s="213">
        <f t="shared" si="346"/>
        <v>0</v>
      </c>
      <c r="BC85" s="213">
        <f t="shared" si="347"/>
        <v>0</v>
      </c>
      <c r="BD85" s="231">
        <f t="shared" si="348"/>
        <v>1.0000000000000002</v>
      </c>
      <c r="BE85" s="213">
        <f t="shared" si="360"/>
        <v>0.63356229106882622</v>
      </c>
      <c r="BF85" s="213">
        <f t="shared" si="361"/>
        <v>0.21131484371156281</v>
      </c>
      <c r="BG85" s="213">
        <f t="shared" si="349"/>
        <v>6.1615635857360893E-2</v>
      </c>
      <c r="BH85" s="213">
        <f t="shared" si="350"/>
        <v>3.9005416067413763E-3</v>
      </c>
      <c r="BI85" s="217">
        <v>0</v>
      </c>
      <c r="BJ85" s="213">
        <f t="shared" si="351"/>
        <v>1.9497888944364752E-3</v>
      </c>
      <c r="BK85" s="213">
        <f t="shared" si="352"/>
        <v>2.4773799546945986E-5</v>
      </c>
      <c r="BL85" s="213">
        <f t="shared" si="353"/>
        <v>0</v>
      </c>
      <c r="BM85" s="213">
        <f t="shared" si="362"/>
        <v>7.487149269432068E-3</v>
      </c>
      <c r="BN85" s="213">
        <f t="shared" si="354"/>
        <v>1.6532357389694008E-4</v>
      </c>
      <c r="BO85" s="217">
        <v>0</v>
      </c>
      <c r="BP85" s="213">
        <f t="shared" si="355"/>
        <v>7.9979652218196362E-2</v>
      </c>
      <c r="BQ85" s="213">
        <f t="shared" si="356"/>
        <v>0</v>
      </c>
      <c r="BR85" s="213">
        <f t="shared" si="357"/>
        <v>1</v>
      </c>
      <c r="BS85" s="232">
        <f t="shared" si="358"/>
        <v>96.567182717408329</v>
      </c>
      <c r="BT85" s="215" t="str">
        <f t="shared" si="359"/>
        <v xml:space="preserve">R7H1EA07 </v>
      </c>
      <c r="BU85" s="269">
        <f t="shared" si="363"/>
        <v>6.5867226208708995E-2</v>
      </c>
    </row>
    <row r="86" spans="1:73" s="215" customFormat="1" x14ac:dyDescent="0.2">
      <c r="A86" s="72" t="s">
        <v>135</v>
      </c>
      <c r="B86" s="228">
        <v>300</v>
      </c>
      <c r="C86" s="228">
        <v>400</v>
      </c>
      <c r="D86" s="229">
        <f t="shared" si="132"/>
        <v>350</v>
      </c>
      <c r="E86" s="175">
        <v>8.4499999999999993</v>
      </c>
      <c r="F86" s="175">
        <v>0.23</v>
      </c>
      <c r="G86" s="175">
        <v>29.28</v>
      </c>
      <c r="H86" s="175">
        <v>0</v>
      </c>
      <c r="I86" s="175">
        <v>0</v>
      </c>
      <c r="J86" s="175">
        <v>0</v>
      </c>
      <c r="K86" s="175">
        <v>0</v>
      </c>
      <c r="L86" s="175">
        <v>0</v>
      </c>
      <c r="M86" s="175">
        <v>0</v>
      </c>
      <c r="N86" s="175">
        <v>5.75</v>
      </c>
      <c r="O86" s="175">
        <v>2.21</v>
      </c>
      <c r="P86" s="175">
        <v>0</v>
      </c>
      <c r="Q86" s="175">
        <v>21.07</v>
      </c>
      <c r="R86" s="175">
        <v>13.53</v>
      </c>
      <c r="S86" s="175">
        <v>0</v>
      </c>
      <c r="T86" s="175">
        <v>0</v>
      </c>
      <c r="U86" s="175">
        <v>17.329999999999998</v>
      </c>
      <c r="V86" s="175">
        <v>2.14</v>
      </c>
      <c r="W86" s="175">
        <v>0</v>
      </c>
      <c r="X86" s="175">
        <v>0</v>
      </c>
      <c r="Y86" s="175">
        <v>0</v>
      </c>
      <c r="Z86" s="175">
        <v>0</v>
      </c>
      <c r="AA86" s="175">
        <v>0</v>
      </c>
      <c r="AB86" s="175">
        <v>0</v>
      </c>
      <c r="AC86" s="175">
        <v>0</v>
      </c>
      <c r="AD86" s="175">
        <v>0</v>
      </c>
      <c r="AE86" s="230">
        <f t="shared" si="147"/>
        <v>99.990000000000009</v>
      </c>
      <c r="AF86" s="213">
        <f t="shared" si="324"/>
        <v>0.32066586354178073</v>
      </c>
      <c r="AG86" s="213">
        <f t="shared" si="325"/>
        <v>0</v>
      </c>
      <c r="AH86" s="213">
        <f t="shared" si="326"/>
        <v>0</v>
      </c>
      <c r="AI86" s="213">
        <f t="shared" si="327"/>
        <v>0</v>
      </c>
      <c r="AJ86" s="213">
        <f t="shared" si="328"/>
        <v>0</v>
      </c>
      <c r="AK86" s="213">
        <f t="shared" si="329"/>
        <v>0</v>
      </c>
      <c r="AL86" s="213">
        <f t="shared" si="330"/>
        <v>0</v>
      </c>
      <c r="AM86" s="213">
        <f t="shared" si="331"/>
        <v>6.2972292191435769E-2</v>
      </c>
      <c r="AN86" s="213">
        <f t="shared" si="332"/>
        <v>2.4203263607490963E-2</v>
      </c>
      <c r="AO86" s="213">
        <f t="shared" si="333"/>
        <v>0</v>
      </c>
      <c r="AP86" s="213">
        <f t="shared" si="334"/>
        <v>0.23075238199540027</v>
      </c>
      <c r="AQ86" s="213">
        <f t="shared" si="335"/>
        <v>0.1481765414521958</v>
      </c>
      <c r="AR86" s="213">
        <f t="shared" si="336"/>
        <v>0</v>
      </c>
      <c r="AS86" s="213">
        <f t="shared" si="337"/>
        <v>0</v>
      </c>
      <c r="AT86" s="213">
        <f t="shared" si="338"/>
        <v>0.18979301281349248</v>
      </c>
      <c r="AU86" s="213">
        <f t="shared" si="339"/>
        <v>2.3436644398203921E-2</v>
      </c>
      <c r="AV86" s="213">
        <f t="shared" si="340"/>
        <v>0</v>
      </c>
      <c r="AW86" s="213">
        <f t="shared" si="341"/>
        <v>0</v>
      </c>
      <c r="AX86" s="213">
        <f t="shared" si="342"/>
        <v>0</v>
      </c>
      <c r="AY86" s="213">
        <f t="shared" si="343"/>
        <v>0</v>
      </c>
      <c r="AZ86" s="213">
        <f t="shared" si="344"/>
        <v>0</v>
      </c>
      <c r="BA86" s="213">
        <f t="shared" si="345"/>
        <v>0</v>
      </c>
      <c r="BB86" s="213">
        <f t="shared" si="346"/>
        <v>0</v>
      </c>
      <c r="BC86" s="213">
        <f t="shared" si="347"/>
        <v>0</v>
      </c>
      <c r="BD86" s="231">
        <f t="shared" si="348"/>
        <v>0.99999999999999989</v>
      </c>
      <c r="BE86" s="213">
        <f t="shared" si="360"/>
        <v>0.58695439608449618</v>
      </c>
      <c r="BF86" s="213">
        <f t="shared" si="361"/>
        <v>0.22067742906584856</v>
      </c>
      <c r="BG86" s="213">
        <f t="shared" si="349"/>
        <v>5.6193611349033182E-2</v>
      </c>
      <c r="BH86" s="213">
        <f t="shared" si="350"/>
        <v>3.0584219312297711E-2</v>
      </c>
      <c r="BI86" s="217">
        <v>0</v>
      </c>
      <c r="BJ86" s="213">
        <f t="shared" si="351"/>
        <v>1.1105302601197752E-2</v>
      </c>
      <c r="BK86" s="213">
        <f t="shared" si="352"/>
        <v>2.6148100721157816E-4</v>
      </c>
      <c r="BL86" s="213">
        <f t="shared" si="353"/>
        <v>0</v>
      </c>
      <c r="BM86" s="213">
        <f t="shared" si="362"/>
        <v>1.3041390884010524E-2</v>
      </c>
      <c r="BN86" s="213">
        <f t="shared" si="354"/>
        <v>4.0981428945086494E-3</v>
      </c>
      <c r="BO86" s="217">
        <v>0</v>
      </c>
      <c r="BP86" s="213">
        <f t="shared" si="355"/>
        <v>7.7084026801395894E-2</v>
      </c>
      <c r="BQ86" s="213">
        <f t="shared" si="356"/>
        <v>0</v>
      </c>
      <c r="BR86" s="213">
        <f t="shared" si="357"/>
        <v>1</v>
      </c>
      <c r="BS86" s="232">
        <f t="shared" si="358"/>
        <v>94.314533387294503</v>
      </c>
      <c r="BT86" s="215" t="str">
        <f t="shared" si="359"/>
        <v xml:space="preserve">R7H1EA08 </v>
      </c>
      <c r="BU86" s="269">
        <f t="shared" si="363"/>
        <v>8.9530410399437682E-2</v>
      </c>
    </row>
    <row r="87" spans="1:73" s="215" customFormat="1" x14ac:dyDescent="0.2">
      <c r="A87" s="72" t="s">
        <v>136</v>
      </c>
      <c r="B87" s="228">
        <v>400</v>
      </c>
      <c r="C87" s="228">
        <v>500</v>
      </c>
      <c r="D87" s="229">
        <f t="shared" si="132"/>
        <v>450</v>
      </c>
      <c r="E87" s="175">
        <v>9.09</v>
      </c>
      <c r="F87" s="175">
        <v>0.17</v>
      </c>
      <c r="G87" s="175">
        <v>31.19</v>
      </c>
      <c r="H87" s="175">
        <v>0</v>
      </c>
      <c r="I87" s="175">
        <v>0</v>
      </c>
      <c r="J87" s="175">
        <v>0</v>
      </c>
      <c r="K87" s="175">
        <v>0</v>
      </c>
      <c r="L87" s="175">
        <v>0</v>
      </c>
      <c r="M87" s="175">
        <v>0</v>
      </c>
      <c r="N87" s="175">
        <v>5.94</v>
      </c>
      <c r="O87" s="175">
        <v>4</v>
      </c>
      <c r="P87" s="175">
        <v>0</v>
      </c>
      <c r="Q87" s="175">
        <v>13.5</v>
      </c>
      <c r="R87" s="175">
        <v>13.15</v>
      </c>
      <c r="S87" s="175">
        <v>0</v>
      </c>
      <c r="T87" s="175">
        <v>0</v>
      </c>
      <c r="U87" s="175">
        <v>20.11</v>
      </c>
      <c r="V87" s="175">
        <v>2.86</v>
      </c>
      <c r="W87" s="175">
        <v>0</v>
      </c>
      <c r="X87" s="175">
        <v>0</v>
      </c>
      <c r="Y87" s="175">
        <v>0</v>
      </c>
      <c r="Z87" s="175">
        <v>0</v>
      </c>
      <c r="AA87" s="175">
        <v>0</v>
      </c>
      <c r="AB87" s="175">
        <v>0</v>
      </c>
      <c r="AC87" s="175">
        <v>0</v>
      </c>
      <c r="AD87" s="175">
        <v>0</v>
      </c>
      <c r="AE87" s="230">
        <f t="shared" si="147"/>
        <v>100.01</v>
      </c>
      <c r="AF87" s="213">
        <f t="shared" si="324"/>
        <v>0.34369146005509643</v>
      </c>
      <c r="AG87" s="213">
        <f t="shared" si="325"/>
        <v>0</v>
      </c>
      <c r="AH87" s="213">
        <f t="shared" si="326"/>
        <v>0</v>
      </c>
      <c r="AI87" s="213">
        <f t="shared" si="327"/>
        <v>0</v>
      </c>
      <c r="AJ87" s="213">
        <f t="shared" si="328"/>
        <v>0</v>
      </c>
      <c r="AK87" s="213">
        <f t="shared" si="329"/>
        <v>0</v>
      </c>
      <c r="AL87" s="213">
        <f t="shared" si="330"/>
        <v>0</v>
      </c>
      <c r="AM87" s="213">
        <f t="shared" si="331"/>
        <v>6.545454545454546E-2</v>
      </c>
      <c r="AN87" s="213">
        <f t="shared" si="332"/>
        <v>4.4077134986225897E-2</v>
      </c>
      <c r="AO87" s="213">
        <f t="shared" si="333"/>
        <v>0</v>
      </c>
      <c r="AP87" s="213">
        <f t="shared" si="334"/>
        <v>0.1487603305785124</v>
      </c>
      <c r="AQ87" s="213">
        <f t="shared" si="335"/>
        <v>0.14490358126721764</v>
      </c>
      <c r="AR87" s="213">
        <f t="shared" si="336"/>
        <v>0</v>
      </c>
      <c r="AS87" s="213">
        <f t="shared" si="337"/>
        <v>0</v>
      </c>
      <c r="AT87" s="213">
        <f t="shared" si="338"/>
        <v>0.22159779614325067</v>
      </c>
      <c r="AU87" s="213">
        <f t="shared" si="339"/>
        <v>3.1515151515151517E-2</v>
      </c>
      <c r="AV87" s="213">
        <f t="shared" si="340"/>
        <v>0</v>
      </c>
      <c r="AW87" s="213">
        <f t="shared" si="341"/>
        <v>0</v>
      </c>
      <c r="AX87" s="213">
        <f t="shared" si="342"/>
        <v>0</v>
      </c>
      <c r="AY87" s="213">
        <f t="shared" si="343"/>
        <v>0</v>
      </c>
      <c r="AZ87" s="213">
        <f t="shared" si="344"/>
        <v>0</v>
      </c>
      <c r="BA87" s="213">
        <f t="shared" si="345"/>
        <v>0</v>
      </c>
      <c r="BB87" s="213">
        <f t="shared" si="346"/>
        <v>0</v>
      </c>
      <c r="BC87" s="213">
        <f t="shared" si="347"/>
        <v>0</v>
      </c>
      <c r="BD87" s="231">
        <f t="shared" si="348"/>
        <v>1</v>
      </c>
      <c r="BE87" s="213">
        <f t="shared" si="360"/>
        <v>0.58783825464707362</v>
      </c>
      <c r="BF87" s="213">
        <f t="shared" si="361"/>
        <v>0.21123105101197717</v>
      </c>
      <c r="BG87" s="213">
        <f t="shared" si="349"/>
        <v>5.7007417707072364E-2</v>
      </c>
      <c r="BH87" s="213">
        <f t="shared" si="350"/>
        <v>3.5895708540038575E-2</v>
      </c>
      <c r="BI87" s="217">
        <v>0</v>
      </c>
      <c r="BJ87" s="213">
        <f t="shared" si="351"/>
        <v>1.3069418723875447E-2</v>
      </c>
      <c r="BK87" s="213">
        <f t="shared" si="352"/>
        <v>3.0529898900094767E-4</v>
      </c>
      <c r="BL87" s="213">
        <f t="shared" si="353"/>
        <v>0</v>
      </c>
      <c r="BM87" s="213">
        <f t="shared" si="362"/>
        <v>1.5708851356814449E-2</v>
      </c>
      <c r="BN87" s="213">
        <f t="shared" si="354"/>
        <v>4.7848939233377241E-3</v>
      </c>
      <c r="BO87" s="217">
        <v>0</v>
      </c>
      <c r="BP87" s="213">
        <f t="shared" si="355"/>
        <v>7.4159105100809822E-2</v>
      </c>
      <c r="BQ87" s="213">
        <f t="shared" si="356"/>
        <v>0</v>
      </c>
      <c r="BR87" s="213">
        <f t="shared" si="357"/>
        <v>1.0000000000000002</v>
      </c>
      <c r="BS87" s="232">
        <f t="shared" si="358"/>
        <v>92.952920347654995</v>
      </c>
      <c r="BT87" s="215" t="str">
        <f t="shared" si="359"/>
        <v xml:space="preserve">R7H1EA09 </v>
      </c>
      <c r="BU87" s="269">
        <f t="shared" si="363"/>
        <v>9.6133740015714411E-2</v>
      </c>
    </row>
    <row r="88" spans="1:73" s="215" customFormat="1" x14ac:dyDescent="0.2">
      <c r="A88" s="72" t="s">
        <v>137</v>
      </c>
      <c r="B88" s="228">
        <v>500</v>
      </c>
      <c r="C88" s="228">
        <v>600</v>
      </c>
      <c r="D88" s="229">
        <f t="shared" si="132"/>
        <v>550</v>
      </c>
      <c r="E88" s="175">
        <v>7.95</v>
      </c>
      <c r="F88" s="175">
        <v>0.17</v>
      </c>
      <c r="G88" s="175">
        <v>28.66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5.61</v>
      </c>
      <c r="O88" s="175">
        <v>3.98</v>
      </c>
      <c r="P88" s="175">
        <v>0</v>
      </c>
      <c r="Q88" s="175">
        <v>13.84</v>
      </c>
      <c r="R88" s="175">
        <v>17.55</v>
      </c>
      <c r="S88" s="175">
        <v>0</v>
      </c>
      <c r="T88" s="175">
        <v>0</v>
      </c>
      <c r="U88" s="175">
        <v>18.57</v>
      </c>
      <c r="V88" s="175">
        <v>3.67</v>
      </c>
      <c r="W88" s="175">
        <v>0</v>
      </c>
      <c r="X88" s="175">
        <v>0</v>
      </c>
      <c r="Y88" s="175">
        <v>0</v>
      </c>
      <c r="Z88" s="175">
        <v>0</v>
      </c>
      <c r="AA88" s="175">
        <v>0</v>
      </c>
      <c r="AB88" s="175">
        <v>0</v>
      </c>
      <c r="AC88" s="175">
        <v>0</v>
      </c>
      <c r="AD88" s="175">
        <v>0</v>
      </c>
      <c r="AE88" s="230">
        <f t="shared" si="147"/>
        <v>99.999999999999986</v>
      </c>
      <c r="AF88" s="213">
        <f t="shared" si="324"/>
        <v>0.31192860252503263</v>
      </c>
      <c r="AG88" s="213">
        <f t="shared" si="325"/>
        <v>0</v>
      </c>
      <c r="AH88" s="213">
        <f t="shared" si="326"/>
        <v>0</v>
      </c>
      <c r="AI88" s="213">
        <f t="shared" si="327"/>
        <v>0</v>
      </c>
      <c r="AJ88" s="213">
        <f t="shared" si="328"/>
        <v>0</v>
      </c>
      <c r="AK88" s="213">
        <f t="shared" si="329"/>
        <v>0</v>
      </c>
      <c r="AL88" s="213">
        <f t="shared" si="330"/>
        <v>0</v>
      </c>
      <c r="AM88" s="213">
        <f t="shared" si="331"/>
        <v>6.1057901610796689E-2</v>
      </c>
      <c r="AN88" s="213">
        <f t="shared" si="332"/>
        <v>4.3317370483239005E-2</v>
      </c>
      <c r="AO88" s="213">
        <f t="shared" si="333"/>
        <v>0</v>
      </c>
      <c r="AP88" s="213">
        <f t="shared" si="334"/>
        <v>0.15063125816282105</v>
      </c>
      <c r="AQ88" s="213">
        <f t="shared" si="335"/>
        <v>0.19101001306051371</v>
      </c>
      <c r="AR88" s="213">
        <f t="shared" si="336"/>
        <v>0</v>
      </c>
      <c r="AS88" s="213">
        <f t="shared" si="337"/>
        <v>0</v>
      </c>
      <c r="AT88" s="213">
        <f t="shared" si="338"/>
        <v>0.20211144971702219</v>
      </c>
      <c r="AU88" s="213">
        <f t="shared" si="339"/>
        <v>3.9943404440574655E-2</v>
      </c>
      <c r="AV88" s="213">
        <f t="shared" si="340"/>
        <v>0</v>
      </c>
      <c r="AW88" s="213">
        <f t="shared" si="341"/>
        <v>0</v>
      </c>
      <c r="AX88" s="213">
        <f t="shared" si="342"/>
        <v>0</v>
      </c>
      <c r="AY88" s="213">
        <f t="shared" si="343"/>
        <v>0</v>
      </c>
      <c r="AZ88" s="213">
        <f t="shared" si="344"/>
        <v>0</v>
      </c>
      <c r="BA88" s="213">
        <f t="shared" si="345"/>
        <v>0</v>
      </c>
      <c r="BB88" s="213">
        <f t="shared" si="346"/>
        <v>0</v>
      </c>
      <c r="BC88" s="213">
        <f t="shared" si="347"/>
        <v>0</v>
      </c>
      <c r="BD88" s="231">
        <f t="shared" si="348"/>
        <v>1</v>
      </c>
      <c r="BE88" s="213">
        <f t="shared" si="360"/>
        <v>0.57471601934354843</v>
      </c>
      <c r="BF88" s="213">
        <f t="shared" si="361"/>
        <v>0.22657335556874492</v>
      </c>
      <c r="BG88" s="213">
        <f t="shared" si="349"/>
        <v>5.3360673610203795E-2</v>
      </c>
      <c r="BH88" s="213">
        <f t="shared" si="350"/>
        <v>3.3241839470315178E-2</v>
      </c>
      <c r="BI88" s="217">
        <v>0</v>
      </c>
      <c r="BJ88" s="213">
        <f t="shared" si="351"/>
        <v>1.2198399920011063E-2</v>
      </c>
      <c r="BK88" s="213">
        <f t="shared" si="352"/>
        <v>2.7845232370557623E-4</v>
      </c>
      <c r="BL88" s="213">
        <f t="shared" si="353"/>
        <v>0</v>
      </c>
      <c r="BM88" s="213">
        <f t="shared" si="362"/>
        <v>1.5628004100855332E-2</v>
      </c>
      <c r="BN88" s="213">
        <f t="shared" si="354"/>
        <v>4.3641311620391419E-3</v>
      </c>
      <c r="BO88" s="217">
        <v>0</v>
      </c>
      <c r="BP88" s="213">
        <f t="shared" si="355"/>
        <v>7.9639124500576614E-2</v>
      </c>
      <c r="BQ88" s="213">
        <f t="shared" si="356"/>
        <v>0</v>
      </c>
      <c r="BR88" s="213">
        <f t="shared" si="357"/>
        <v>1</v>
      </c>
      <c r="BS88" s="232">
        <f t="shared" si="358"/>
        <v>93.44009041668177</v>
      </c>
      <c r="BT88" s="215" t="str">
        <f t="shared" si="359"/>
        <v xml:space="preserve">R7H1EA10 </v>
      </c>
      <c r="BU88" s="269">
        <f t="shared" si="363"/>
        <v>8.9594278632847343E-2</v>
      </c>
    </row>
    <row r="89" spans="1:73" s="215" customFormat="1" x14ac:dyDescent="0.2">
      <c r="A89" s="72" t="s">
        <v>138</v>
      </c>
      <c r="B89" s="228">
        <v>600</v>
      </c>
      <c r="C89" s="228">
        <v>700</v>
      </c>
      <c r="D89" s="229">
        <f t="shared" si="132"/>
        <v>650</v>
      </c>
      <c r="E89" s="175">
        <v>6.59</v>
      </c>
      <c r="F89" s="175">
        <v>0.24</v>
      </c>
      <c r="G89" s="175">
        <v>24.79</v>
      </c>
      <c r="H89" s="175">
        <v>0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5">
        <v>3.63</v>
      </c>
      <c r="O89" s="175">
        <v>2.2400000000000002</v>
      </c>
      <c r="P89" s="175">
        <v>0</v>
      </c>
      <c r="Q89" s="175">
        <v>11.84</v>
      </c>
      <c r="R89" s="175">
        <v>19.96</v>
      </c>
      <c r="S89" s="175">
        <v>0</v>
      </c>
      <c r="T89" s="175">
        <v>0</v>
      </c>
      <c r="U89" s="175">
        <v>29.72</v>
      </c>
      <c r="V89" s="175">
        <v>2.99</v>
      </c>
      <c r="W89" s="175">
        <v>0</v>
      </c>
      <c r="X89" s="175">
        <v>0</v>
      </c>
      <c r="Y89" s="175">
        <v>0</v>
      </c>
      <c r="Z89" s="175">
        <v>0</v>
      </c>
      <c r="AA89" s="175">
        <v>0</v>
      </c>
      <c r="AB89" s="175">
        <v>0</v>
      </c>
      <c r="AC89" s="175">
        <v>0</v>
      </c>
      <c r="AD89" s="175">
        <v>0</v>
      </c>
      <c r="AE89" s="230">
        <f t="shared" si="147"/>
        <v>101.99999999999999</v>
      </c>
      <c r="AF89" s="213">
        <f t="shared" ref="AF89:AF102" si="364">G89/SUM($G89:$AD89)</f>
        <v>0.260481244089524</v>
      </c>
      <c r="AG89" s="213">
        <f t="shared" ref="AG89:AG102" si="365">H89/SUM($G89:$AD89)</f>
        <v>0</v>
      </c>
      <c r="AH89" s="213">
        <f t="shared" ref="AH89:AH102" si="366">I89/SUM($G89:$AD89)</f>
        <v>0</v>
      </c>
      <c r="AI89" s="213">
        <f t="shared" ref="AI89:AI102" si="367">J89/SUM($G89:$AD89)</f>
        <v>0</v>
      </c>
      <c r="AJ89" s="213">
        <f t="shared" ref="AJ89:AJ102" si="368">K89/SUM($G89:$AD89)</f>
        <v>0</v>
      </c>
      <c r="AK89" s="213">
        <f t="shared" ref="AK89:AK102" si="369">L89/SUM($G89:$AD89)</f>
        <v>0</v>
      </c>
      <c r="AL89" s="213">
        <f t="shared" ref="AL89:AL102" si="370">M89/SUM($G89:$AD89)</f>
        <v>0</v>
      </c>
      <c r="AM89" s="213">
        <f t="shared" ref="AM89:AM102" si="371">N89/SUM($G89:$AD89)</f>
        <v>3.8142271724282861E-2</v>
      </c>
      <c r="AN89" s="213">
        <f t="shared" ref="AN89:AN102" si="372">O89/SUM($G89:$AD89)</f>
        <v>2.3536828832615323E-2</v>
      </c>
      <c r="AO89" s="213">
        <f t="shared" ref="AO89:AO102" si="373">P89/SUM($G89:$AD89)</f>
        <v>0</v>
      </c>
      <c r="AP89" s="213">
        <f t="shared" ref="AP89:AP102" si="374">Q89/SUM($G89:$AD89)</f>
        <v>0.12440895240096669</v>
      </c>
      <c r="AQ89" s="213">
        <f t="shared" ref="AQ89:AQ102" si="375">R89/SUM($G89:$AD89)</f>
        <v>0.20972995691919724</v>
      </c>
      <c r="AR89" s="213">
        <f t="shared" ref="AR89:AR102" si="376">S89/SUM($G89:$AD89)</f>
        <v>0</v>
      </c>
      <c r="AS89" s="213">
        <f t="shared" ref="AS89:AS102" si="377">T89/SUM($G89:$AD89)</f>
        <v>0</v>
      </c>
      <c r="AT89" s="213">
        <f t="shared" ref="AT89:AT102" si="378">U89/SUM($G89:$AD89)</f>
        <v>0.31228328254702109</v>
      </c>
      <c r="AU89" s="213">
        <f t="shared" ref="AU89:AU102" si="379">V89/SUM($G89:$AD89)</f>
        <v>3.1417463486392773E-2</v>
      </c>
      <c r="AV89" s="213">
        <f t="shared" ref="AV89:AV102" si="380">W89/SUM($G89:$AD89)</f>
        <v>0</v>
      </c>
      <c r="AW89" s="213">
        <f t="shared" ref="AW89:AW102" si="381">X89/SUM($G89:$AD89)</f>
        <v>0</v>
      </c>
      <c r="AX89" s="213">
        <f t="shared" ref="AX89:AX102" si="382">Y89/SUM($G89:$AD89)</f>
        <v>0</v>
      </c>
      <c r="AY89" s="213">
        <f t="shared" ref="AY89:AY102" si="383">Z89/SUM($G89:$AD89)</f>
        <v>0</v>
      </c>
      <c r="AZ89" s="213">
        <f t="shared" ref="AZ89:AZ102" si="384">AA89/SUM($G89:$AD89)</f>
        <v>0</v>
      </c>
      <c r="BA89" s="213">
        <f t="shared" ref="BA89:BA102" si="385">AB89/SUM($G89:$AD89)</f>
        <v>0</v>
      </c>
      <c r="BB89" s="213">
        <f t="shared" ref="BB89:BB102" si="386">AC89/SUM($G89:$AD89)</f>
        <v>0</v>
      </c>
      <c r="BC89" s="213">
        <f t="shared" ref="BC89:BC102" si="387">AD89/SUM($G89:$AD89)</f>
        <v>0</v>
      </c>
      <c r="BD89" s="231">
        <f t="shared" ref="BD89:BD108" si="388">SUM(AF89:BB89)</f>
        <v>1</v>
      </c>
      <c r="BE89" s="213">
        <f t="shared" si="360"/>
        <v>0.56093656924975754</v>
      </c>
      <c r="BF89" s="213">
        <f t="shared" si="361"/>
        <v>0.23550490037756208</v>
      </c>
      <c r="BG89" s="213">
        <f t="shared" ref="BG89:BG102" si="389">$BG$3*(AJ89*2.25*0.5/$AJ$2+AL89/$AL$2+AM89*0.9*0.5/$AM$2+AP89*0.05*0.5/$AP$2+AR89*0.24*0.5/$AR$2+AV89*0.3*0.5/$AV$2)</f>
        <v>3.3800177212237048E-2</v>
      </c>
      <c r="BH89" s="213">
        <f t="shared" ref="BH89:BH102" si="390">$BH$3*(AK89*2/$AK$2+AS89*0.39/$AS$2+AT89*0.87/$AT$2+AU89*0.25/$AU$2+AV89*0.63/$AV$2)</f>
        <v>5.0002260546617931E-2</v>
      </c>
      <c r="BI89" s="217">
        <v>0</v>
      </c>
      <c r="BJ89" s="213">
        <f t="shared" ref="BJ89:BJ102" si="391">$BJ$3*(AK89*2/$AK$2+AO89/$AO$2+AR89*0.2/$AR$2+AS89*0.23/$AS$2+AT89*0.56/$AT$2+AU89*0.25/$AU$2+AV89*1.21/$AV$2)</f>
        <v>1.8095026476185744E-2</v>
      </c>
      <c r="BK89" s="213">
        <f t="shared" ref="BK89:BK102" si="392">$BK$3*(AI89/$AI$2+AJ89/$AJ$2+AK89*2/$AK$2+AO89/$AO$2+AR89*0.08/$AR$2+AT89*0.01/$AT$2)</f>
        <v>4.3023789993773651E-4</v>
      </c>
      <c r="BL89" s="213">
        <f t="shared" ref="BL89:BL102" si="393">$BL$3*(0.5*AH89/$AH$2)</f>
        <v>0</v>
      </c>
      <c r="BM89" s="213">
        <f t="shared" si="362"/>
        <v>2.0628470626615582E-2</v>
      </c>
      <c r="BN89" s="213">
        <f t="shared" ref="BN89:BN102" si="394">$BN$3*(AS89*0.03/$AS$2+AT89*0.11/$AT$2+AV89*0.09/$AV$2)</f>
        <v>6.7430380943556585E-3</v>
      </c>
      <c r="BO89" s="217">
        <v>0</v>
      </c>
      <c r="BP89" s="213">
        <f t="shared" ref="BP89:BP102" si="395">$BP$3*(AJ89*0.5/$AJ$2+AK89/$AK$2+AM89*0.5/$AM$2+AN89*1.5/$AN$2+AP89*2/$AP$2+AQ89*2/$AQ$2+3.79*0.5*AR89/$AR$2+AR89/$AR$2+AS89/$AS$2+AT89/$AT$2+AU89/$AU$2+AV89/$AV$2)</f>
        <v>7.3859319516730679E-2</v>
      </c>
      <c r="BQ89" s="213">
        <f t="shared" ref="BQ89:BQ102" si="396">$BQ$3*(AO89*2/$AO$2)</f>
        <v>0</v>
      </c>
      <c r="BR89" s="213">
        <f t="shared" ref="BR89:BR98" si="397">SUM(BE89:BQ89)</f>
        <v>1</v>
      </c>
      <c r="BS89" s="232">
        <f t="shared" ref="BS89:BS102" si="398">100*BF89/(BF89+BK89+BL89+BM89)</f>
        <v>91.792012664421364</v>
      </c>
      <c r="BT89" s="215" t="str">
        <f t="shared" si="359"/>
        <v xml:space="preserve">R7H1EA11 </v>
      </c>
      <c r="BU89" s="269">
        <f t="shared" si="363"/>
        <v>8.8302641208050592E-2</v>
      </c>
    </row>
    <row r="90" spans="1:73" s="216" customFormat="1" ht="16" thickBot="1" x14ac:dyDescent="0.25">
      <c r="A90" s="72" t="s">
        <v>139</v>
      </c>
      <c r="B90" s="233">
        <v>700</v>
      </c>
      <c r="C90" s="233">
        <v>800</v>
      </c>
      <c r="D90" s="234">
        <f t="shared" si="132"/>
        <v>750</v>
      </c>
      <c r="E90" s="176">
        <v>8.19</v>
      </c>
      <c r="F90" s="176">
        <v>0.2</v>
      </c>
      <c r="G90" s="176">
        <v>21.57</v>
      </c>
      <c r="H90" s="176">
        <v>0</v>
      </c>
      <c r="I90" s="176">
        <v>0</v>
      </c>
      <c r="J90" s="176">
        <v>0</v>
      </c>
      <c r="K90" s="176">
        <v>0</v>
      </c>
      <c r="L90" s="176">
        <v>0</v>
      </c>
      <c r="M90" s="176">
        <v>0</v>
      </c>
      <c r="N90" s="176">
        <v>4.46</v>
      </c>
      <c r="O90" s="176">
        <v>3.05</v>
      </c>
      <c r="P90" s="176">
        <v>0</v>
      </c>
      <c r="Q90" s="176">
        <v>12.5</v>
      </c>
      <c r="R90" s="176">
        <v>22.15</v>
      </c>
      <c r="S90" s="176">
        <v>0</v>
      </c>
      <c r="T90" s="176">
        <v>0</v>
      </c>
      <c r="U90" s="176">
        <v>24.17</v>
      </c>
      <c r="V90" s="176">
        <v>3.71</v>
      </c>
      <c r="W90" s="176">
        <v>0</v>
      </c>
      <c r="X90" s="176">
        <v>0</v>
      </c>
      <c r="Y90" s="176">
        <v>0</v>
      </c>
      <c r="Z90" s="176">
        <v>0</v>
      </c>
      <c r="AA90" s="176">
        <v>0</v>
      </c>
      <c r="AB90" s="176">
        <v>0</v>
      </c>
      <c r="AC90" s="176">
        <v>0</v>
      </c>
      <c r="AD90" s="176">
        <v>0</v>
      </c>
      <c r="AE90" s="235">
        <f t="shared" si="147"/>
        <v>100</v>
      </c>
      <c r="AF90" s="214">
        <f t="shared" si="364"/>
        <v>0.23545464468944438</v>
      </c>
      <c r="AG90" s="214">
        <f t="shared" si="365"/>
        <v>0</v>
      </c>
      <c r="AH90" s="214">
        <f t="shared" si="366"/>
        <v>0</v>
      </c>
      <c r="AI90" s="214">
        <f t="shared" si="367"/>
        <v>0</v>
      </c>
      <c r="AJ90" s="214">
        <f t="shared" si="368"/>
        <v>0</v>
      </c>
      <c r="AK90" s="214">
        <f t="shared" si="369"/>
        <v>0</v>
      </c>
      <c r="AL90" s="214">
        <f t="shared" si="370"/>
        <v>0</v>
      </c>
      <c r="AM90" s="214">
        <f t="shared" si="371"/>
        <v>4.8684641414692718E-2</v>
      </c>
      <c r="AN90" s="214">
        <f t="shared" si="372"/>
        <v>3.3293308590765201E-2</v>
      </c>
      <c r="AO90" s="214">
        <f t="shared" si="373"/>
        <v>0</v>
      </c>
      <c r="AP90" s="214">
        <f t="shared" si="374"/>
        <v>0.13644798602772623</v>
      </c>
      <c r="AQ90" s="214">
        <f t="shared" si="375"/>
        <v>0.24178583124113087</v>
      </c>
      <c r="AR90" s="214">
        <f t="shared" si="376"/>
        <v>0</v>
      </c>
      <c r="AS90" s="214">
        <f t="shared" si="377"/>
        <v>0</v>
      </c>
      <c r="AT90" s="214">
        <f t="shared" si="378"/>
        <v>0.26383582578321146</v>
      </c>
      <c r="AU90" s="214">
        <f t="shared" si="379"/>
        <v>4.0497762253029146E-2</v>
      </c>
      <c r="AV90" s="214">
        <f t="shared" si="380"/>
        <v>0</v>
      </c>
      <c r="AW90" s="214">
        <f t="shared" si="381"/>
        <v>0</v>
      </c>
      <c r="AX90" s="214">
        <f t="shared" si="382"/>
        <v>0</v>
      </c>
      <c r="AY90" s="214">
        <f t="shared" si="383"/>
        <v>0</v>
      </c>
      <c r="AZ90" s="214">
        <f t="shared" si="384"/>
        <v>0</v>
      </c>
      <c r="BA90" s="214">
        <f t="shared" si="385"/>
        <v>0</v>
      </c>
      <c r="BB90" s="214">
        <f t="shared" si="386"/>
        <v>0</v>
      </c>
      <c r="BC90" s="214">
        <f t="shared" si="387"/>
        <v>0</v>
      </c>
      <c r="BD90" s="236">
        <f t="shared" si="388"/>
        <v>1</v>
      </c>
      <c r="BE90" s="213">
        <f t="shared" si="360"/>
        <v>0.54109212105245807</v>
      </c>
      <c r="BF90" s="214">
        <f t="shared" si="361"/>
        <v>0.24975164402915356</v>
      </c>
      <c r="BG90" s="214">
        <f t="shared" si="389"/>
        <v>4.2798634657689641E-2</v>
      </c>
      <c r="BH90" s="214">
        <f t="shared" si="390"/>
        <v>4.2871219244315015E-2</v>
      </c>
      <c r="BI90" s="214">
        <v>0</v>
      </c>
      <c r="BJ90" s="214">
        <f t="shared" si="391"/>
        <v>1.5634465787712062E-2</v>
      </c>
      <c r="BK90" s="214">
        <f t="shared" si="392"/>
        <v>3.6349102868231723E-4</v>
      </c>
      <c r="BL90" s="214">
        <f t="shared" si="393"/>
        <v>0</v>
      </c>
      <c r="BM90" s="214">
        <f t="shared" si="362"/>
        <v>1.9048599444442035E-2</v>
      </c>
      <c r="BN90" s="214">
        <f t="shared" si="394"/>
        <v>5.6969268716589149E-3</v>
      </c>
      <c r="BO90" s="214">
        <v>0</v>
      </c>
      <c r="BP90" s="214">
        <f t="shared" si="395"/>
        <v>8.2742897883888555E-2</v>
      </c>
      <c r="BQ90" s="214">
        <f t="shared" si="396"/>
        <v>0</v>
      </c>
      <c r="BR90" s="214">
        <f t="shared" si="397"/>
        <v>1</v>
      </c>
      <c r="BS90" s="237">
        <f t="shared" si="398"/>
        <v>92.78799927894444</v>
      </c>
      <c r="BT90" s="216" t="str">
        <f t="shared" si="359"/>
        <v xml:space="preserve">R7H1EA12 </v>
      </c>
      <c r="BU90" s="269">
        <f t="shared" si="363"/>
        <v>8.9528263633993008E-2</v>
      </c>
    </row>
    <row r="91" spans="1:73" s="218" customFormat="1" x14ac:dyDescent="0.2">
      <c r="A91" s="72" t="s">
        <v>151</v>
      </c>
      <c r="B91" s="223">
        <v>0</v>
      </c>
      <c r="C91" s="223">
        <v>11</v>
      </c>
      <c r="D91" s="224">
        <f t="shared" si="132"/>
        <v>5.5</v>
      </c>
      <c r="E91" s="174">
        <v>10.31</v>
      </c>
      <c r="F91" s="174">
        <v>1.67</v>
      </c>
      <c r="G91" s="174">
        <v>48.47</v>
      </c>
      <c r="H91" s="174">
        <v>2.3552</v>
      </c>
      <c r="I91" s="174">
        <v>0.20480000000000001</v>
      </c>
      <c r="J91" s="174">
        <v>0</v>
      </c>
      <c r="K91" s="174">
        <v>0</v>
      </c>
      <c r="L91" s="174">
        <v>0</v>
      </c>
      <c r="M91" s="174">
        <v>0</v>
      </c>
      <c r="N91" s="174">
        <v>0</v>
      </c>
      <c r="O91" s="174">
        <v>2.0699999999999998</v>
      </c>
      <c r="P91" s="174">
        <v>0</v>
      </c>
      <c r="Q91" s="174">
        <v>8.5</v>
      </c>
      <c r="R91" s="174">
        <v>15.04</v>
      </c>
      <c r="S91" s="174">
        <v>5.84</v>
      </c>
      <c r="T91" s="174">
        <v>0</v>
      </c>
      <c r="U91" s="174">
        <v>0.89</v>
      </c>
      <c r="V91" s="174">
        <v>4.6500000000000004</v>
      </c>
      <c r="W91" s="174">
        <v>0</v>
      </c>
      <c r="X91" s="174">
        <v>0</v>
      </c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74">
        <v>0</v>
      </c>
      <c r="AE91" s="225">
        <f t="shared" si="147"/>
        <v>100.00000000000001</v>
      </c>
      <c r="AF91" s="217">
        <f t="shared" si="364"/>
        <v>0.55067030220404456</v>
      </c>
      <c r="AG91" s="217">
        <f t="shared" si="365"/>
        <v>2.6757555101113384E-2</v>
      </c>
      <c r="AH91" s="217">
        <f t="shared" si="366"/>
        <v>2.3267439218359466E-3</v>
      </c>
      <c r="AI91" s="217">
        <f t="shared" si="367"/>
        <v>0</v>
      </c>
      <c r="AJ91" s="217">
        <f t="shared" si="368"/>
        <v>0</v>
      </c>
      <c r="AK91" s="217">
        <f t="shared" si="369"/>
        <v>0</v>
      </c>
      <c r="AL91" s="217">
        <f t="shared" si="370"/>
        <v>0</v>
      </c>
      <c r="AM91" s="217">
        <f t="shared" si="371"/>
        <v>0</v>
      </c>
      <c r="AN91" s="217">
        <f t="shared" si="372"/>
        <v>2.3517382413087935E-2</v>
      </c>
      <c r="AO91" s="217">
        <f t="shared" si="373"/>
        <v>0</v>
      </c>
      <c r="AP91" s="217">
        <f t="shared" si="374"/>
        <v>9.6568961599636446E-2</v>
      </c>
      <c r="AQ91" s="217">
        <f t="shared" si="375"/>
        <v>0.17087025675982731</v>
      </c>
      <c r="AR91" s="217">
        <f t="shared" si="376"/>
        <v>6.634855714610316E-2</v>
      </c>
      <c r="AS91" s="217">
        <f t="shared" si="377"/>
        <v>0</v>
      </c>
      <c r="AT91" s="217">
        <f t="shared" si="378"/>
        <v>1.0111338332197229E-2</v>
      </c>
      <c r="AU91" s="217">
        <f t="shared" si="379"/>
        <v>5.282890252215406E-2</v>
      </c>
      <c r="AV91" s="217">
        <f t="shared" si="380"/>
        <v>0</v>
      </c>
      <c r="AW91" s="217">
        <f t="shared" si="381"/>
        <v>0</v>
      </c>
      <c r="AX91" s="217">
        <f t="shared" si="382"/>
        <v>0</v>
      </c>
      <c r="AY91" s="217">
        <f t="shared" si="383"/>
        <v>0</v>
      </c>
      <c r="AZ91" s="217">
        <f t="shared" si="384"/>
        <v>0</v>
      </c>
      <c r="BA91" s="217">
        <f t="shared" si="385"/>
        <v>0</v>
      </c>
      <c r="BB91" s="217">
        <f t="shared" si="386"/>
        <v>0</v>
      </c>
      <c r="BC91" s="217">
        <f t="shared" si="387"/>
        <v>0</v>
      </c>
      <c r="BD91" s="226">
        <f t="shared" si="388"/>
        <v>1</v>
      </c>
      <c r="BE91" s="213">
        <f t="shared" si="360"/>
        <v>0.7517063055835238</v>
      </c>
      <c r="BF91" s="217">
        <f t="shared" si="361"/>
        <v>0.16713969352933714</v>
      </c>
      <c r="BG91" s="217">
        <f t="shared" si="389"/>
        <v>4.080789282974992E-3</v>
      </c>
      <c r="BH91" s="217">
        <f t="shared" si="390"/>
        <v>3.944350194008411E-3</v>
      </c>
      <c r="BI91" s="217">
        <v>0</v>
      </c>
      <c r="BJ91" s="217">
        <f t="shared" si="391"/>
        <v>2.964678640071806E-3</v>
      </c>
      <c r="BK91" s="217">
        <f t="shared" si="392"/>
        <v>6.2148916857724084E-4</v>
      </c>
      <c r="BL91" s="217">
        <f t="shared" si="393"/>
        <v>2.7507646640100708E-4</v>
      </c>
      <c r="BM91" s="217">
        <f t="shared" si="362"/>
        <v>1.3827775177864295E-2</v>
      </c>
      <c r="BN91" s="217">
        <f t="shared" si="394"/>
        <v>2.1833105827129368E-4</v>
      </c>
      <c r="BO91" s="217">
        <v>0</v>
      </c>
      <c r="BP91" s="217">
        <f t="shared" si="395"/>
        <v>5.522151089897008E-2</v>
      </c>
      <c r="BQ91" s="217">
        <f t="shared" si="396"/>
        <v>0</v>
      </c>
      <c r="BR91" s="217">
        <f t="shared" si="397"/>
        <v>1</v>
      </c>
      <c r="BS91" s="227">
        <f t="shared" si="398"/>
        <v>91.903654361291416</v>
      </c>
      <c r="BT91" s="218" t="str">
        <f t="shared" si="359"/>
        <v xml:space="preserve">R7H2EA01 </v>
      </c>
      <c r="BU91" s="269">
        <f t="shared" si="363"/>
        <v>8.3801309944441602E-3</v>
      </c>
    </row>
    <row r="92" spans="1:73" s="215" customFormat="1" x14ac:dyDescent="0.2">
      <c r="A92" s="72" t="s">
        <v>152</v>
      </c>
      <c r="B92" s="228">
        <v>11</v>
      </c>
      <c r="C92" s="228">
        <v>31</v>
      </c>
      <c r="D92" s="229">
        <f t="shared" si="132"/>
        <v>21</v>
      </c>
      <c r="E92" s="175">
        <v>8.0299999999999994</v>
      </c>
      <c r="F92" s="175">
        <v>1.44</v>
      </c>
      <c r="G92" s="175">
        <v>50.66</v>
      </c>
      <c r="H92" s="175">
        <v>2.1988000000000003</v>
      </c>
      <c r="I92" s="174">
        <v>0.19120000000000001</v>
      </c>
      <c r="J92" s="175">
        <v>0</v>
      </c>
      <c r="K92" s="175">
        <v>0</v>
      </c>
      <c r="L92" s="175">
        <v>0</v>
      </c>
      <c r="M92" s="175">
        <v>0</v>
      </c>
      <c r="N92" s="175">
        <v>0.54</v>
      </c>
      <c r="O92" s="175">
        <v>1.0900000000000001</v>
      </c>
      <c r="P92" s="175">
        <v>0</v>
      </c>
      <c r="Q92" s="175">
        <v>14.45</v>
      </c>
      <c r="R92" s="175">
        <v>14.69</v>
      </c>
      <c r="S92" s="175">
        <v>1.76</v>
      </c>
      <c r="T92" s="175">
        <v>0</v>
      </c>
      <c r="U92" s="175">
        <v>0.82</v>
      </c>
      <c r="V92" s="175">
        <v>4.04</v>
      </c>
      <c r="W92" s="175">
        <v>0</v>
      </c>
      <c r="X92" s="175">
        <v>0</v>
      </c>
      <c r="Y92" s="175">
        <v>0</v>
      </c>
      <c r="Z92" s="175">
        <v>0</v>
      </c>
      <c r="AA92" s="175">
        <v>0</v>
      </c>
      <c r="AB92" s="175">
        <v>0</v>
      </c>
      <c r="AC92" s="175">
        <v>0</v>
      </c>
      <c r="AD92" s="175">
        <v>0</v>
      </c>
      <c r="AE92" s="230">
        <f t="shared" si="147"/>
        <v>99.91</v>
      </c>
      <c r="AF92" s="213">
        <f t="shared" si="364"/>
        <v>0.56015037593984962</v>
      </c>
      <c r="AG92" s="213">
        <f t="shared" si="365"/>
        <v>2.4312251216275987E-2</v>
      </c>
      <c r="AH92" s="213">
        <f t="shared" si="366"/>
        <v>2.114108801415303E-3</v>
      </c>
      <c r="AI92" s="213">
        <f t="shared" si="367"/>
        <v>0</v>
      </c>
      <c r="AJ92" s="213">
        <f t="shared" si="368"/>
        <v>0</v>
      </c>
      <c r="AK92" s="213">
        <f t="shared" si="369"/>
        <v>0</v>
      </c>
      <c r="AL92" s="213">
        <f t="shared" si="370"/>
        <v>0</v>
      </c>
      <c r="AM92" s="213">
        <f t="shared" si="371"/>
        <v>5.9708093763821326E-3</v>
      </c>
      <c r="AN92" s="213">
        <f t="shared" si="372"/>
        <v>1.2052189296771341E-2</v>
      </c>
      <c r="AO92" s="213">
        <f t="shared" si="373"/>
        <v>0</v>
      </c>
      <c r="AP92" s="213">
        <f t="shared" si="374"/>
        <v>0.15977443609022557</v>
      </c>
      <c r="AQ92" s="213">
        <f t="shared" si="375"/>
        <v>0.1624281291463954</v>
      </c>
      <c r="AR92" s="213">
        <f t="shared" si="376"/>
        <v>1.9460415745245468E-2</v>
      </c>
      <c r="AS92" s="213">
        <f t="shared" si="377"/>
        <v>0</v>
      </c>
      <c r="AT92" s="213">
        <f t="shared" si="378"/>
        <v>9.0667846085802743E-3</v>
      </c>
      <c r="AU92" s="213">
        <f t="shared" si="379"/>
        <v>4.467049977885891E-2</v>
      </c>
      <c r="AV92" s="213">
        <f t="shared" si="380"/>
        <v>0</v>
      </c>
      <c r="AW92" s="213">
        <f t="shared" si="381"/>
        <v>0</v>
      </c>
      <c r="AX92" s="213">
        <f t="shared" si="382"/>
        <v>0</v>
      </c>
      <c r="AY92" s="213">
        <f t="shared" si="383"/>
        <v>0</v>
      </c>
      <c r="AZ92" s="213">
        <f t="shared" si="384"/>
        <v>0</v>
      </c>
      <c r="BA92" s="213">
        <f t="shared" si="385"/>
        <v>0</v>
      </c>
      <c r="BB92" s="213">
        <f t="shared" si="386"/>
        <v>0</v>
      </c>
      <c r="BC92" s="213">
        <f t="shared" si="387"/>
        <v>0</v>
      </c>
      <c r="BD92" s="231">
        <f t="shared" si="388"/>
        <v>1</v>
      </c>
      <c r="BE92" s="213">
        <f t="shared" si="360"/>
        <v>0.76149753175288248</v>
      </c>
      <c r="BF92" s="213">
        <f t="shared" si="361"/>
        <v>0.15967329344816472</v>
      </c>
      <c r="BG92" s="213">
        <f t="shared" si="389"/>
        <v>8.210576356208173E-3</v>
      </c>
      <c r="BH92" s="213">
        <f t="shared" si="390"/>
        <v>3.4156600771970938E-3</v>
      </c>
      <c r="BI92" s="217">
        <v>0</v>
      </c>
      <c r="BJ92" s="213">
        <f t="shared" si="391"/>
        <v>1.9326841131517031E-3</v>
      </c>
      <c r="BK92" s="213">
        <f t="shared" si="392"/>
        <v>1.9069191640058375E-4</v>
      </c>
      <c r="BL92" s="213">
        <f t="shared" si="393"/>
        <v>2.4993793825910901E-4</v>
      </c>
      <c r="BM92" s="213">
        <f t="shared" si="362"/>
        <v>1.0561962283912509E-2</v>
      </c>
      <c r="BN92" s="213">
        <f t="shared" si="394"/>
        <v>1.9577632689885899E-4</v>
      </c>
      <c r="BO92" s="217">
        <v>0</v>
      </c>
      <c r="BP92" s="213">
        <f t="shared" si="395"/>
        <v>5.407188578692488E-2</v>
      </c>
      <c r="BQ92" s="213">
        <f t="shared" si="396"/>
        <v>0</v>
      </c>
      <c r="BR92" s="213">
        <f t="shared" si="397"/>
        <v>1</v>
      </c>
      <c r="BS92" s="232">
        <f t="shared" si="398"/>
        <v>93.553516889191272</v>
      </c>
      <c r="BT92" s="215" t="str">
        <f t="shared" si="359"/>
        <v xml:space="preserve">R7H2EA02 </v>
      </c>
      <c r="BU92" s="269">
        <f t="shared" si="363"/>
        <v>1.1933645840353006E-2</v>
      </c>
    </row>
    <row r="93" spans="1:73" s="215" customFormat="1" x14ac:dyDescent="0.2">
      <c r="A93" s="72" t="s">
        <v>153</v>
      </c>
      <c r="B93" s="228">
        <v>31</v>
      </c>
      <c r="C93" s="228">
        <v>85</v>
      </c>
      <c r="D93" s="229">
        <f t="shared" si="132"/>
        <v>58</v>
      </c>
      <c r="E93" s="175">
        <v>11.35</v>
      </c>
      <c r="F93" s="175">
        <v>1.84</v>
      </c>
      <c r="G93" s="175">
        <v>37.92</v>
      </c>
      <c r="H93" s="175">
        <v>1.6008</v>
      </c>
      <c r="I93" s="174">
        <v>0.13919999999999999</v>
      </c>
      <c r="J93" s="175">
        <v>0</v>
      </c>
      <c r="K93" s="175">
        <v>0</v>
      </c>
      <c r="L93" s="175">
        <v>0</v>
      </c>
      <c r="M93" s="175">
        <v>0</v>
      </c>
      <c r="N93" s="175">
        <v>3.52</v>
      </c>
      <c r="O93" s="175">
        <v>1.82</v>
      </c>
      <c r="P93" s="175">
        <v>0</v>
      </c>
      <c r="Q93" s="175">
        <v>16.07</v>
      </c>
      <c r="R93" s="175">
        <v>16.23</v>
      </c>
      <c r="S93" s="175">
        <v>3.72</v>
      </c>
      <c r="T93" s="175">
        <v>0</v>
      </c>
      <c r="U93" s="175">
        <v>0.92</v>
      </c>
      <c r="V93" s="175">
        <v>4.83</v>
      </c>
      <c r="W93" s="175">
        <v>0</v>
      </c>
      <c r="X93" s="175">
        <v>0</v>
      </c>
      <c r="Y93" s="175">
        <v>0</v>
      </c>
      <c r="Z93" s="175">
        <v>0</v>
      </c>
      <c r="AA93" s="175">
        <v>0</v>
      </c>
      <c r="AB93" s="175">
        <v>0</v>
      </c>
      <c r="AC93" s="175">
        <v>0</v>
      </c>
      <c r="AD93" s="175">
        <v>0</v>
      </c>
      <c r="AE93" s="230">
        <f t="shared" si="147"/>
        <v>99.960000000000008</v>
      </c>
      <c r="AF93" s="213">
        <f t="shared" si="364"/>
        <v>0.43701740232799352</v>
      </c>
      <c r="AG93" s="213">
        <f t="shared" si="365"/>
        <v>1.844877261726403E-2</v>
      </c>
      <c r="AH93" s="213">
        <f t="shared" si="366"/>
        <v>1.6042410971533938E-3</v>
      </c>
      <c r="AI93" s="213">
        <f t="shared" si="367"/>
        <v>0</v>
      </c>
      <c r="AJ93" s="213">
        <f t="shared" si="368"/>
        <v>0</v>
      </c>
      <c r="AK93" s="213">
        <f t="shared" si="369"/>
        <v>0</v>
      </c>
      <c r="AL93" s="213">
        <f t="shared" si="370"/>
        <v>0</v>
      </c>
      <c r="AM93" s="213">
        <f t="shared" si="371"/>
        <v>4.0567016249855939E-2</v>
      </c>
      <c r="AN93" s="213">
        <f t="shared" si="372"/>
        <v>2.0974991356459603E-2</v>
      </c>
      <c r="AO93" s="213">
        <f t="shared" si="373"/>
        <v>0</v>
      </c>
      <c r="AP93" s="213">
        <f t="shared" si="374"/>
        <v>0.18520225884522298</v>
      </c>
      <c r="AQ93" s="213">
        <f t="shared" si="375"/>
        <v>0.18704621412930736</v>
      </c>
      <c r="AR93" s="213">
        <f t="shared" si="376"/>
        <v>4.2871960354961387E-2</v>
      </c>
      <c r="AS93" s="213">
        <f t="shared" si="377"/>
        <v>0</v>
      </c>
      <c r="AT93" s="213">
        <f t="shared" si="378"/>
        <v>1.0602742883485075E-2</v>
      </c>
      <c r="AU93" s="213">
        <f t="shared" si="379"/>
        <v>5.5664400138296641E-2</v>
      </c>
      <c r="AV93" s="213">
        <f t="shared" si="380"/>
        <v>0</v>
      </c>
      <c r="AW93" s="213">
        <f t="shared" si="381"/>
        <v>0</v>
      </c>
      <c r="AX93" s="213">
        <f t="shared" si="382"/>
        <v>0</v>
      </c>
      <c r="AY93" s="213">
        <f t="shared" si="383"/>
        <v>0</v>
      </c>
      <c r="AZ93" s="213">
        <f t="shared" si="384"/>
        <v>0</v>
      </c>
      <c r="BA93" s="213">
        <f t="shared" si="385"/>
        <v>0</v>
      </c>
      <c r="BB93" s="213">
        <f t="shared" si="386"/>
        <v>0</v>
      </c>
      <c r="BC93" s="213">
        <f t="shared" si="387"/>
        <v>0</v>
      </c>
      <c r="BD93" s="231">
        <f t="shared" si="388"/>
        <v>1</v>
      </c>
      <c r="BE93" s="213">
        <f t="shared" si="360"/>
        <v>0.67307105643356246</v>
      </c>
      <c r="BF93" s="213">
        <f t="shared" si="361"/>
        <v>0.19819678565535592</v>
      </c>
      <c r="BG93" s="213">
        <f t="shared" si="389"/>
        <v>3.8439374291382243E-2</v>
      </c>
      <c r="BH93" s="213">
        <f t="shared" si="390"/>
        <v>4.1480731980950347E-3</v>
      </c>
      <c r="BI93" s="217">
        <v>0</v>
      </c>
      <c r="BJ93" s="213">
        <f t="shared" si="391"/>
        <v>2.6761428229979331E-3</v>
      </c>
      <c r="BK93" s="213">
        <f t="shared" si="392"/>
        <v>4.0718926452060184E-4</v>
      </c>
      <c r="BL93" s="213">
        <f t="shared" si="393"/>
        <v>1.8965944989426494E-4</v>
      </c>
      <c r="BM93" s="213">
        <f t="shared" si="362"/>
        <v>1.1852340680571651E-2</v>
      </c>
      <c r="BN93" s="213">
        <f t="shared" si="394"/>
        <v>2.2894180753090147E-4</v>
      </c>
      <c r="BO93" s="217">
        <v>0</v>
      </c>
      <c r="BP93" s="213">
        <f t="shared" si="395"/>
        <v>7.0790436396088938E-2</v>
      </c>
      <c r="BQ93" s="213">
        <f t="shared" si="396"/>
        <v>0</v>
      </c>
      <c r="BR93" s="213">
        <f t="shared" si="397"/>
        <v>0.99999999999999978</v>
      </c>
      <c r="BS93" s="232">
        <f t="shared" si="398"/>
        <v>94.089994175292802</v>
      </c>
      <c r="BT93" s="215" t="str">
        <f t="shared" si="359"/>
        <v xml:space="preserve">R7H2EA03 </v>
      </c>
      <c r="BU93" s="269">
        <f t="shared" si="363"/>
        <v>4.2960774077305829E-2</v>
      </c>
    </row>
    <row r="94" spans="1:73" s="215" customFormat="1" x14ac:dyDescent="0.2">
      <c r="A94" s="72" t="s">
        <v>154</v>
      </c>
      <c r="B94" s="228">
        <v>85</v>
      </c>
      <c r="C94" s="228">
        <v>120</v>
      </c>
      <c r="D94" s="229">
        <f t="shared" si="132"/>
        <v>102.5</v>
      </c>
      <c r="E94" s="175">
        <v>9.67</v>
      </c>
      <c r="F94" s="175">
        <v>1.18</v>
      </c>
      <c r="G94" s="175">
        <v>27.09</v>
      </c>
      <c r="H94" s="175">
        <v>1.84E-2</v>
      </c>
      <c r="I94" s="174">
        <v>1.6000000000000001E-3</v>
      </c>
      <c r="J94" s="175">
        <v>0</v>
      </c>
      <c r="K94" s="175">
        <v>0</v>
      </c>
      <c r="L94" s="175">
        <v>0</v>
      </c>
      <c r="M94" s="175">
        <v>0</v>
      </c>
      <c r="N94" s="175">
        <v>5.98</v>
      </c>
      <c r="O94" s="175">
        <v>2.58</v>
      </c>
      <c r="P94" s="175">
        <v>0</v>
      </c>
      <c r="Q94" s="175">
        <v>16.91</v>
      </c>
      <c r="R94" s="175">
        <v>17.09</v>
      </c>
      <c r="S94" s="175">
        <v>7.88</v>
      </c>
      <c r="T94" s="175">
        <v>0</v>
      </c>
      <c r="U94" s="175">
        <v>1.68</v>
      </c>
      <c r="V94" s="175">
        <v>9.9</v>
      </c>
      <c r="W94" s="175">
        <v>0</v>
      </c>
      <c r="X94" s="175">
        <v>0</v>
      </c>
      <c r="Y94" s="175">
        <v>0</v>
      </c>
      <c r="Z94" s="175">
        <v>0</v>
      </c>
      <c r="AA94" s="175">
        <v>0</v>
      </c>
      <c r="AB94" s="175">
        <v>0</v>
      </c>
      <c r="AC94" s="175">
        <v>0</v>
      </c>
      <c r="AD94" s="175">
        <v>0</v>
      </c>
      <c r="AE94" s="230">
        <f t="shared" si="147"/>
        <v>99.98</v>
      </c>
      <c r="AF94" s="213">
        <f t="shared" si="364"/>
        <v>0.30393806799057554</v>
      </c>
      <c r="AG94" s="213">
        <f t="shared" si="365"/>
        <v>2.0644003141478737E-4</v>
      </c>
      <c r="AH94" s="213">
        <f t="shared" si="366"/>
        <v>1.7951307079546729E-5</v>
      </c>
      <c r="AI94" s="213">
        <f t="shared" si="367"/>
        <v>0</v>
      </c>
      <c r="AJ94" s="213">
        <f t="shared" si="368"/>
        <v>0</v>
      </c>
      <c r="AK94" s="213">
        <f t="shared" si="369"/>
        <v>0</v>
      </c>
      <c r="AL94" s="213">
        <f t="shared" si="370"/>
        <v>0</v>
      </c>
      <c r="AM94" s="213">
        <f t="shared" si="371"/>
        <v>6.7093010209805903E-2</v>
      </c>
      <c r="AN94" s="213">
        <f t="shared" si="372"/>
        <v>2.8946482665769099E-2</v>
      </c>
      <c r="AO94" s="213">
        <f t="shared" si="373"/>
        <v>0</v>
      </c>
      <c r="AP94" s="213">
        <f t="shared" si="374"/>
        <v>0.18972287669695947</v>
      </c>
      <c r="AQ94" s="213">
        <f t="shared" si="375"/>
        <v>0.19174239874340848</v>
      </c>
      <c r="AR94" s="213">
        <f t="shared" si="376"/>
        <v>8.8410187366767631E-2</v>
      </c>
      <c r="AS94" s="213">
        <f t="shared" si="377"/>
        <v>0</v>
      </c>
      <c r="AT94" s="213">
        <f t="shared" si="378"/>
        <v>1.8848872433524063E-2</v>
      </c>
      <c r="AU94" s="213">
        <f t="shared" si="379"/>
        <v>0.11107371255469538</v>
      </c>
      <c r="AV94" s="213">
        <f t="shared" si="380"/>
        <v>0</v>
      </c>
      <c r="AW94" s="213">
        <f t="shared" si="381"/>
        <v>0</v>
      </c>
      <c r="AX94" s="213">
        <f t="shared" si="382"/>
        <v>0</v>
      </c>
      <c r="AY94" s="213">
        <f t="shared" si="383"/>
        <v>0</v>
      </c>
      <c r="AZ94" s="213">
        <f t="shared" si="384"/>
        <v>0</v>
      </c>
      <c r="BA94" s="213">
        <f t="shared" si="385"/>
        <v>0</v>
      </c>
      <c r="BB94" s="213">
        <f t="shared" si="386"/>
        <v>0</v>
      </c>
      <c r="BC94" s="213">
        <f t="shared" si="387"/>
        <v>0</v>
      </c>
      <c r="BD94" s="231">
        <f t="shared" si="388"/>
        <v>0.99999999999999989</v>
      </c>
      <c r="BE94" s="213">
        <f t="shared" si="360"/>
        <v>0.5815760613792782</v>
      </c>
      <c r="BF94" s="213">
        <f t="shared" si="361"/>
        <v>0.2388172618120433</v>
      </c>
      <c r="BG94" s="213">
        <f t="shared" si="389"/>
        <v>6.2465462860431309E-2</v>
      </c>
      <c r="BH94" s="213">
        <f t="shared" si="390"/>
        <v>7.9180017229230851E-3</v>
      </c>
      <c r="BI94" s="217">
        <v>0</v>
      </c>
      <c r="BJ94" s="213">
        <f t="shared" si="391"/>
        <v>5.2591506911713543E-3</v>
      </c>
      <c r="BK94" s="213">
        <f t="shared" si="392"/>
        <v>8.3554698296525406E-4</v>
      </c>
      <c r="BL94" s="213">
        <f t="shared" si="393"/>
        <v>2.122271416454252E-6</v>
      </c>
      <c r="BM94" s="213">
        <f t="shared" si="362"/>
        <v>1.7442080275149641E-2</v>
      </c>
      <c r="BN94" s="213">
        <f t="shared" si="394"/>
        <v>4.0699797894485604E-4</v>
      </c>
      <c r="BO94" s="217">
        <v>0</v>
      </c>
      <c r="BP94" s="213">
        <f t="shared" si="395"/>
        <v>8.5277314025676565E-2</v>
      </c>
      <c r="BQ94" s="213">
        <f t="shared" si="396"/>
        <v>0</v>
      </c>
      <c r="BR94" s="213">
        <f t="shared" si="397"/>
        <v>1</v>
      </c>
      <c r="BS94" s="232">
        <f t="shared" si="398"/>
        <v>92.889940869345537</v>
      </c>
      <c r="BT94" s="215" t="str">
        <f t="shared" si="359"/>
        <v xml:space="preserve">R7H2EA04 </v>
      </c>
      <c r="BU94" s="269">
        <f t="shared" si="363"/>
        <v>7.109608473841747E-2</v>
      </c>
    </row>
    <row r="95" spans="1:73" s="215" customFormat="1" x14ac:dyDescent="0.2">
      <c r="A95" s="72" t="s">
        <v>155</v>
      </c>
      <c r="B95" s="228">
        <v>120</v>
      </c>
      <c r="C95" s="228">
        <v>143</v>
      </c>
      <c r="D95" s="229">
        <f t="shared" si="132"/>
        <v>131.5</v>
      </c>
      <c r="E95" s="175">
        <v>9.5500000000000007</v>
      </c>
      <c r="F95" s="175">
        <v>1</v>
      </c>
      <c r="G95" s="175">
        <v>34.5</v>
      </c>
      <c r="H95" s="175">
        <v>0.1472</v>
      </c>
      <c r="I95" s="174">
        <v>1.2800000000000001E-2</v>
      </c>
      <c r="J95" s="175">
        <v>0</v>
      </c>
      <c r="K95" s="175">
        <v>0</v>
      </c>
      <c r="L95" s="175">
        <v>0</v>
      </c>
      <c r="M95" s="175">
        <v>0</v>
      </c>
      <c r="N95" s="175">
        <v>5.64</v>
      </c>
      <c r="O95" s="175">
        <v>1.41</v>
      </c>
      <c r="P95" s="175">
        <v>0</v>
      </c>
      <c r="Q95" s="175">
        <v>16.37</v>
      </c>
      <c r="R95" s="175">
        <v>16.54</v>
      </c>
      <c r="S95" s="175">
        <v>7.8</v>
      </c>
      <c r="T95" s="175">
        <v>0</v>
      </c>
      <c r="U95" s="175">
        <v>4.17</v>
      </c>
      <c r="V95" s="175">
        <v>2.86</v>
      </c>
      <c r="W95" s="175">
        <v>0</v>
      </c>
      <c r="X95" s="175">
        <v>0</v>
      </c>
      <c r="Y95" s="175">
        <v>0</v>
      </c>
      <c r="Z95" s="175">
        <v>0</v>
      </c>
      <c r="AA95" s="175">
        <v>0</v>
      </c>
      <c r="AB95" s="175">
        <v>0</v>
      </c>
      <c r="AC95" s="175">
        <v>0</v>
      </c>
      <c r="AD95" s="175">
        <v>0</v>
      </c>
      <c r="AE95" s="230">
        <f t="shared" si="147"/>
        <v>99.999999999999986</v>
      </c>
      <c r="AF95" s="213">
        <f t="shared" si="364"/>
        <v>0.38569032979318052</v>
      </c>
      <c r="AG95" s="213">
        <f t="shared" si="365"/>
        <v>1.6456120737842368E-3</v>
      </c>
      <c r="AH95" s="213">
        <f t="shared" si="366"/>
        <v>1.4309670206819451E-4</v>
      </c>
      <c r="AI95" s="213">
        <f t="shared" si="367"/>
        <v>0</v>
      </c>
      <c r="AJ95" s="213">
        <f t="shared" si="368"/>
        <v>0</v>
      </c>
      <c r="AK95" s="213">
        <f t="shared" si="369"/>
        <v>0</v>
      </c>
      <c r="AL95" s="213">
        <f t="shared" si="370"/>
        <v>0</v>
      </c>
      <c r="AM95" s="213">
        <f t="shared" si="371"/>
        <v>6.3051984348798204E-2</v>
      </c>
      <c r="AN95" s="213">
        <f t="shared" si="372"/>
        <v>1.5762996087199551E-2</v>
      </c>
      <c r="AO95" s="213">
        <f t="shared" si="373"/>
        <v>0</v>
      </c>
      <c r="AP95" s="213">
        <f t="shared" si="374"/>
        <v>0.18300726662940189</v>
      </c>
      <c r="AQ95" s="213">
        <f t="shared" si="375"/>
        <v>0.18490776970374509</v>
      </c>
      <c r="AR95" s="213">
        <f t="shared" si="376"/>
        <v>8.7199552822806031E-2</v>
      </c>
      <c r="AS95" s="213">
        <f t="shared" si="377"/>
        <v>0</v>
      </c>
      <c r="AT95" s="213">
        <f t="shared" si="378"/>
        <v>4.6618222470653996E-2</v>
      </c>
      <c r="AU95" s="213">
        <f t="shared" si="379"/>
        <v>3.1973169368362211E-2</v>
      </c>
      <c r="AV95" s="213">
        <f t="shared" si="380"/>
        <v>0</v>
      </c>
      <c r="AW95" s="213">
        <f t="shared" si="381"/>
        <v>0</v>
      </c>
      <c r="AX95" s="213">
        <f t="shared" si="382"/>
        <v>0</v>
      </c>
      <c r="AY95" s="213">
        <f t="shared" si="383"/>
        <v>0</v>
      </c>
      <c r="AZ95" s="213">
        <f t="shared" si="384"/>
        <v>0</v>
      </c>
      <c r="BA95" s="213">
        <f t="shared" si="385"/>
        <v>0</v>
      </c>
      <c r="BB95" s="213">
        <f t="shared" si="386"/>
        <v>0</v>
      </c>
      <c r="BC95" s="213">
        <f t="shared" si="387"/>
        <v>0</v>
      </c>
      <c r="BD95" s="231">
        <f t="shared" si="388"/>
        <v>0.99999999999999989</v>
      </c>
      <c r="BE95" s="213">
        <f t="shared" si="360"/>
        <v>0.62805147428436159</v>
      </c>
      <c r="BF95" s="213">
        <f t="shared" si="361"/>
        <v>0.21166721823125673</v>
      </c>
      <c r="BG95" s="213">
        <f t="shared" si="389"/>
        <v>5.8936565430509083E-2</v>
      </c>
      <c r="BH95" s="213">
        <f t="shared" si="390"/>
        <v>8.6889131211767088E-3</v>
      </c>
      <c r="BI95" s="217">
        <v>0</v>
      </c>
      <c r="BJ95" s="213">
        <f t="shared" si="391"/>
        <v>4.8136738077525333E-3</v>
      </c>
      <c r="BK95" s="213">
        <f t="shared" si="392"/>
        <v>8.6271941143600567E-4</v>
      </c>
      <c r="BL95" s="213">
        <f t="shared" si="393"/>
        <v>1.6917433323516376E-5</v>
      </c>
      <c r="BM95" s="213">
        <f t="shared" si="362"/>
        <v>9.9625353721854298E-3</v>
      </c>
      <c r="BN95" s="213">
        <f t="shared" si="394"/>
        <v>1.0066131220566852E-3</v>
      </c>
      <c r="BO95" s="217">
        <v>0</v>
      </c>
      <c r="BP95" s="213">
        <f t="shared" si="395"/>
        <v>7.5993369785941636E-2</v>
      </c>
      <c r="BQ95" s="213">
        <f t="shared" si="396"/>
        <v>0</v>
      </c>
      <c r="BR95" s="213">
        <f t="shared" si="397"/>
        <v>0.99999999999999989</v>
      </c>
      <c r="BS95" s="232">
        <f t="shared" si="398"/>
        <v>95.127319258254445</v>
      </c>
      <c r="BT95" s="215" t="str">
        <f t="shared" si="359"/>
        <v xml:space="preserve">R7H2EA05 </v>
      </c>
      <c r="BU95" s="269">
        <f t="shared" si="363"/>
        <v>6.8407480732591702E-2</v>
      </c>
    </row>
    <row r="96" spans="1:73" s="215" customFormat="1" x14ac:dyDescent="0.2">
      <c r="A96" s="72" t="s">
        <v>156</v>
      </c>
      <c r="B96" s="228">
        <v>143</v>
      </c>
      <c r="C96" s="228">
        <v>200</v>
      </c>
      <c r="D96" s="229">
        <f t="shared" ref="D96:D148" si="399">AVERAGE(B96:C96)</f>
        <v>171.5</v>
      </c>
      <c r="E96" s="175">
        <v>9.9700000000000006</v>
      </c>
      <c r="F96" s="175">
        <v>0.96</v>
      </c>
      <c r="G96" s="175">
        <v>39.590000000000003</v>
      </c>
      <c r="H96" s="175">
        <v>1.84E-2</v>
      </c>
      <c r="I96" s="174">
        <v>1.6000000000000001E-3</v>
      </c>
      <c r="J96" s="175">
        <v>0</v>
      </c>
      <c r="K96" s="175">
        <v>0</v>
      </c>
      <c r="L96" s="175">
        <v>0</v>
      </c>
      <c r="M96" s="175">
        <v>0</v>
      </c>
      <c r="N96" s="175">
        <v>4.88</v>
      </c>
      <c r="O96" s="175">
        <v>1.21</v>
      </c>
      <c r="P96" s="175">
        <v>0</v>
      </c>
      <c r="Q96" s="175">
        <v>16.32</v>
      </c>
      <c r="R96" s="175">
        <v>16.489999999999998</v>
      </c>
      <c r="S96" s="175">
        <v>4.88</v>
      </c>
      <c r="T96" s="175">
        <v>0</v>
      </c>
      <c r="U96" s="175">
        <v>2.64</v>
      </c>
      <c r="V96" s="175">
        <v>3.03</v>
      </c>
      <c r="W96" s="175">
        <v>0</v>
      </c>
      <c r="X96" s="175">
        <v>0</v>
      </c>
      <c r="Y96" s="175">
        <v>0</v>
      </c>
      <c r="Z96" s="175">
        <v>0</v>
      </c>
      <c r="AA96" s="175">
        <v>0</v>
      </c>
      <c r="AB96" s="175">
        <v>0</v>
      </c>
      <c r="AC96" s="175">
        <v>0</v>
      </c>
      <c r="AD96" s="175">
        <v>0</v>
      </c>
      <c r="AE96" s="230">
        <f t="shared" si="147"/>
        <v>99.990000000000009</v>
      </c>
      <c r="AF96" s="213">
        <f t="shared" si="364"/>
        <v>0.44453177633056368</v>
      </c>
      <c r="AG96" s="213">
        <f t="shared" si="365"/>
        <v>2.0660229059061305E-4</v>
      </c>
      <c r="AH96" s="213">
        <f t="shared" si="366"/>
        <v>1.7965416573096789E-5</v>
      </c>
      <c r="AI96" s="213">
        <f t="shared" si="367"/>
        <v>0</v>
      </c>
      <c r="AJ96" s="213">
        <f t="shared" si="368"/>
        <v>0</v>
      </c>
      <c r="AK96" s="213">
        <f t="shared" si="369"/>
        <v>0</v>
      </c>
      <c r="AL96" s="213">
        <f t="shared" si="370"/>
        <v>0</v>
      </c>
      <c r="AM96" s="213">
        <f t="shared" si="371"/>
        <v>5.4794520547945202E-2</v>
      </c>
      <c r="AN96" s="213">
        <f t="shared" si="372"/>
        <v>1.3586346283404445E-2</v>
      </c>
      <c r="AO96" s="213">
        <f t="shared" si="373"/>
        <v>0</v>
      </c>
      <c r="AP96" s="213">
        <f t="shared" si="374"/>
        <v>0.18324724904558723</v>
      </c>
      <c r="AQ96" s="213">
        <f t="shared" si="375"/>
        <v>0.18515607455647876</v>
      </c>
      <c r="AR96" s="213">
        <f t="shared" si="376"/>
        <v>5.4794520547945202E-2</v>
      </c>
      <c r="AS96" s="213">
        <f t="shared" si="377"/>
        <v>0</v>
      </c>
      <c r="AT96" s="213">
        <f t="shared" si="378"/>
        <v>2.9642937345609702E-2</v>
      </c>
      <c r="AU96" s="213">
        <f t="shared" si="379"/>
        <v>3.402200763530204E-2</v>
      </c>
      <c r="AV96" s="213">
        <f t="shared" si="380"/>
        <v>0</v>
      </c>
      <c r="AW96" s="213">
        <f t="shared" si="381"/>
        <v>0</v>
      </c>
      <c r="AX96" s="213">
        <f t="shared" si="382"/>
        <v>0</v>
      </c>
      <c r="AY96" s="213">
        <f t="shared" si="383"/>
        <v>0</v>
      </c>
      <c r="AZ96" s="213">
        <f t="shared" si="384"/>
        <v>0</v>
      </c>
      <c r="BA96" s="213">
        <f t="shared" si="385"/>
        <v>0</v>
      </c>
      <c r="BB96" s="213">
        <f t="shared" si="386"/>
        <v>0</v>
      </c>
      <c r="BC96" s="213">
        <f t="shared" si="387"/>
        <v>0</v>
      </c>
      <c r="BD96" s="231">
        <f t="shared" si="388"/>
        <v>1</v>
      </c>
      <c r="BE96" s="213">
        <f t="shared" si="360"/>
        <v>0.667282459786252</v>
      </c>
      <c r="BF96" s="213">
        <f t="shared" si="361"/>
        <v>0.19313981228793248</v>
      </c>
      <c r="BG96" s="213">
        <f t="shared" si="389"/>
        <v>5.0769621927824742E-2</v>
      </c>
      <c r="BH96" s="213">
        <f t="shared" si="390"/>
        <v>6.1394605363954344E-3</v>
      </c>
      <c r="BI96" s="217">
        <v>0</v>
      </c>
      <c r="BJ96" s="213">
        <f t="shared" si="391"/>
        <v>3.3902699319650598E-3</v>
      </c>
      <c r="BK96" s="213">
        <f t="shared" si="392"/>
        <v>5.4259701776313246E-4</v>
      </c>
      <c r="BL96" s="213">
        <f t="shared" si="393"/>
        <v>2.1239394941451548E-6</v>
      </c>
      <c r="BM96" s="213">
        <f t="shared" si="362"/>
        <v>7.7568571638523655E-3</v>
      </c>
      <c r="BN96" s="213">
        <f t="shared" si="394"/>
        <v>6.400709449438665E-4</v>
      </c>
      <c r="BO96" s="217">
        <v>0</v>
      </c>
      <c r="BP96" s="213">
        <f t="shared" si="395"/>
        <v>7.0336726463576874E-2</v>
      </c>
      <c r="BQ96" s="213">
        <f t="shared" si="396"/>
        <v>0</v>
      </c>
      <c r="BR96" s="213">
        <f t="shared" si="397"/>
        <v>1.0000000000000002</v>
      </c>
      <c r="BS96" s="232">
        <f t="shared" si="398"/>
        <v>95.878911427163686</v>
      </c>
      <c r="BT96" s="215" t="str">
        <f t="shared" si="359"/>
        <v xml:space="preserve">R7H2EA06 </v>
      </c>
      <c r="BU96" s="269">
        <f t="shared" si="363"/>
        <v>5.7461633912495765E-2</v>
      </c>
    </row>
    <row r="97" spans="1:73" s="215" customFormat="1" x14ac:dyDescent="0.2">
      <c r="A97" s="72" t="s">
        <v>157</v>
      </c>
      <c r="B97" s="228">
        <v>200</v>
      </c>
      <c r="C97" s="228">
        <v>300</v>
      </c>
      <c r="D97" s="229">
        <f t="shared" si="399"/>
        <v>250</v>
      </c>
      <c r="E97" s="175">
        <v>7.09</v>
      </c>
      <c r="F97" s="175">
        <v>1.77</v>
      </c>
      <c r="G97" s="175">
        <v>47.61</v>
      </c>
      <c r="H97" s="175">
        <v>9.1999999999999998E-3</v>
      </c>
      <c r="I97" s="174">
        <v>8.0000000000000004E-4</v>
      </c>
      <c r="J97" s="175">
        <v>0</v>
      </c>
      <c r="K97" s="175">
        <v>0</v>
      </c>
      <c r="L97" s="175">
        <v>0</v>
      </c>
      <c r="M97" s="175">
        <v>0</v>
      </c>
      <c r="N97" s="175">
        <v>3.68</v>
      </c>
      <c r="O97" s="175">
        <v>0.94</v>
      </c>
      <c r="P97" s="175">
        <v>0</v>
      </c>
      <c r="Q97" s="175">
        <v>15.59</v>
      </c>
      <c r="R97" s="175">
        <v>15.75</v>
      </c>
      <c r="S97" s="175">
        <v>3.86</v>
      </c>
      <c r="T97" s="175">
        <v>0</v>
      </c>
      <c r="U97" s="175">
        <v>1.23</v>
      </c>
      <c r="V97" s="175">
        <v>2.44</v>
      </c>
      <c r="W97" s="175">
        <v>0</v>
      </c>
      <c r="X97" s="175">
        <v>0</v>
      </c>
      <c r="Y97" s="175">
        <v>0</v>
      </c>
      <c r="Z97" s="175">
        <v>0</v>
      </c>
      <c r="AA97" s="175">
        <v>0</v>
      </c>
      <c r="AB97" s="175">
        <v>0</v>
      </c>
      <c r="AC97" s="175">
        <v>0</v>
      </c>
      <c r="AD97" s="175">
        <v>0</v>
      </c>
      <c r="AE97" s="230">
        <f t="shared" si="147"/>
        <v>99.97</v>
      </c>
      <c r="AF97" s="213">
        <f t="shared" si="364"/>
        <v>0.52255515311162326</v>
      </c>
      <c r="AG97" s="213">
        <f t="shared" si="365"/>
        <v>1.0097684118099001E-4</v>
      </c>
      <c r="AH97" s="213">
        <f t="shared" si="366"/>
        <v>8.7805948853034803E-6</v>
      </c>
      <c r="AI97" s="213">
        <f t="shared" si="367"/>
        <v>0</v>
      </c>
      <c r="AJ97" s="213">
        <f t="shared" si="368"/>
        <v>0</v>
      </c>
      <c r="AK97" s="213">
        <f t="shared" si="369"/>
        <v>0</v>
      </c>
      <c r="AL97" s="213">
        <f t="shared" si="370"/>
        <v>0</v>
      </c>
      <c r="AM97" s="213">
        <f t="shared" si="371"/>
        <v>4.0390736472396008E-2</v>
      </c>
      <c r="AN97" s="213">
        <f t="shared" si="372"/>
        <v>1.0317198990231587E-2</v>
      </c>
      <c r="AO97" s="213">
        <f t="shared" si="373"/>
        <v>0</v>
      </c>
      <c r="AP97" s="213">
        <f t="shared" si="374"/>
        <v>0.17111184282735156</v>
      </c>
      <c r="AQ97" s="213">
        <f t="shared" si="375"/>
        <v>0.17286796180441225</v>
      </c>
      <c r="AR97" s="213">
        <f t="shared" si="376"/>
        <v>4.2366370321589283E-2</v>
      </c>
      <c r="AS97" s="213">
        <f t="shared" si="377"/>
        <v>0</v>
      </c>
      <c r="AT97" s="213">
        <f t="shared" si="378"/>
        <v>1.35001646361541E-2</v>
      </c>
      <c r="AU97" s="213">
        <f t="shared" si="379"/>
        <v>2.6780814400175611E-2</v>
      </c>
      <c r="AV97" s="213">
        <f t="shared" si="380"/>
        <v>0</v>
      </c>
      <c r="AW97" s="213">
        <f t="shared" si="381"/>
        <v>0</v>
      </c>
      <c r="AX97" s="213">
        <f t="shared" si="382"/>
        <v>0</v>
      </c>
      <c r="AY97" s="213">
        <f t="shared" si="383"/>
        <v>0</v>
      </c>
      <c r="AZ97" s="213">
        <f t="shared" si="384"/>
        <v>0</v>
      </c>
      <c r="BA97" s="213">
        <f t="shared" si="385"/>
        <v>0</v>
      </c>
      <c r="BB97" s="213">
        <f t="shared" si="386"/>
        <v>0</v>
      </c>
      <c r="BC97" s="213">
        <f t="shared" si="387"/>
        <v>0</v>
      </c>
      <c r="BD97" s="231">
        <f t="shared" si="388"/>
        <v>1</v>
      </c>
      <c r="BE97" s="213">
        <f t="shared" si="360"/>
        <v>0.71853990056146178</v>
      </c>
      <c r="BF97" s="213">
        <f t="shared" si="361"/>
        <v>0.16981922478377146</v>
      </c>
      <c r="BG97" s="213">
        <f t="shared" si="389"/>
        <v>3.8055472131297743E-2</v>
      </c>
      <c r="BH97" s="213">
        <f t="shared" si="390"/>
        <v>3.3026067794710572E-3</v>
      </c>
      <c r="BI97" s="217">
        <v>0</v>
      </c>
      <c r="BJ97" s="213">
        <f t="shared" si="391"/>
        <v>2.1108694800773937E-3</v>
      </c>
      <c r="BK97" s="213">
        <f t="shared" si="392"/>
        <v>4.0655136586307346E-4</v>
      </c>
      <c r="BL97" s="213">
        <f t="shared" si="393"/>
        <v>1.0380751363657531E-6</v>
      </c>
      <c r="BM97" s="213">
        <f t="shared" si="362"/>
        <v>5.5305909636833642E-3</v>
      </c>
      <c r="BN97" s="213">
        <f t="shared" si="394"/>
        <v>2.9150495562615752E-4</v>
      </c>
      <c r="BO97" s="217">
        <v>0</v>
      </c>
      <c r="BP97" s="213">
        <f t="shared" si="395"/>
        <v>6.1942240903611591E-2</v>
      </c>
      <c r="BQ97" s="213">
        <f t="shared" si="396"/>
        <v>0</v>
      </c>
      <c r="BR97" s="213">
        <f t="shared" si="397"/>
        <v>1</v>
      </c>
      <c r="BS97" s="232">
        <f t="shared" si="398"/>
        <v>96.621376835692573</v>
      </c>
      <c r="BT97" s="215" t="str">
        <f t="shared" si="359"/>
        <v xml:space="preserve">R7H2EA07 </v>
      </c>
      <c r="BU97" s="269">
        <f t="shared" si="363"/>
        <v>4.1655313520921194E-2</v>
      </c>
    </row>
    <row r="98" spans="1:73" s="215" customFormat="1" x14ac:dyDescent="0.2">
      <c r="A98" s="72" t="s">
        <v>158</v>
      </c>
      <c r="B98" s="228">
        <v>300</v>
      </c>
      <c r="C98" s="228">
        <v>400</v>
      </c>
      <c r="D98" s="229">
        <f t="shared" si="399"/>
        <v>350</v>
      </c>
      <c r="E98" s="175">
        <v>10.130000000000001</v>
      </c>
      <c r="F98" s="175">
        <v>1.62</v>
      </c>
      <c r="G98" s="175">
        <v>43.29</v>
      </c>
      <c r="H98" s="175">
        <v>9.1999999999999998E-3</v>
      </c>
      <c r="I98" s="174">
        <v>8.0000000000000004E-4</v>
      </c>
      <c r="J98" s="175">
        <v>0</v>
      </c>
      <c r="K98" s="175">
        <v>0</v>
      </c>
      <c r="L98" s="175">
        <v>0</v>
      </c>
      <c r="M98" s="175">
        <v>0</v>
      </c>
      <c r="N98" s="175">
        <v>3.58</v>
      </c>
      <c r="O98" s="175">
        <v>0.99</v>
      </c>
      <c r="P98" s="175">
        <v>0</v>
      </c>
      <c r="Q98" s="175">
        <v>15.86</v>
      </c>
      <c r="R98" s="175">
        <v>16.03</v>
      </c>
      <c r="S98" s="175">
        <v>3.83</v>
      </c>
      <c r="T98" s="175">
        <v>0</v>
      </c>
      <c r="U98" s="175">
        <v>1.24</v>
      </c>
      <c r="V98" s="175">
        <v>3.41</v>
      </c>
      <c r="W98" s="175">
        <v>0</v>
      </c>
      <c r="X98" s="175">
        <v>0</v>
      </c>
      <c r="Y98" s="175">
        <v>0</v>
      </c>
      <c r="Z98" s="175">
        <v>0</v>
      </c>
      <c r="AA98" s="175">
        <v>0</v>
      </c>
      <c r="AB98" s="175">
        <v>0</v>
      </c>
      <c r="AC98" s="175">
        <v>0</v>
      </c>
      <c r="AD98" s="175">
        <v>0</v>
      </c>
      <c r="AE98" s="230">
        <f t="shared" si="147"/>
        <v>99.989999999999981</v>
      </c>
      <c r="AF98" s="213">
        <f t="shared" si="364"/>
        <v>0.49059383499546699</v>
      </c>
      <c r="AG98" s="213">
        <f t="shared" si="365"/>
        <v>1.0426110607434272E-4</v>
      </c>
      <c r="AH98" s="213">
        <f t="shared" si="366"/>
        <v>9.0661831368993672E-6</v>
      </c>
      <c r="AI98" s="213">
        <f t="shared" si="367"/>
        <v>0</v>
      </c>
      <c r="AJ98" s="213">
        <f t="shared" si="368"/>
        <v>0</v>
      </c>
      <c r="AK98" s="213">
        <f t="shared" si="369"/>
        <v>0</v>
      </c>
      <c r="AL98" s="213">
        <f t="shared" si="370"/>
        <v>0</v>
      </c>
      <c r="AM98" s="213">
        <f t="shared" si="371"/>
        <v>4.0571169537624671E-2</v>
      </c>
      <c r="AN98" s="213">
        <f t="shared" si="372"/>
        <v>1.1219401631912967E-2</v>
      </c>
      <c r="AO98" s="213">
        <f t="shared" si="373"/>
        <v>0</v>
      </c>
      <c r="AP98" s="213">
        <f t="shared" si="374"/>
        <v>0.17973708068902994</v>
      </c>
      <c r="AQ98" s="213">
        <f t="shared" si="375"/>
        <v>0.18166364460562109</v>
      </c>
      <c r="AR98" s="213">
        <f t="shared" si="376"/>
        <v>4.3404351767905719E-2</v>
      </c>
      <c r="AS98" s="213">
        <f t="shared" si="377"/>
        <v>0</v>
      </c>
      <c r="AT98" s="213">
        <f t="shared" si="378"/>
        <v>1.405258386219402E-2</v>
      </c>
      <c r="AU98" s="213">
        <f t="shared" si="379"/>
        <v>3.8644605621033556E-2</v>
      </c>
      <c r="AV98" s="213">
        <f t="shared" si="380"/>
        <v>0</v>
      </c>
      <c r="AW98" s="213">
        <f t="shared" si="381"/>
        <v>0</v>
      </c>
      <c r="AX98" s="213">
        <f t="shared" si="382"/>
        <v>0</v>
      </c>
      <c r="AY98" s="213">
        <f t="shared" si="383"/>
        <v>0</v>
      </c>
      <c r="AZ98" s="213">
        <f t="shared" si="384"/>
        <v>0</v>
      </c>
      <c r="BA98" s="213">
        <f t="shared" si="385"/>
        <v>0</v>
      </c>
      <c r="BB98" s="213">
        <f t="shared" si="386"/>
        <v>0</v>
      </c>
      <c r="BC98" s="213">
        <f t="shared" si="387"/>
        <v>0</v>
      </c>
      <c r="BD98" s="231">
        <f t="shared" si="388"/>
        <v>1</v>
      </c>
      <c r="BE98" s="213">
        <f t="shared" si="360"/>
        <v>0.70145481778376806</v>
      </c>
      <c r="BF98" s="213">
        <f t="shared" si="361"/>
        <v>0.18073188065835946</v>
      </c>
      <c r="BG98" s="213">
        <f t="shared" si="389"/>
        <v>3.8379597746744348E-2</v>
      </c>
      <c r="BH98" s="213">
        <f t="shared" si="390"/>
        <v>3.9210195106421089E-3</v>
      </c>
      <c r="BI98" s="217">
        <v>0</v>
      </c>
      <c r="BJ98" s="213">
        <f t="shared" si="391"/>
        <v>2.4533263968332139E-3</v>
      </c>
      <c r="BK98" s="213">
        <f t="shared" si="392"/>
        <v>4.1681731537370576E-4</v>
      </c>
      <c r="BL98" s="213">
        <f t="shared" si="393"/>
        <v>1.0718384595907046E-6</v>
      </c>
      <c r="BM98" s="213">
        <f t="shared" si="362"/>
        <v>6.9797424496775441E-3</v>
      </c>
      <c r="BN98" s="213">
        <f t="shared" si="394"/>
        <v>3.0343317623041213E-4</v>
      </c>
      <c r="BO98" s="217">
        <v>0</v>
      </c>
      <c r="BP98" s="213">
        <f t="shared" si="395"/>
        <v>6.5358293123911726E-2</v>
      </c>
      <c r="BQ98" s="213">
        <f t="shared" si="396"/>
        <v>0</v>
      </c>
      <c r="BR98" s="213">
        <f t="shared" si="397"/>
        <v>1</v>
      </c>
      <c r="BS98" s="232">
        <f t="shared" si="398"/>
        <v>96.067798446628828</v>
      </c>
      <c r="BT98" s="215" t="str">
        <f t="shared" si="359"/>
        <v xml:space="preserve">R7H2EA08 </v>
      </c>
      <c r="BU98" s="269">
        <f t="shared" si="363"/>
        <v>4.2653509013344248E-2</v>
      </c>
    </row>
    <row r="99" spans="1:73" s="215" customFormat="1" x14ac:dyDescent="0.2">
      <c r="A99" s="72" t="s">
        <v>159</v>
      </c>
      <c r="B99" s="228">
        <v>400</v>
      </c>
      <c r="C99" s="228">
        <v>500</v>
      </c>
      <c r="D99" s="229">
        <f t="shared" si="399"/>
        <v>450</v>
      </c>
      <c r="E99" s="175">
        <v>10.28</v>
      </c>
      <c r="F99" s="175">
        <v>1.02</v>
      </c>
      <c r="G99" s="175">
        <v>28.8</v>
      </c>
      <c r="H99" s="175">
        <v>1.748</v>
      </c>
      <c r="I99" s="174">
        <v>0.152</v>
      </c>
      <c r="J99" s="175">
        <v>0</v>
      </c>
      <c r="K99" s="175">
        <v>0</v>
      </c>
      <c r="L99" s="175">
        <v>0</v>
      </c>
      <c r="M99" s="175">
        <v>0</v>
      </c>
      <c r="N99" s="175">
        <v>4.47</v>
      </c>
      <c r="O99" s="175">
        <v>0</v>
      </c>
      <c r="P99" s="175">
        <v>0</v>
      </c>
      <c r="Q99" s="175">
        <v>34.96</v>
      </c>
      <c r="R99" s="175">
        <v>15.71</v>
      </c>
      <c r="S99" s="175">
        <v>0</v>
      </c>
      <c r="T99" s="175">
        <v>0</v>
      </c>
      <c r="U99" s="175">
        <v>0.12</v>
      </c>
      <c r="V99" s="175">
        <v>2.76</v>
      </c>
      <c r="W99" s="175">
        <v>0</v>
      </c>
      <c r="X99" s="175">
        <v>0</v>
      </c>
      <c r="Y99" s="175">
        <v>0</v>
      </c>
      <c r="Z99" s="175">
        <v>0</v>
      </c>
      <c r="AA99" s="175">
        <v>0</v>
      </c>
      <c r="AB99" s="175">
        <v>0</v>
      </c>
      <c r="AC99" s="175">
        <v>0</v>
      </c>
      <c r="AD99" s="175">
        <v>0</v>
      </c>
      <c r="AE99" s="230">
        <f t="shared" si="147"/>
        <v>100.02000000000002</v>
      </c>
      <c r="AF99" s="213">
        <f t="shared" si="364"/>
        <v>0.32461677186654642</v>
      </c>
      <c r="AG99" s="213">
        <f t="shared" si="365"/>
        <v>1.9702434625788995E-2</v>
      </c>
      <c r="AH99" s="213">
        <f t="shared" si="366"/>
        <v>1.7132551848512169E-3</v>
      </c>
      <c r="AI99" s="213">
        <f t="shared" si="367"/>
        <v>0</v>
      </c>
      <c r="AJ99" s="213">
        <f t="shared" si="368"/>
        <v>0</v>
      </c>
      <c r="AK99" s="213">
        <f t="shared" si="369"/>
        <v>0</v>
      </c>
      <c r="AL99" s="213">
        <f t="shared" si="370"/>
        <v>0</v>
      </c>
      <c r="AM99" s="213">
        <f t="shared" si="371"/>
        <v>5.0383228133453549E-2</v>
      </c>
      <c r="AN99" s="213">
        <f t="shared" si="372"/>
        <v>0</v>
      </c>
      <c r="AO99" s="213">
        <f t="shared" si="373"/>
        <v>0</v>
      </c>
      <c r="AP99" s="213">
        <f t="shared" si="374"/>
        <v>0.39404869251577995</v>
      </c>
      <c r="AQ99" s="213">
        <f t="shared" si="375"/>
        <v>0.17707394048692515</v>
      </c>
      <c r="AR99" s="213">
        <f t="shared" si="376"/>
        <v>0</v>
      </c>
      <c r="AS99" s="213">
        <f t="shared" si="377"/>
        <v>0</v>
      </c>
      <c r="AT99" s="213">
        <f t="shared" si="378"/>
        <v>1.3525698827772765E-3</v>
      </c>
      <c r="AU99" s="213">
        <f t="shared" si="379"/>
        <v>3.1109107303877361E-2</v>
      </c>
      <c r="AV99" s="213">
        <f t="shared" si="380"/>
        <v>0</v>
      </c>
      <c r="AW99" s="213">
        <f t="shared" si="381"/>
        <v>0</v>
      </c>
      <c r="AX99" s="213">
        <f t="shared" si="382"/>
        <v>0</v>
      </c>
      <c r="AY99" s="213">
        <f t="shared" si="383"/>
        <v>0</v>
      </c>
      <c r="AZ99" s="213">
        <f t="shared" si="384"/>
        <v>0</v>
      </c>
      <c r="BA99" s="213">
        <f t="shared" si="385"/>
        <v>0</v>
      </c>
      <c r="BB99" s="213">
        <f t="shared" si="386"/>
        <v>0</v>
      </c>
      <c r="BC99" s="213">
        <f t="shared" si="387"/>
        <v>0</v>
      </c>
      <c r="BD99" s="231">
        <f t="shared" si="388"/>
        <v>1</v>
      </c>
      <c r="BE99" s="213">
        <f t="shared" si="360"/>
        <v>0.61999127142216692</v>
      </c>
      <c r="BF99" s="213">
        <f t="shared" si="361"/>
        <v>0.23604159775524519</v>
      </c>
      <c r="BG99" s="213">
        <f t="shared" si="389"/>
        <v>4.8181407393597456E-2</v>
      </c>
      <c r="BH99" s="213">
        <f t="shared" si="390"/>
        <v>1.606660835347351E-3</v>
      </c>
      <c r="BI99" s="217">
        <v>0</v>
      </c>
      <c r="BJ99" s="213">
        <f t="shared" si="391"/>
        <v>8.4788760221402362E-4</v>
      </c>
      <c r="BK99" s="213">
        <f t="shared" si="392"/>
        <v>1.8634581433205733E-6</v>
      </c>
      <c r="BL99" s="213">
        <f t="shared" si="393"/>
        <v>2.0254750764330375E-4</v>
      </c>
      <c r="BM99" s="213">
        <f t="shared" si="362"/>
        <v>7.0206194804466448E-3</v>
      </c>
      <c r="BN99" s="213">
        <f t="shared" si="394"/>
        <v>2.9205630767225146E-5</v>
      </c>
      <c r="BO99" s="217">
        <v>0</v>
      </c>
      <c r="BP99" s="213">
        <f t="shared" si="395"/>
        <v>8.607693891442858E-2</v>
      </c>
      <c r="BQ99" s="213">
        <f t="shared" si="396"/>
        <v>0</v>
      </c>
      <c r="BR99" s="213">
        <f t="shared" si="357"/>
        <v>1</v>
      </c>
      <c r="BS99" s="232">
        <f t="shared" si="398"/>
        <v>97.029995236235465</v>
      </c>
      <c r="BT99" s="215" t="str">
        <f t="shared" si="359"/>
        <v xml:space="preserve">R7H2EA09 </v>
      </c>
      <c r="BU99" s="269">
        <f t="shared" si="363"/>
        <v>4.993266770412607E-2</v>
      </c>
    </row>
    <row r="100" spans="1:73" s="215" customFormat="1" x14ac:dyDescent="0.2">
      <c r="A100" s="72" t="s">
        <v>160</v>
      </c>
      <c r="B100" s="228">
        <v>500</v>
      </c>
      <c r="C100" s="228">
        <v>600</v>
      </c>
      <c r="D100" s="229">
        <f t="shared" si="399"/>
        <v>550</v>
      </c>
      <c r="E100" s="175">
        <v>11.06</v>
      </c>
      <c r="F100" s="175">
        <v>0.39</v>
      </c>
      <c r="G100" s="175">
        <v>37.159999999999997</v>
      </c>
      <c r="H100" s="175">
        <v>2.76E-2</v>
      </c>
      <c r="I100" s="174">
        <v>2.3999999999999998E-3</v>
      </c>
      <c r="J100" s="175">
        <v>0</v>
      </c>
      <c r="K100" s="175">
        <v>0</v>
      </c>
      <c r="L100" s="175">
        <v>0</v>
      </c>
      <c r="M100" s="175">
        <v>0</v>
      </c>
      <c r="N100" s="175">
        <v>4.63</v>
      </c>
      <c r="O100" s="175">
        <v>0</v>
      </c>
      <c r="P100" s="175">
        <v>0</v>
      </c>
      <c r="Q100" s="175">
        <v>18.63</v>
      </c>
      <c r="R100" s="175">
        <v>18.82</v>
      </c>
      <c r="S100" s="175">
        <v>0</v>
      </c>
      <c r="T100" s="175">
        <v>0</v>
      </c>
      <c r="U100" s="175">
        <v>0.69</v>
      </c>
      <c r="V100" s="175">
        <v>8.59</v>
      </c>
      <c r="W100" s="175">
        <v>0</v>
      </c>
      <c r="X100" s="175">
        <v>0</v>
      </c>
      <c r="Y100" s="175">
        <v>0</v>
      </c>
      <c r="Z100" s="175">
        <v>0</v>
      </c>
      <c r="AA100" s="175">
        <v>0</v>
      </c>
      <c r="AB100" s="175">
        <v>0</v>
      </c>
      <c r="AC100" s="175">
        <v>0</v>
      </c>
      <c r="AD100" s="175">
        <v>0</v>
      </c>
      <c r="AE100" s="230">
        <f t="shared" si="147"/>
        <v>100</v>
      </c>
      <c r="AF100" s="213">
        <f t="shared" si="364"/>
        <v>0.41964991530208912</v>
      </c>
      <c r="AG100" s="213">
        <f t="shared" si="365"/>
        <v>3.1168831168831162E-4</v>
      </c>
      <c r="AH100" s="213">
        <f t="shared" si="366"/>
        <v>2.7103331451157534E-5</v>
      </c>
      <c r="AI100" s="213">
        <f t="shared" si="367"/>
        <v>0</v>
      </c>
      <c r="AJ100" s="213">
        <f t="shared" si="368"/>
        <v>0</v>
      </c>
      <c r="AK100" s="213">
        <f t="shared" si="369"/>
        <v>0</v>
      </c>
      <c r="AL100" s="213">
        <f t="shared" si="370"/>
        <v>0</v>
      </c>
      <c r="AM100" s="213">
        <f t="shared" si="371"/>
        <v>5.2286843591191408E-2</v>
      </c>
      <c r="AN100" s="213">
        <f t="shared" si="372"/>
        <v>0</v>
      </c>
      <c r="AO100" s="213">
        <f t="shared" si="373"/>
        <v>0</v>
      </c>
      <c r="AP100" s="213">
        <f t="shared" si="374"/>
        <v>0.21038961038961035</v>
      </c>
      <c r="AQ100" s="213">
        <f t="shared" si="375"/>
        <v>0.21253529079616035</v>
      </c>
      <c r="AR100" s="213">
        <f t="shared" si="376"/>
        <v>0</v>
      </c>
      <c r="AS100" s="213">
        <f t="shared" si="377"/>
        <v>0</v>
      </c>
      <c r="AT100" s="213">
        <f t="shared" si="378"/>
        <v>7.7922077922077905E-3</v>
      </c>
      <c r="AU100" s="213">
        <f t="shared" si="379"/>
        <v>9.7007340485601334E-2</v>
      </c>
      <c r="AV100" s="213">
        <f t="shared" si="380"/>
        <v>0</v>
      </c>
      <c r="AW100" s="213">
        <f t="shared" si="381"/>
        <v>0</v>
      </c>
      <c r="AX100" s="213">
        <f t="shared" si="382"/>
        <v>0</v>
      </c>
      <c r="AY100" s="213">
        <f t="shared" si="383"/>
        <v>0</v>
      </c>
      <c r="AZ100" s="213">
        <f t="shared" si="384"/>
        <v>0</v>
      </c>
      <c r="BA100" s="213">
        <f t="shared" si="385"/>
        <v>0</v>
      </c>
      <c r="BB100" s="213">
        <f t="shared" si="386"/>
        <v>0</v>
      </c>
      <c r="BC100" s="213">
        <f t="shared" si="387"/>
        <v>0</v>
      </c>
      <c r="BD100" s="231">
        <f t="shared" si="388"/>
        <v>0.99999999999999989</v>
      </c>
      <c r="BE100" s="213">
        <f t="shared" si="360"/>
        <v>0.66963448679912285</v>
      </c>
      <c r="BF100" s="213">
        <f t="shared" si="361"/>
        <v>0.19413008431985213</v>
      </c>
      <c r="BG100" s="213">
        <f t="shared" si="389"/>
        <v>4.694749458731215E-2</v>
      </c>
      <c r="BH100" s="213">
        <f t="shared" si="390"/>
        <v>5.5662433412917121E-3</v>
      </c>
      <c r="BI100" s="217">
        <v>0</v>
      </c>
      <c r="BJ100" s="213">
        <f t="shared" si="391"/>
        <v>2.8421499006170171E-3</v>
      </c>
      <c r="BK100" s="213">
        <f t="shared" si="392"/>
        <v>1.0735454965935146E-5</v>
      </c>
      <c r="BL100" s="213">
        <f t="shared" si="393"/>
        <v>3.2042583514720631E-6</v>
      </c>
      <c r="BM100" s="213">
        <f t="shared" si="362"/>
        <v>1.1741184691997041E-2</v>
      </c>
      <c r="BN100" s="213">
        <f t="shared" si="394"/>
        <v>1.6825477673170229E-4</v>
      </c>
      <c r="BO100" s="217">
        <v>0</v>
      </c>
      <c r="BP100" s="213">
        <f t="shared" si="395"/>
        <v>6.895616186975792E-2</v>
      </c>
      <c r="BQ100" s="213">
        <f t="shared" si="396"/>
        <v>0</v>
      </c>
      <c r="BR100" s="213">
        <f t="shared" si="357"/>
        <v>0.99999999999999989</v>
      </c>
      <c r="BS100" s="232">
        <f t="shared" si="398"/>
        <v>94.290447342914163</v>
      </c>
      <c r="BT100" s="215" t="str">
        <f t="shared" si="359"/>
        <v xml:space="preserve">R7H2EA10 </v>
      </c>
      <c r="BU100" s="269">
        <f t="shared" si="363"/>
        <v>5.3014699829320118E-2</v>
      </c>
    </row>
    <row r="101" spans="1:73" s="215" customFormat="1" x14ac:dyDescent="0.2">
      <c r="A101" s="72" t="s">
        <v>161</v>
      </c>
      <c r="B101" s="228">
        <v>600</v>
      </c>
      <c r="C101" s="228">
        <v>700</v>
      </c>
      <c r="D101" s="229">
        <f t="shared" si="399"/>
        <v>650</v>
      </c>
      <c r="E101" s="175">
        <v>12.97</v>
      </c>
      <c r="F101" s="175">
        <v>0</v>
      </c>
      <c r="G101" s="175">
        <v>39.340000000000003</v>
      </c>
      <c r="H101" s="175">
        <v>0</v>
      </c>
      <c r="I101" s="174">
        <v>0</v>
      </c>
      <c r="J101" s="175">
        <v>0</v>
      </c>
      <c r="K101" s="175">
        <v>0</v>
      </c>
      <c r="L101" s="175">
        <v>0</v>
      </c>
      <c r="M101" s="175">
        <v>0</v>
      </c>
      <c r="N101" s="175">
        <v>5.01</v>
      </c>
      <c r="O101" s="175">
        <v>0</v>
      </c>
      <c r="P101" s="175">
        <v>0</v>
      </c>
      <c r="Q101" s="175">
        <v>19.05</v>
      </c>
      <c r="R101" s="175">
        <v>19.25</v>
      </c>
      <c r="S101" s="175">
        <v>0</v>
      </c>
      <c r="T101" s="175">
        <v>0</v>
      </c>
      <c r="U101" s="175">
        <v>0.73</v>
      </c>
      <c r="V101" s="175">
        <v>3.65</v>
      </c>
      <c r="W101" s="175">
        <v>0</v>
      </c>
      <c r="X101" s="175">
        <v>0</v>
      </c>
      <c r="Y101" s="175">
        <v>0</v>
      </c>
      <c r="Z101" s="175">
        <v>0</v>
      </c>
      <c r="AA101" s="175">
        <v>0</v>
      </c>
      <c r="AB101" s="175">
        <v>0</v>
      </c>
      <c r="AC101" s="175">
        <v>0</v>
      </c>
      <c r="AD101" s="175">
        <v>0</v>
      </c>
      <c r="AE101" s="230">
        <f t="shared" si="147"/>
        <v>100.00000000000001</v>
      </c>
      <c r="AF101" s="213">
        <f t="shared" si="364"/>
        <v>0.45202803630931859</v>
      </c>
      <c r="AG101" s="213">
        <f t="shared" si="365"/>
        <v>0</v>
      </c>
      <c r="AH101" s="213">
        <f t="shared" si="366"/>
        <v>0</v>
      </c>
      <c r="AI101" s="213">
        <f t="shared" si="367"/>
        <v>0</v>
      </c>
      <c r="AJ101" s="213">
        <f t="shared" si="368"/>
        <v>0</v>
      </c>
      <c r="AK101" s="213">
        <f t="shared" si="369"/>
        <v>0</v>
      </c>
      <c r="AL101" s="213">
        <f t="shared" si="370"/>
        <v>0</v>
      </c>
      <c r="AM101" s="213">
        <f t="shared" si="371"/>
        <v>5.7566356428817633E-2</v>
      </c>
      <c r="AN101" s="213">
        <f t="shared" si="372"/>
        <v>0</v>
      </c>
      <c r="AO101" s="213">
        <f t="shared" si="373"/>
        <v>0</v>
      </c>
      <c r="AP101" s="213">
        <f t="shared" si="374"/>
        <v>0.2188900379179593</v>
      </c>
      <c r="AQ101" s="213">
        <f t="shared" si="375"/>
        <v>0.22118809605883025</v>
      </c>
      <c r="AR101" s="213">
        <f t="shared" si="376"/>
        <v>0</v>
      </c>
      <c r="AS101" s="213">
        <f t="shared" si="377"/>
        <v>0</v>
      </c>
      <c r="AT101" s="213">
        <f t="shared" si="378"/>
        <v>8.3879122141790174E-3</v>
      </c>
      <c r="AU101" s="213">
        <f t="shared" si="379"/>
        <v>4.1939561070895089E-2</v>
      </c>
      <c r="AV101" s="213">
        <f t="shared" si="380"/>
        <v>0</v>
      </c>
      <c r="AW101" s="213">
        <f t="shared" si="381"/>
        <v>0</v>
      </c>
      <c r="AX101" s="213">
        <f t="shared" si="382"/>
        <v>0</v>
      </c>
      <c r="AY101" s="213">
        <f t="shared" si="383"/>
        <v>0</v>
      </c>
      <c r="AZ101" s="213">
        <f t="shared" si="384"/>
        <v>0</v>
      </c>
      <c r="BA101" s="213">
        <f t="shared" si="385"/>
        <v>0</v>
      </c>
      <c r="BB101" s="213">
        <f t="shared" si="386"/>
        <v>0</v>
      </c>
      <c r="BC101" s="213">
        <f t="shared" si="387"/>
        <v>0</v>
      </c>
      <c r="BD101" s="231">
        <f t="shared" si="388"/>
        <v>1</v>
      </c>
      <c r="BE101" s="213">
        <f t="shared" si="360"/>
        <v>0.68145785868389919</v>
      </c>
      <c r="BF101" s="213">
        <f t="shared" si="361"/>
        <v>0.18735982183231759</v>
      </c>
      <c r="BG101" s="213">
        <f t="shared" si="389"/>
        <v>5.1491850282283119E-2</v>
      </c>
      <c r="BH101" s="213">
        <f t="shared" si="390"/>
        <v>3.1874591804666387E-3</v>
      </c>
      <c r="BI101" s="217">
        <v>0</v>
      </c>
      <c r="BJ101" s="213">
        <f t="shared" si="391"/>
        <v>1.5070392169728743E-3</v>
      </c>
      <c r="BK101" s="213">
        <f t="shared" si="392"/>
        <v>1.1556166908637149E-5</v>
      </c>
      <c r="BL101" s="213">
        <f t="shared" si="393"/>
        <v>0</v>
      </c>
      <c r="BM101" s="213">
        <f t="shared" si="362"/>
        <v>5.3262142250534578E-3</v>
      </c>
      <c r="BN101" s="213">
        <f t="shared" si="394"/>
        <v>1.8111764142803217E-4</v>
      </c>
      <c r="BO101" s="217">
        <v>0</v>
      </c>
      <c r="BP101" s="213">
        <f t="shared" si="395"/>
        <v>6.9477082770670467E-2</v>
      </c>
      <c r="BQ101" s="213">
        <f t="shared" si="396"/>
        <v>0</v>
      </c>
      <c r="BR101" s="213">
        <f t="shared" si="357"/>
        <v>0.99999999999999989</v>
      </c>
      <c r="BS101" s="232">
        <f t="shared" si="398"/>
        <v>97.229975564121474</v>
      </c>
      <c r="BT101" s="215" t="str">
        <f t="shared" si="359"/>
        <v xml:space="preserve">R7H2EA11 </v>
      </c>
      <c r="BU101" s="269">
        <f t="shared" si="363"/>
        <v>5.4966180788991757E-2</v>
      </c>
    </row>
    <row r="102" spans="1:73" s="216" customFormat="1" ht="16" thickBot="1" x14ac:dyDescent="0.25">
      <c r="A102" s="72" t="s">
        <v>162</v>
      </c>
      <c r="B102" s="233">
        <v>700</v>
      </c>
      <c r="C102" s="233">
        <v>800</v>
      </c>
      <c r="D102" s="234">
        <f t="shared" si="399"/>
        <v>750</v>
      </c>
      <c r="E102" s="176">
        <v>10.5</v>
      </c>
      <c r="F102" s="176">
        <v>0</v>
      </c>
      <c r="G102" s="176">
        <v>28.96</v>
      </c>
      <c r="H102" s="176">
        <v>0</v>
      </c>
      <c r="I102" s="176">
        <v>0</v>
      </c>
      <c r="J102" s="176">
        <v>0</v>
      </c>
      <c r="K102" s="176">
        <v>0</v>
      </c>
      <c r="L102" s="176">
        <v>7.54</v>
      </c>
      <c r="M102" s="176">
        <v>0</v>
      </c>
      <c r="N102" s="176">
        <v>7.9</v>
      </c>
      <c r="O102" s="176">
        <v>0</v>
      </c>
      <c r="P102" s="176">
        <v>0</v>
      </c>
      <c r="Q102" s="176">
        <v>20.010000000000002</v>
      </c>
      <c r="R102" s="176">
        <v>20.23</v>
      </c>
      <c r="S102" s="176">
        <v>0</v>
      </c>
      <c r="T102" s="176">
        <v>0</v>
      </c>
      <c r="U102" s="176">
        <v>0.45</v>
      </c>
      <c r="V102" s="176">
        <v>3.78</v>
      </c>
      <c r="W102" s="176">
        <v>0.02</v>
      </c>
      <c r="X102" s="176">
        <v>0.6</v>
      </c>
      <c r="Y102" s="176">
        <v>0</v>
      </c>
      <c r="Z102" s="176">
        <v>0</v>
      </c>
      <c r="AA102" s="176">
        <v>0</v>
      </c>
      <c r="AB102" s="176">
        <v>0</v>
      </c>
      <c r="AC102" s="176">
        <v>0</v>
      </c>
      <c r="AD102" s="176">
        <v>0</v>
      </c>
      <c r="AE102" s="235">
        <f t="shared" si="147"/>
        <v>99.99</v>
      </c>
      <c r="AF102" s="214">
        <f t="shared" si="364"/>
        <v>0.32361157671248186</v>
      </c>
      <c r="AG102" s="214">
        <f t="shared" si="365"/>
        <v>0</v>
      </c>
      <c r="AH102" s="214">
        <f t="shared" si="366"/>
        <v>0</v>
      </c>
      <c r="AI102" s="214">
        <f t="shared" si="367"/>
        <v>0</v>
      </c>
      <c r="AJ102" s="214">
        <f t="shared" si="368"/>
        <v>0</v>
      </c>
      <c r="AK102" s="214">
        <f t="shared" si="369"/>
        <v>8.4255224047379604E-2</v>
      </c>
      <c r="AL102" s="214">
        <f t="shared" si="370"/>
        <v>0</v>
      </c>
      <c r="AM102" s="214">
        <f t="shared" si="371"/>
        <v>8.8278019890490569E-2</v>
      </c>
      <c r="AN102" s="214">
        <f t="shared" si="372"/>
        <v>0</v>
      </c>
      <c r="AO102" s="214">
        <f t="shared" si="373"/>
        <v>0</v>
      </c>
      <c r="AP102" s="214">
        <f t="shared" si="374"/>
        <v>0.22360040227958433</v>
      </c>
      <c r="AQ102" s="214">
        <f t="shared" si="375"/>
        <v>0.22605877751704104</v>
      </c>
      <c r="AR102" s="214">
        <f t="shared" si="376"/>
        <v>0</v>
      </c>
      <c r="AS102" s="214">
        <f t="shared" si="377"/>
        <v>0</v>
      </c>
      <c r="AT102" s="214">
        <f t="shared" si="378"/>
        <v>5.0284948038887027E-3</v>
      </c>
      <c r="AU102" s="214">
        <f t="shared" si="379"/>
        <v>4.2239356352665104E-2</v>
      </c>
      <c r="AV102" s="214">
        <f t="shared" si="380"/>
        <v>2.2348865795060902E-4</v>
      </c>
      <c r="AW102" s="214">
        <f t="shared" si="381"/>
        <v>6.7046597385182699E-3</v>
      </c>
      <c r="AX102" s="214">
        <f t="shared" si="382"/>
        <v>0</v>
      </c>
      <c r="AY102" s="214">
        <f t="shared" si="383"/>
        <v>0</v>
      </c>
      <c r="AZ102" s="214">
        <f t="shared" si="384"/>
        <v>0</v>
      </c>
      <c r="BA102" s="214">
        <f t="shared" si="385"/>
        <v>0</v>
      </c>
      <c r="BB102" s="214">
        <f t="shared" si="386"/>
        <v>0</v>
      </c>
      <c r="BC102" s="214">
        <f t="shared" si="387"/>
        <v>0</v>
      </c>
      <c r="BD102" s="236">
        <f t="shared" si="388"/>
        <v>1</v>
      </c>
      <c r="BE102" s="214">
        <f t="shared" si="360"/>
        <v>0.60162757223618912</v>
      </c>
      <c r="BF102" s="214">
        <f t="shared" si="361"/>
        <v>0.20158107059911165</v>
      </c>
      <c r="BG102" s="214">
        <f t="shared" si="389"/>
        <v>7.7251781789726109E-2</v>
      </c>
      <c r="BH102" s="214">
        <f t="shared" si="390"/>
        <v>1.7524406340238975E-2</v>
      </c>
      <c r="BI102" s="214">
        <v>0</v>
      </c>
      <c r="BJ102" s="214">
        <f t="shared" si="391"/>
        <v>9.5593585672794999E-3</v>
      </c>
      <c r="BK102" s="214">
        <f t="shared" si="392"/>
        <v>1.1423835629082713E-2</v>
      </c>
      <c r="BL102" s="214">
        <f t="shared" si="393"/>
        <v>0</v>
      </c>
      <c r="BM102" s="214">
        <f t="shared" si="362"/>
        <v>5.1873060446146471E-3</v>
      </c>
      <c r="BN102" s="214">
        <f t="shared" si="394"/>
        <v>1.1248149943112507E-4</v>
      </c>
      <c r="BO102" s="214">
        <v>0</v>
      </c>
      <c r="BP102" s="214">
        <f t="shared" si="395"/>
        <v>7.5732187294326264E-2</v>
      </c>
      <c r="BQ102" s="214">
        <f t="shared" si="396"/>
        <v>0</v>
      </c>
      <c r="BR102" s="214">
        <f t="shared" si="357"/>
        <v>1</v>
      </c>
      <c r="BS102" s="237">
        <f t="shared" si="398"/>
        <v>92.38692275005296</v>
      </c>
      <c r="BT102" s="216" t="str">
        <f t="shared" si="359"/>
        <v xml:space="preserve">R7H2EA12 </v>
      </c>
      <c r="BU102" s="269">
        <f t="shared" si="363"/>
        <v>9.6353384700586589E-2</v>
      </c>
    </row>
    <row r="103" spans="1:73" s="218" customFormat="1" x14ac:dyDescent="0.2">
      <c r="A103" s="72" t="s">
        <v>163</v>
      </c>
      <c r="B103" s="223">
        <v>0</v>
      </c>
      <c r="C103" s="223">
        <v>8</v>
      </c>
      <c r="D103" s="224">
        <f t="shared" si="399"/>
        <v>4</v>
      </c>
      <c r="E103" s="174">
        <v>8.82</v>
      </c>
      <c r="F103" s="174">
        <v>1.27</v>
      </c>
      <c r="G103" s="174">
        <v>52.92</v>
      </c>
      <c r="H103" s="174">
        <v>3.91</v>
      </c>
      <c r="I103" s="174">
        <v>0.34</v>
      </c>
      <c r="J103" s="174">
        <v>0</v>
      </c>
      <c r="K103" s="174">
        <v>0</v>
      </c>
      <c r="L103" s="174">
        <v>0</v>
      </c>
      <c r="M103" s="174">
        <v>0</v>
      </c>
      <c r="N103" s="174">
        <v>0</v>
      </c>
      <c r="O103" s="174">
        <v>0</v>
      </c>
      <c r="P103" s="174">
        <v>0</v>
      </c>
      <c r="Q103" s="174">
        <v>14.09</v>
      </c>
      <c r="R103" s="174">
        <v>14.2</v>
      </c>
      <c r="S103" s="174">
        <v>1.39</v>
      </c>
      <c r="T103" s="174">
        <v>0</v>
      </c>
      <c r="U103" s="174">
        <v>0.3</v>
      </c>
      <c r="V103" s="174">
        <v>2.75</v>
      </c>
      <c r="W103" s="174">
        <v>0</v>
      </c>
      <c r="X103" s="174">
        <v>0</v>
      </c>
      <c r="Y103" s="174">
        <v>0</v>
      </c>
      <c r="Z103" s="174">
        <v>0</v>
      </c>
      <c r="AA103" s="174">
        <v>0</v>
      </c>
      <c r="AB103" s="174">
        <v>0</v>
      </c>
      <c r="AC103" s="174">
        <v>0</v>
      </c>
      <c r="AD103" s="174">
        <v>0</v>
      </c>
      <c r="AE103" s="225">
        <f t="shared" si="147"/>
        <v>99.990000000000009</v>
      </c>
      <c r="AF103" s="217">
        <f t="shared" ref="AF103:AF109" si="400">G103/SUM($G103:$AD103)</f>
        <v>0.58865406006674081</v>
      </c>
      <c r="AG103" s="217">
        <f t="shared" ref="AG103:AG109" si="401">H103/SUM($G103:$AD103)</f>
        <v>4.3492769744160178E-2</v>
      </c>
      <c r="AH103" s="217">
        <f t="shared" ref="AH103:AH109" si="402">I103/SUM($G103:$AD103)</f>
        <v>3.7819799777530591E-3</v>
      </c>
      <c r="AI103" s="217">
        <f t="shared" ref="AI103:AI109" si="403">J103/SUM($G103:$AD103)</f>
        <v>0</v>
      </c>
      <c r="AJ103" s="217">
        <f t="shared" ref="AJ103:AJ109" si="404">K103/SUM($G103:$AD103)</f>
        <v>0</v>
      </c>
      <c r="AK103" s="217">
        <f t="shared" ref="AK103:AK109" si="405">L103/SUM($G103:$AD103)</f>
        <v>0</v>
      </c>
      <c r="AL103" s="217">
        <f t="shared" ref="AL103:AL109" si="406">M103/SUM($G103:$AD103)</f>
        <v>0</v>
      </c>
      <c r="AM103" s="217">
        <f t="shared" ref="AM103:AM109" si="407">N103/SUM($G103:$AD103)</f>
        <v>0</v>
      </c>
      <c r="AN103" s="217">
        <f t="shared" ref="AN103:AN109" si="408">O103/SUM($G103:$AD103)</f>
        <v>0</v>
      </c>
      <c r="AO103" s="217">
        <f t="shared" ref="AO103:AO109" si="409">P103/SUM($G103:$AD103)</f>
        <v>0</v>
      </c>
      <c r="AP103" s="217">
        <f t="shared" ref="AP103:AP109" si="410">Q103/SUM($G103:$AD103)</f>
        <v>0.15672969966629588</v>
      </c>
      <c r="AQ103" s="217">
        <f t="shared" ref="AQ103:AQ109" si="411">R103/SUM($G103:$AD103)</f>
        <v>0.15795328142380421</v>
      </c>
      <c r="AR103" s="217">
        <f t="shared" ref="AR103:AR109" si="412">S103/SUM($G103:$AD103)</f>
        <v>1.5461624026696328E-2</v>
      </c>
      <c r="AS103" s="217">
        <f t="shared" ref="AS103:AS109" si="413">T103/SUM($G103:$AD103)</f>
        <v>0</v>
      </c>
      <c r="AT103" s="217">
        <f t="shared" ref="AT103:AT109" si="414">U103/SUM($G103:$AD103)</f>
        <v>3.3370411568409341E-3</v>
      </c>
      <c r="AU103" s="217">
        <f t="shared" ref="AU103:AU109" si="415">V103/SUM($G103:$AD103)</f>
        <v>3.0589543937708564E-2</v>
      </c>
      <c r="AV103" s="217">
        <f t="shared" ref="AV103:AV109" si="416">W103/SUM($G103:$AD103)</f>
        <v>0</v>
      </c>
      <c r="AW103" s="217">
        <f t="shared" ref="AW103:AW109" si="417">X103/SUM($G103:$AD103)</f>
        <v>0</v>
      </c>
      <c r="AX103" s="217">
        <f t="shared" ref="AX103:AX109" si="418">Y103/SUM($G103:$AD103)</f>
        <v>0</v>
      </c>
      <c r="AY103" s="217">
        <f t="shared" ref="AY103:AY109" si="419">Z103/SUM($G103:$AD103)</f>
        <v>0</v>
      </c>
      <c r="AZ103" s="217">
        <f t="shared" ref="AZ103:AZ109" si="420">AA103/SUM($G103:$AD103)</f>
        <v>0</v>
      </c>
      <c r="BA103" s="217">
        <f t="shared" ref="BA103:BA109" si="421">AB103/SUM($G103:$AD103)</f>
        <v>0</v>
      </c>
      <c r="BB103" s="217">
        <f t="shared" ref="BB103:BB109" si="422">AC103/SUM($G103:$AD103)</f>
        <v>0</v>
      </c>
      <c r="BC103" s="217">
        <f t="shared" ref="BC103:BC109" si="423">AD103/SUM($G103:$AD103)</f>
        <v>0</v>
      </c>
      <c r="BD103" s="239">
        <f t="shared" si="388"/>
        <v>1</v>
      </c>
      <c r="BE103" s="217">
        <f t="shared" si="360"/>
        <v>0.78882229508171486</v>
      </c>
      <c r="BF103" s="217">
        <f t="shared" si="361"/>
        <v>0.14577701371104793</v>
      </c>
      <c r="BG103" s="217">
        <f t="shared" ref="BG103:BG109" si="424">$BG$3*(AJ103*2.25*0.5/$AJ$2+AL103/$AL$2+AM103*0.9*0.5/$AM$2+AP103*0.05*0.5/$AP$2+AR103*0.24*0.5/$AR$2+AV103*0.3*0.5/$AV$2)</f>
        <v>3.0158218029835439E-3</v>
      </c>
      <c r="BH103" s="217">
        <f t="shared" ref="BH103:BH109" si="425">$BH$3*(AK103*2/$AK$2+AS103*0.39/$AS$2+AT103*0.87/$AT$2+AU103*0.25/$AU$2+AV103*0.63/$AV$2)</f>
        <v>1.8921322351253158E-3</v>
      </c>
      <c r="BI103" s="217">
        <v>0</v>
      </c>
      <c r="BJ103" s="217">
        <f t="shared" ref="BJ103:BJ109" si="426">$BJ$3*(AK103*2/$AK$2+AO103/$AO$2+AR103*0.2/$AR$2+AS103*0.23/$AS$2+AT103*0.56/$AT$2+AU103*0.25/$AU$2+AV103*1.21/$AV$2)</f>
        <v>1.1993768573347484E-3</v>
      </c>
      <c r="BK103" s="217">
        <f t="shared" ref="BK103:BK109" si="427">$BK$3*(AI103/$AI$2+AJ103/$AJ$2+AK103*2/$AK$2+AO103/$AO$2+AR103*0.08/$AR$2+AT103*0.01/$AT$2)</f>
        <v>1.4618072370881281E-4</v>
      </c>
      <c r="BL103" s="217">
        <f t="shared" ref="BL103:BL109" si="428">$BL$3*(0.5*AH103/$AH$2)</f>
        <v>4.4711997676941708E-4</v>
      </c>
      <c r="BM103" s="217">
        <f t="shared" si="362"/>
        <v>1.1703983420329207E-2</v>
      </c>
      <c r="BN103" s="217">
        <f t="shared" ref="BN103:BN109" si="429">$BN$3*(AS103*0.03/$AS$2+AT103*0.11/$AT$2+AV103*0.09/$AV$2)</f>
        <v>7.2055716397892533E-5</v>
      </c>
      <c r="BO103" s="217">
        <v>0</v>
      </c>
      <c r="BP103" s="217">
        <f t="shared" ref="BP103:BP109" si="430">$BP$3*(AJ103*0.5/$AJ$2+AK103/$AK$2+AM103*0.5/$AM$2+AN103*1.5/$AN$2+AP103*2/$AP$2+AQ103*2/$AQ$2+3.79*0.5*AR103/$AR$2+AR103/$AR$2+AS103/$AS$2+AT103/$AT$2+AU103/$AU$2+AV103/$AV$2)</f>
        <v>4.6924020474588296E-2</v>
      </c>
      <c r="BQ103" s="217">
        <f t="shared" ref="BQ103:BQ109" si="431">$BQ$3*(AO103*2/$AO$2)</f>
        <v>0</v>
      </c>
      <c r="BR103" s="217">
        <f t="shared" ref="BR103:BR109" si="432">SUM(BE103:BQ103)</f>
        <v>1</v>
      </c>
      <c r="BS103" s="227">
        <f t="shared" ref="BS103:BS109" si="433">100*BF103/(BF103+BK103+BL103+BM103)</f>
        <v>92.220566980542188</v>
      </c>
      <c r="BT103" s="218" t="str">
        <f t="shared" ref="BT103:BT109" si="434">A103</f>
        <v xml:space="preserve">R7P1EA01 </v>
      </c>
      <c r="BU103" s="269">
        <f t="shared" si="363"/>
        <v>5.0782459392701386E-3</v>
      </c>
    </row>
    <row r="104" spans="1:73" s="215" customFormat="1" x14ac:dyDescent="0.2">
      <c r="A104" s="72" t="s">
        <v>164</v>
      </c>
      <c r="B104" s="228">
        <v>8</v>
      </c>
      <c r="C104" s="228">
        <v>21</v>
      </c>
      <c r="D104" s="229">
        <f t="shared" si="399"/>
        <v>14.5</v>
      </c>
      <c r="E104" s="175">
        <v>7.89</v>
      </c>
      <c r="F104" s="175">
        <v>0.22</v>
      </c>
      <c r="G104" s="175">
        <v>48.67</v>
      </c>
      <c r="H104" s="175">
        <v>6.9368000000000007</v>
      </c>
      <c r="I104" s="174">
        <v>0.60320000000000007</v>
      </c>
      <c r="J104" s="175">
        <v>0</v>
      </c>
      <c r="K104" s="175">
        <v>0</v>
      </c>
      <c r="L104" s="175">
        <v>0</v>
      </c>
      <c r="M104" s="175">
        <v>0</v>
      </c>
      <c r="N104" s="175">
        <v>0</v>
      </c>
      <c r="O104" s="175">
        <f>0.13+4.03</f>
        <v>4.16</v>
      </c>
      <c r="P104" s="175">
        <v>0</v>
      </c>
      <c r="Q104" s="175">
        <v>13.92</v>
      </c>
      <c r="R104" s="175">
        <v>14.03</v>
      </c>
      <c r="S104" s="175">
        <v>1.86</v>
      </c>
      <c r="T104" s="175">
        <v>0</v>
      </c>
      <c r="U104" s="175">
        <v>0</v>
      </c>
      <c r="V104" s="175">
        <v>1.71</v>
      </c>
      <c r="W104" s="175">
        <v>0</v>
      </c>
      <c r="X104" s="175">
        <v>0</v>
      </c>
      <c r="Y104" s="175">
        <v>0</v>
      </c>
      <c r="Z104" s="175">
        <v>0</v>
      </c>
      <c r="AA104" s="175">
        <v>0</v>
      </c>
      <c r="AB104" s="175">
        <v>0</v>
      </c>
      <c r="AC104" s="175">
        <v>0</v>
      </c>
      <c r="AD104" s="175">
        <v>0</v>
      </c>
      <c r="AE104" s="230">
        <f t="shared" si="147"/>
        <v>99.999999999999986</v>
      </c>
      <c r="AF104" s="213">
        <f t="shared" si="400"/>
        <v>0.52965502230928285</v>
      </c>
      <c r="AG104" s="213">
        <f t="shared" si="401"/>
        <v>7.5490260093590167E-2</v>
      </c>
      <c r="AH104" s="213">
        <f t="shared" si="402"/>
        <v>6.5643704429208848E-3</v>
      </c>
      <c r="AI104" s="213">
        <f t="shared" si="403"/>
        <v>0</v>
      </c>
      <c r="AJ104" s="213">
        <f t="shared" si="404"/>
        <v>0</v>
      </c>
      <c r="AK104" s="213">
        <f t="shared" si="405"/>
        <v>0</v>
      </c>
      <c r="AL104" s="213">
        <f t="shared" si="406"/>
        <v>0</v>
      </c>
      <c r="AM104" s="213">
        <f t="shared" si="407"/>
        <v>0</v>
      </c>
      <c r="AN104" s="213">
        <f t="shared" si="408"/>
        <v>4.5271520296006097E-2</v>
      </c>
      <c r="AO104" s="213">
        <f t="shared" si="409"/>
        <v>0</v>
      </c>
      <c r="AP104" s="213">
        <f t="shared" si="410"/>
        <v>0.15148547175971269</v>
      </c>
      <c r="AQ104" s="213">
        <f t="shared" si="411"/>
        <v>0.15268255522907823</v>
      </c>
      <c r="AR104" s="213">
        <f t="shared" si="412"/>
        <v>2.0241593209271956E-2</v>
      </c>
      <c r="AS104" s="213">
        <f t="shared" si="413"/>
        <v>0</v>
      </c>
      <c r="AT104" s="213">
        <f t="shared" si="414"/>
        <v>0</v>
      </c>
      <c r="AU104" s="213">
        <f t="shared" si="415"/>
        <v>1.8609206660137118E-2</v>
      </c>
      <c r="AV104" s="213">
        <f t="shared" si="416"/>
        <v>0</v>
      </c>
      <c r="AW104" s="213">
        <f t="shared" si="417"/>
        <v>0</v>
      </c>
      <c r="AX104" s="213">
        <f t="shared" si="418"/>
        <v>0</v>
      </c>
      <c r="AY104" s="213">
        <f t="shared" si="419"/>
        <v>0</v>
      </c>
      <c r="AZ104" s="213">
        <f t="shared" si="420"/>
        <v>0</v>
      </c>
      <c r="BA104" s="213">
        <f t="shared" si="421"/>
        <v>0</v>
      </c>
      <c r="BB104" s="213">
        <f t="shared" si="422"/>
        <v>0</v>
      </c>
      <c r="BC104" s="213">
        <f t="shared" si="423"/>
        <v>0</v>
      </c>
      <c r="BD104" s="240">
        <f t="shared" si="388"/>
        <v>1.0000000000000002</v>
      </c>
      <c r="BE104" s="213">
        <f t="shared" si="360"/>
        <v>0.74188428186923339</v>
      </c>
      <c r="BF104" s="213">
        <f t="shared" si="361"/>
        <v>0.17570307100803059</v>
      </c>
      <c r="BG104" s="213">
        <f t="shared" si="424"/>
        <v>3.1221164197313819E-3</v>
      </c>
      <c r="BH104" s="213">
        <f t="shared" si="425"/>
        <v>8.3519323637427391E-4</v>
      </c>
      <c r="BI104" s="213">
        <v>0</v>
      </c>
      <c r="BJ104" s="213">
        <f t="shared" si="426"/>
        <v>7.9534654584189799E-4</v>
      </c>
      <c r="BK104" s="213">
        <f t="shared" si="427"/>
        <v>1.8535375503033271E-4</v>
      </c>
      <c r="BL104" s="213">
        <f t="shared" si="428"/>
        <v>7.7606470082065468E-4</v>
      </c>
      <c r="BM104" s="213">
        <f t="shared" si="362"/>
        <v>1.5735243317996531E-2</v>
      </c>
      <c r="BN104" s="213">
        <f t="shared" si="429"/>
        <v>0</v>
      </c>
      <c r="BO104" s="213">
        <v>0</v>
      </c>
      <c r="BP104" s="213">
        <f t="shared" si="430"/>
        <v>6.096332914694088E-2</v>
      </c>
      <c r="BQ104" s="213">
        <f t="shared" si="431"/>
        <v>0</v>
      </c>
      <c r="BR104" s="213">
        <f t="shared" si="432"/>
        <v>1</v>
      </c>
      <c r="BS104" s="232">
        <f t="shared" si="433"/>
        <v>91.321889312197555</v>
      </c>
      <c r="BT104" s="215" t="str">
        <f t="shared" si="434"/>
        <v xml:space="preserve">R7P1EA02 </v>
      </c>
      <c r="BU104" s="269">
        <f t="shared" si="363"/>
        <v>4.0324770473793405E-3</v>
      </c>
    </row>
    <row r="105" spans="1:73" s="215" customFormat="1" x14ac:dyDescent="0.2">
      <c r="A105" s="72" t="s">
        <v>165</v>
      </c>
      <c r="B105" s="228">
        <v>21</v>
      </c>
      <c r="C105" s="228">
        <v>44</v>
      </c>
      <c r="D105" s="229">
        <f t="shared" si="399"/>
        <v>32.5</v>
      </c>
      <c r="E105" s="175">
        <v>10.79</v>
      </c>
      <c r="F105" s="175">
        <v>1.67</v>
      </c>
      <c r="G105" s="175">
        <v>57.27</v>
      </c>
      <c r="H105" s="175">
        <v>4.8023999999999996</v>
      </c>
      <c r="I105" s="174">
        <v>0.41759999999999997</v>
      </c>
      <c r="J105" s="175">
        <v>0</v>
      </c>
      <c r="K105" s="175">
        <v>0</v>
      </c>
      <c r="L105" s="175">
        <v>0</v>
      </c>
      <c r="M105" s="175">
        <v>0</v>
      </c>
      <c r="N105" s="175">
        <v>0</v>
      </c>
      <c r="O105" s="175">
        <f>3.99+2.76</f>
        <v>6.75</v>
      </c>
      <c r="P105" s="175">
        <v>0</v>
      </c>
      <c r="Q105" s="175">
        <v>7.23</v>
      </c>
      <c r="R105" s="175">
        <v>5.89</v>
      </c>
      <c r="S105" s="175">
        <v>0.03</v>
      </c>
      <c r="T105" s="175">
        <v>0</v>
      </c>
      <c r="U105" s="175">
        <v>0</v>
      </c>
      <c r="V105" s="175">
        <v>5.16</v>
      </c>
      <c r="W105" s="175">
        <v>0</v>
      </c>
      <c r="X105" s="175">
        <v>0</v>
      </c>
      <c r="Y105" s="175">
        <v>0</v>
      </c>
      <c r="Z105" s="175">
        <v>0</v>
      </c>
      <c r="AA105" s="175">
        <v>0</v>
      </c>
      <c r="AB105" s="175">
        <v>0</v>
      </c>
      <c r="AC105" s="175">
        <v>0</v>
      </c>
      <c r="AD105" s="175">
        <v>0</v>
      </c>
      <c r="AE105" s="230">
        <f t="shared" ref="AE105:AE135" si="435">SUM(E105:AD105)</f>
        <v>100.01</v>
      </c>
      <c r="AF105" s="213">
        <f t="shared" si="400"/>
        <v>0.65414049114791539</v>
      </c>
      <c r="AG105" s="213">
        <f t="shared" si="401"/>
        <v>5.4853226727584227E-2</v>
      </c>
      <c r="AH105" s="213">
        <f t="shared" si="402"/>
        <v>4.7698458023986284E-3</v>
      </c>
      <c r="AI105" s="213">
        <f t="shared" si="403"/>
        <v>0</v>
      </c>
      <c r="AJ105" s="213">
        <f t="shared" si="404"/>
        <v>0</v>
      </c>
      <c r="AK105" s="213">
        <f t="shared" si="405"/>
        <v>0</v>
      </c>
      <c r="AL105" s="213">
        <f t="shared" si="406"/>
        <v>0</v>
      </c>
      <c r="AM105" s="213">
        <f t="shared" si="407"/>
        <v>0</v>
      </c>
      <c r="AN105" s="213">
        <f t="shared" si="408"/>
        <v>7.7098800685322669E-2</v>
      </c>
      <c r="AO105" s="213">
        <f t="shared" si="409"/>
        <v>0</v>
      </c>
      <c r="AP105" s="213">
        <f t="shared" si="410"/>
        <v>8.2581382067390061E-2</v>
      </c>
      <c r="AQ105" s="213">
        <f t="shared" si="411"/>
        <v>6.7275842375785253E-2</v>
      </c>
      <c r="AR105" s="213">
        <f t="shared" si="412"/>
        <v>3.4266133637921183E-4</v>
      </c>
      <c r="AS105" s="213">
        <f t="shared" si="413"/>
        <v>0</v>
      </c>
      <c r="AT105" s="213">
        <f t="shared" si="414"/>
        <v>0</v>
      </c>
      <c r="AU105" s="213">
        <f t="shared" si="415"/>
        <v>5.8937749857224435E-2</v>
      </c>
      <c r="AV105" s="213">
        <f t="shared" si="416"/>
        <v>0</v>
      </c>
      <c r="AW105" s="213">
        <f t="shared" si="417"/>
        <v>0</v>
      </c>
      <c r="AX105" s="213">
        <f t="shared" si="418"/>
        <v>0</v>
      </c>
      <c r="AY105" s="213">
        <f t="shared" si="419"/>
        <v>0</v>
      </c>
      <c r="AZ105" s="213">
        <f t="shared" si="420"/>
        <v>0</v>
      </c>
      <c r="BA105" s="213">
        <f t="shared" si="421"/>
        <v>0</v>
      </c>
      <c r="BB105" s="213">
        <f t="shared" si="422"/>
        <v>0</v>
      </c>
      <c r="BC105" s="213">
        <f t="shared" si="423"/>
        <v>0</v>
      </c>
      <c r="BD105" s="240">
        <f t="shared" si="388"/>
        <v>0.99999999999999978</v>
      </c>
      <c r="BE105" s="213">
        <f t="shared" si="360"/>
        <v>0.79314175972185297</v>
      </c>
      <c r="BF105" s="213">
        <f t="shared" si="361"/>
        <v>0.13456719232258768</v>
      </c>
      <c r="BG105" s="213">
        <f t="shared" si="424"/>
        <v>1.2837876222433901E-3</v>
      </c>
      <c r="BH105" s="213">
        <f t="shared" si="425"/>
        <v>2.6451643504672635E-3</v>
      </c>
      <c r="BI105" s="213">
        <v>0</v>
      </c>
      <c r="BJ105" s="213">
        <f t="shared" si="426"/>
        <v>1.4699247497222245E-3</v>
      </c>
      <c r="BK105" s="213">
        <f t="shared" si="427"/>
        <v>3.1377750133080216E-6</v>
      </c>
      <c r="BL105" s="213">
        <f t="shared" si="428"/>
        <v>5.6390921075929307E-4</v>
      </c>
      <c r="BM105" s="213">
        <f t="shared" si="362"/>
        <v>1.6141327422691382E-2</v>
      </c>
      <c r="BN105" s="213">
        <f t="shared" si="429"/>
        <v>0</v>
      </c>
      <c r="BO105" s="213">
        <v>0</v>
      </c>
      <c r="BP105" s="213">
        <f t="shared" si="430"/>
        <v>5.0183796824662306E-2</v>
      </c>
      <c r="BQ105" s="213">
        <f t="shared" si="431"/>
        <v>0</v>
      </c>
      <c r="BR105" s="213">
        <f t="shared" si="432"/>
        <v>0.99999999999999967</v>
      </c>
      <c r="BS105" s="232">
        <f t="shared" si="433"/>
        <v>88.955007890884772</v>
      </c>
      <c r="BT105" s="215" t="str">
        <f t="shared" si="434"/>
        <v xml:space="preserve">R7P1EA03 </v>
      </c>
      <c r="BU105" s="269">
        <f t="shared" si="363"/>
        <v>4.1670167642527071E-3</v>
      </c>
    </row>
    <row r="106" spans="1:73" s="215" customFormat="1" x14ac:dyDescent="0.2">
      <c r="A106" s="72" t="s">
        <v>166</v>
      </c>
      <c r="B106" s="228">
        <v>44</v>
      </c>
      <c r="C106" s="228">
        <v>75</v>
      </c>
      <c r="D106" s="229">
        <f t="shared" si="399"/>
        <v>59.5</v>
      </c>
      <c r="E106" s="175">
        <v>11.42</v>
      </c>
      <c r="F106" s="175">
        <v>2.08</v>
      </c>
      <c r="G106" s="175">
        <v>47.61</v>
      </c>
      <c r="H106" s="175">
        <v>3.8272000000000004</v>
      </c>
      <c r="I106" s="174">
        <v>0.33280000000000004</v>
      </c>
      <c r="J106" s="175">
        <v>0</v>
      </c>
      <c r="K106" s="175">
        <v>0</v>
      </c>
      <c r="L106" s="175">
        <v>0</v>
      </c>
      <c r="M106" s="175">
        <v>0</v>
      </c>
      <c r="N106" s="175">
        <v>0</v>
      </c>
      <c r="O106" s="175">
        <v>5.14</v>
      </c>
      <c r="P106" s="175">
        <v>0</v>
      </c>
      <c r="Q106" s="175">
        <v>11.71</v>
      </c>
      <c r="R106" s="175">
        <v>7.84</v>
      </c>
      <c r="S106" s="175">
        <v>0.03</v>
      </c>
      <c r="T106" s="175">
        <v>0</v>
      </c>
      <c r="U106" s="175">
        <v>0</v>
      </c>
      <c r="V106" s="175">
        <v>6.9</v>
      </c>
      <c r="W106" s="175">
        <v>0</v>
      </c>
      <c r="X106" s="175">
        <v>0</v>
      </c>
      <c r="Y106" s="175">
        <v>0</v>
      </c>
      <c r="Z106" s="175">
        <v>0</v>
      </c>
      <c r="AA106" s="175">
        <v>0</v>
      </c>
      <c r="AB106" s="175">
        <v>0</v>
      </c>
      <c r="AC106" s="175">
        <v>0</v>
      </c>
      <c r="AD106" s="175">
        <v>0</v>
      </c>
      <c r="AE106" s="230">
        <f t="shared" si="435"/>
        <v>96.890000000000015</v>
      </c>
      <c r="AF106" s="213">
        <f t="shared" si="400"/>
        <v>0.57093176639884868</v>
      </c>
      <c r="AG106" s="213">
        <f t="shared" si="401"/>
        <v>4.5895191269936443E-2</v>
      </c>
      <c r="AH106" s="213">
        <f t="shared" si="402"/>
        <v>3.9908861973857778E-3</v>
      </c>
      <c r="AI106" s="213">
        <f t="shared" si="403"/>
        <v>0</v>
      </c>
      <c r="AJ106" s="213">
        <f t="shared" si="404"/>
        <v>0</v>
      </c>
      <c r="AK106" s="213">
        <f t="shared" si="405"/>
        <v>0</v>
      </c>
      <c r="AL106" s="213">
        <f t="shared" si="406"/>
        <v>0</v>
      </c>
      <c r="AM106" s="213">
        <f t="shared" si="407"/>
        <v>0</v>
      </c>
      <c r="AN106" s="213">
        <f t="shared" si="408"/>
        <v>6.1638086101450995E-2</v>
      </c>
      <c r="AO106" s="213">
        <f t="shared" si="409"/>
        <v>0</v>
      </c>
      <c r="AP106" s="213">
        <f t="shared" si="410"/>
        <v>0.14042451133229403</v>
      </c>
      <c r="AQ106" s="213">
        <f t="shared" si="411"/>
        <v>9.4016069073030326E-2</v>
      </c>
      <c r="AR106" s="213">
        <f t="shared" si="412"/>
        <v>3.5975536635088134E-4</v>
      </c>
      <c r="AS106" s="213">
        <f t="shared" si="413"/>
        <v>0</v>
      </c>
      <c r="AT106" s="213">
        <f t="shared" si="414"/>
        <v>0</v>
      </c>
      <c r="AU106" s="213">
        <f t="shared" si="415"/>
        <v>8.2743734260702709E-2</v>
      </c>
      <c r="AV106" s="213">
        <f t="shared" si="416"/>
        <v>0</v>
      </c>
      <c r="AW106" s="213">
        <f t="shared" si="417"/>
        <v>0</v>
      </c>
      <c r="AX106" s="213">
        <f t="shared" si="418"/>
        <v>0</v>
      </c>
      <c r="AY106" s="213">
        <f t="shared" si="419"/>
        <v>0</v>
      </c>
      <c r="AZ106" s="213">
        <f t="shared" si="420"/>
        <v>0</v>
      </c>
      <c r="BA106" s="213">
        <f t="shared" si="421"/>
        <v>0</v>
      </c>
      <c r="BB106" s="213">
        <f t="shared" si="422"/>
        <v>0</v>
      </c>
      <c r="BC106" s="213">
        <f t="shared" si="423"/>
        <v>0</v>
      </c>
      <c r="BD106" s="240">
        <f t="shared" si="388"/>
        <v>0.99999999999999978</v>
      </c>
      <c r="BE106" s="213">
        <f t="shared" si="360"/>
        <v>0.75515458871805574</v>
      </c>
      <c r="BF106" s="213">
        <f t="shared" si="361"/>
        <v>0.16138684853305141</v>
      </c>
      <c r="BG106" s="213">
        <f t="shared" si="424"/>
        <v>2.1742816305319337E-3</v>
      </c>
      <c r="BH106" s="213">
        <f t="shared" si="425"/>
        <v>3.7135923346438876E-3</v>
      </c>
      <c r="BI106" s="213">
        <v>0</v>
      </c>
      <c r="BJ106" s="213">
        <f t="shared" si="426"/>
        <v>2.0616571800997495E-3</v>
      </c>
      <c r="BK106" s="213">
        <f t="shared" si="427"/>
        <v>3.2943063006969331E-6</v>
      </c>
      <c r="BL106" s="213">
        <f t="shared" si="428"/>
        <v>4.7181766015711764E-4</v>
      </c>
      <c r="BM106" s="213">
        <f t="shared" si="362"/>
        <v>1.7390277977635656E-2</v>
      </c>
      <c r="BN106" s="213">
        <f t="shared" si="429"/>
        <v>0</v>
      </c>
      <c r="BO106" s="213">
        <v>0</v>
      </c>
      <c r="BP106" s="213">
        <f t="shared" si="430"/>
        <v>5.7643641659523737E-2</v>
      </c>
      <c r="BQ106" s="213">
        <f t="shared" si="431"/>
        <v>0</v>
      </c>
      <c r="BR106" s="213">
        <f t="shared" si="432"/>
        <v>1</v>
      </c>
      <c r="BS106" s="232">
        <f t="shared" si="433"/>
        <v>90.033379724643524</v>
      </c>
      <c r="BT106" s="215" t="str">
        <f t="shared" si="434"/>
        <v xml:space="preserve">R7P1EA04 </v>
      </c>
      <c r="BU106" s="269">
        <f t="shared" si="363"/>
        <v>6.2220972752937715E-3</v>
      </c>
    </row>
    <row r="107" spans="1:73" s="215" customFormat="1" x14ac:dyDescent="0.2">
      <c r="A107" s="72" t="s">
        <v>167</v>
      </c>
      <c r="B107" s="228">
        <v>75</v>
      </c>
      <c r="C107" s="228">
        <v>102</v>
      </c>
      <c r="D107" s="229">
        <f t="shared" si="399"/>
        <v>88.5</v>
      </c>
      <c r="E107" s="175">
        <v>8.6999999999999993</v>
      </c>
      <c r="F107" s="175">
        <v>1.26</v>
      </c>
      <c r="G107" s="175">
        <v>37.94</v>
      </c>
      <c r="H107" s="175">
        <v>1.5087999999999999</v>
      </c>
      <c r="I107" s="174">
        <v>0.13119999999999998</v>
      </c>
      <c r="J107" s="175">
        <v>0</v>
      </c>
      <c r="K107" s="175">
        <v>0</v>
      </c>
      <c r="L107" s="175">
        <v>0</v>
      </c>
      <c r="M107" s="175">
        <v>0</v>
      </c>
      <c r="N107" s="175">
        <v>0</v>
      </c>
      <c r="O107" s="175">
        <v>1.56</v>
      </c>
      <c r="P107" s="175">
        <v>0</v>
      </c>
      <c r="Q107" s="175">
        <v>25.36</v>
      </c>
      <c r="R107" s="175">
        <v>14.25</v>
      </c>
      <c r="S107" s="175">
        <v>2.73</v>
      </c>
      <c r="T107" s="175">
        <v>0</v>
      </c>
      <c r="U107" s="175">
        <v>0</v>
      </c>
      <c r="V107" s="175">
        <v>5.58</v>
      </c>
      <c r="W107" s="175">
        <v>0</v>
      </c>
      <c r="X107" s="175">
        <v>0</v>
      </c>
      <c r="Y107" s="175">
        <v>0</v>
      </c>
      <c r="Z107" s="175">
        <v>0</v>
      </c>
      <c r="AA107" s="175">
        <v>0</v>
      </c>
      <c r="AB107" s="175">
        <v>0</v>
      </c>
      <c r="AC107" s="175">
        <v>0</v>
      </c>
      <c r="AD107" s="175">
        <v>0</v>
      </c>
      <c r="AE107" s="230">
        <f t="shared" si="435"/>
        <v>99.02000000000001</v>
      </c>
      <c r="AF107" s="213">
        <f t="shared" si="400"/>
        <v>0.42600494048955756</v>
      </c>
      <c r="AG107" s="213">
        <f t="shared" si="401"/>
        <v>1.6941387828430271E-2</v>
      </c>
      <c r="AH107" s="213">
        <f t="shared" si="402"/>
        <v>1.4731641589939364E-3</v>
      </c>
      <c r="AI107" s="213">
        <f t="shared" si="403"/>
        <v>0</v>
      </c>
      <c r="AJ107" s="213">
        <f t="shared" si="404"/>
        <v>0</v>
      </c>
      <c r="AK107" s="213">
        <f t="shared" si="405"/>
        <v>0</v>
      </c>
      <c r="AL107" s="213">
        <f t="shared" si="406"/>
        <v>0</v>
      </c>
      <c r="AM107" s="213">
        <f t="shared" si="407"/>
        <v>0</v>
      </c>
      <c r="AN107" s="213">
        <f t="shared" si="408"/>
        <v>1.7516281158769371E-2</v>
      </c>
      <c r="AO107" s="213">
        <f t="shared" si="409"/>
        <v>0</v>
      </c>
      <c r="AP107" s="213">
        <f t="shared" si="410"/>
        <v>0.28475185268358411</v>
      </c>
      <c r="AQ107" s="213">
        <f t="shared" si="411"/>
        <v>0.16000449135414327</v>
      </c>
      <c r="AR107" s="213">
        <f t="shared" si="412"/>
        <v>3.0653492027846396E-2</v>
      </c>
      <c r="AS107" s="213">
        <f t="shared" si="413"/>
        <v>0</v>
      </c>
      <c r="AT107" s="213">
        <f t="shared" si="414"/>
        <v>0</v>
      </c>
      <c r="AU107" s="213">
        <f t="shared" si="415"/>
        <v>6.2654390298675047E-2</v>
      </c>
      <c r="AV107" s="213">
        <f t="shared" si="416"/>
        <v>0</v>
      </c>
      <c r="AW107" s="213">
        <f t="shared" si="417"/>
        <v>0</v>
      </c>
      <c r="AX107" s="213">
        <f t="shared" si="418"/>
        <v>0</v>
      </c>
      <c r="AY107" s="213">
        <f t="shared" si="419"/>
        <v>0</v>
      </c>
      <c r="AZ107" s="213">
        <f t="shared" si="420"/>
        <v>0</v>
      </c>
      <c r="BA107" s="213">
        <f t="shared" si="421"/>
        <v>0</v>
      </c>
      <c r="BB107" s="213">
        <f t="shared" si="422"/>
        <v>0</v>
      </c>
      <c r="BC107" s="213">
        <f t="shared" si="423"/>
        <v>0</v>
      </c>
      <c r="BD107" s="240">
        <f t="shared" si="388"/>
        <v>1</v>
      </c>
      <c r="BE107" s="213">
        <f t="shared" si="360"/>
        <v>0.68886784507251686</v>
      </c>
      <c r="BF107" s="213">
        <f t="shared" si="361"/>
        <v>0.21494947641349904</v>
      </c>
      <c r="BG107" s="213">
        <f t="shared" si="424"/>
        <v>5.5794717241773595E-3</v>
      </c>
      <c r="BH107" s="213">
        <f t="shared" si="425"/>
        <v>2.8119695784076886E-3</v>
      </c>
      <c r="BI107" s="213">
        <v>0</v>
      </c>
      <c r="BJ107" s="213">
        <f t="shared" si="426"/>
        <v>2.0609262751265754E-3</v>
      </c>
      <c r="BK107" s="213">
        <f t="shared" si="427"/>
        <v>2.8069627688946414E-4</v>
      </c>
      <c r="BL107" s="213">
        <f t="shared" si="428"/>
        <v>1.7416303851990267E-4</v>
      </c>
      <c r="BM107" s="213">
        <f t="shared" si="362"/>
        <v>1.1350888221707555E-2</v>
      </c>
      <c r="BN107" s="213">
        <f t="shared" si="429"/>
        <v>0</v>
      </c>
      <c r="BO107" s="213">
        <v>0</v>
      </c>
      <c r="BP107" s="213">
        <f t="shared" si="430"/>
        <v>7.3924563399155402E-2</v>
      </c>
      <c r="BQ107" s="213">
        <f t="shared" si="431"/>
        <v>0</v>
      </c>
      <c r="BR107" s="213">
        <f t="shared" si="432"/>
        <v>0.99999999999999989</v>
      </c>
      <c r="BS107" s="232">
        <f t="shared" si="433"/>
        <v>94.793616071359821</v>
      </c>
      <c r="BT107" s="215" t="str">
        <f t="shared" si="434"/>
        <v xml:space="preserve">R7P1EA05 </v>
      </c>
      <c r="BU107" s="269">
        <f t="shared" si="363"/>
        <v>8.64451856464174E-3</v>
      </c>
    </row>
    <row r="108" spans="1:73" s="215" customFormat="1" x14ac:dyDescent="0.2">
      <c r="A108" s="72" t="s">
        <v>168</v>
      </c>
      <c r="B108" s="228">
        <v>102</v>
      </c>
      <c r="C108" s="228">
        <v>149</v>
      </c>
      <c r="D108" s="229">
        <f t="shared" si="399"/>
        <v>125.5</v>
      </c>
      <c r="E108" s="175">
        <v>7.75</v>
      </c>
      <c r="F108" s="175">
        <v>1.61</v>
      </c>
      <c r="G108" s="175">
        <v>44.78</v>
      </c>
      <c r="H108" s="175">
        <v>0.60720000000000007</v>
      </c>
      <c r="I108" s="174">
        <v>5.2800000000000007E-2</v>
      </c>
      <c r="J108" s="175">
        <v>0</v>
      </c>
      <c r="K108" s="175">
        <v>0</v>
      </c>
      <c r="L108" s="175">
        <v>0</v>
      </c>
      <c r="M108" s="175">
        <v>0</v>
      </c>
      <c r="N108" s="175">
        <v>0</v>
      </c>
      <c r="O108" s="175">
        <v>0.4</v>
      </c>
      <c r="P108" s="175">
        <v>0</v>
      </c>
      <c r="Q108" s="175">
        <v>24.37</v>
      </c>
      <c r="R108" s="175">
        <v>11.67</v>
      </c>
      <c r="S108" s="175">
        <v>2.9</v>
      </c>
      <c r="T108" s="175">
        <v>0</v>
      </c>
      <c r="U108" s="175">
        <v>0</v>
      </c>
      <c r="V108" s="175">
        <v>5.05</v>
      </c>
      <c r="W108" s="175">
        <v>0</v>
      </c>
      <c r="X108" s="175">
        <v>0</v>
      </c>
      <c r="Y108" s="175">
        <v>0</v>
      </c>
      <c r="Z108" s="175">
        <v>0</v>
      </c>
      <c r="AA108" s="175">
        <v>0</v>
      </c>
      <c r="AB108" s="175">
        <v>0</v>
      </c>
      <c r="AC108" s="175">
        <v>0</v>
      </c>
      <c r="AD108" s="175">
        <v>0</v>
      </c>
      <c r="AE108" s="230">
        <f t="shared" si="435"/>
        <v>99.19</v>
      </c>
      <c r="AF108" s="213">
        <f t="shared" si="400"/>
        <v>0.49849716130468663</v>
      </c>
      <c r="AG108" s="213">
        <f t="shared" si="401"/>
        <v>6.7594344873650241E-3</v>
      </c>
      <c r="AH108" s="213">
        <f t="shared" si="402"/>
        <v>5.8777691194478469E-4</v>
      </c>
      <c r="AI108" s="213">
        <f t="shared" si="403"/>
        <v>0</v>
      </c>
      <c r="AJ108" s="213">
        <f t="shared" si="404"/>
        <v>0</v>
      </c>
      <c r="AK108" s="213">
        <f t="shared" si="405"/>
        <v>0</v>
      </c>
      <c r="AL108" s="213">
        <f t="shared" si="406"/>
        <v>0</v>
      </c>
      <c r="AM108" s="213">
        <f t="shared" si="407"/>
        <v>0</v>
      </c>
      <c r="AN108" s="213">
        <f t="shared" si="408"/>
        <v>4.4528553935210954E-3</v>
      </c>
      <c r="AO108" s="213">
        <f t="shared" si="409"/>
        <v>0</v>
      </c>
      <c r="AP108" s="213">
        <f t="shared" si="410"/>
        <v>0.27129021485027277</v>
      </c>
      <c r="AQ108" s="213">
        <f t="shared" si="411"/>
        <v>0.12991205610597795</v>
      </c>
      <c r="AR108" s="213">
        <f t="shared" si="412"/>
        <v>3.2283201603027945E-2</v>
      </c>
      <c r="AS108" s="213">
        <f t="shared" si="413"/>
        <v>0</v>
      </c>
      <c r="AT108" s="213">
        <f t="shared" si="414"/>
        <v>0</v>
      </c>
      <c r="AU108" s="213">
        <f t="shared" si="415"/>
        <v>5.6217299343203832E-2</v>
      </c>
      <c r="AV108" s="213">
        <f t="shared" si="416"/>
        <v>0</v>
      </c>
      <c r="AW108" s="213">
        <f t="shared" si="417"/>
        <v>0</v>
      </c>
      <c r="AX108" s="213">
        <f t="shared" si="418"/>
        <v>0</v>
      </c>
      <c r="AY108" s="213">
        <f t="shared" si="419"/>
        <v>0</v>
      </c>
      <c r="AZ108" s="213">
        <f t="shared" si="420"/>
        <v>0</v>
      </c>
      <c r="BA108" s="213">
        <f t="shared" si="421"/>
        <v>0</v>
      </c>
      <c r="BB108" s="213">
        <f t="shared" si="422"/>
        <v>0</v>
      </c>
      <c r="BC108" s="213">
        <f t="shared" si="423"/>
        <v>0</v>
      </c>
      <c r="BD108" s="240">
        <f t="shared" si="388"/>
        <v>0.99999999999999989</v>
      </c>
      <c r="BE108" s="213">
        <f t="shared" si="360"/>
        <v>0.73123638874295749</v>
      </c>
      <c r="BF108" s="213">
        <f t="shared" si="361"/>
        <v>0.18634249407249787</v>
      </c>
      <c r="BG108" s="213">
        <f t="shared" si="424"/>
        <v>5.436131836966146E-3</v>
      </c>
      <c r="BH108" s="213">
        <f t="shared" si="425"/>
        <v>2.5230687710749403E-3</v>
      </c>
      <c r="BI108" s="213">
        <v>0</v>
      </c>
      <c r="BJ108" s="213">
        <f t="shared" si="426"/>
        <v>1.9278104400134131E-3</v>
      </c>
      <c r="BK108" s="213">
        <f t="shared" si="427"/>
        <v>2.9561964711263507E-4</v>
      </c>
      <c r="BL108" s="213">
        <f t="shared" si="428"/>
        <v>6.9489209556971261E-5</v>
      </c>
      <c r="BM108" s="213">
        <f t="shared" si="362"/>
        <v>8.9443410502703727E-3</v>
      </c>
      <c r="BN108" s="213">
        <f t="shared" si="429"/>
        <v>0</v>
      </c>
      <c r="BO108" s="213">
        <v>0</v>
      </c>
      <c r="BP108" s="213">
        <f t="shared" si="430"/>
        <v>6.3224656229550424E-2</v>
      </c>
      <c r="BQ108" s="213">
        <f t="shared" si="431"/>
        <v>0</v>
      </c>
      <c r="BR108" s="213">
        <f t="shared" si="432"/>
        <v>1.0000000000000004</v>
      </c>
      <c r="BS108" s="232">
        <f t="shared" si="433"/>
        <v>95.241831122353503</v>
      </c>
      <c r="BT108" s="215" t="str">
        <f t="shared" si="434"/>
        <v xml:space="preserve">R7P1EA06 </v>
      </c>
      <c r="BU108" s="269">
        <f t="shared" si="363"/>
        <v>8.1862767974378303E-3</v>
      </c>
    </row>
    <row r="109" spans="1:73" s="216" customFormat="1" ht="16" thickBot="1" x14ac:dyDescent="0.25">
      <c r="A109" s="72" t="s">
        <v>169</v>
      </c>
      <c r="B109" s="233">
        <v>149</v>
      </c>
      <c r="C109" s="233">
        <v>155</v>
      </c>
      <c r="D109" s="234">
        <f t="shared" si="399"/>
        <v>152</v>
      </c>
      <c r="E109" s="176">
        <v>7.73</v>
      </c>
      <c r="F109" s="176">
        <v>1.64</v>
      </c>
      <c r="G109" s="176">
        <v>38.94</v>
      </c>
      <c r="H109" s="176">
        <v>0.81880000000000008</v>
      </c>
      <c r="I109" s="174">
        <v>7.1199999999999999E-2</v>
      </c>
      <c r="J109" s="176">
        <v>0</v>
      </c>
      <c r="K109" s="176">
        <v>0</v>
      </c>
      <c r="L109" s="176">
        <v>0</v>
      </c>
      <c r="M109" s="176">
        <v>0</v>
      </c>
      <c r="N109" s="176">
        <v>0</v>
      </c>
      <c r="O109" s="176">
        <f>0.66+0.65</f>
        <v>1.31</v>
      </c>
      <c r="P109" s="176">
        <v>0</v>
      </c>
      <c r="Q109" s="176">
        <v>29.44</v>
      </c>
      <c r="R109" s="176">
        <v>14.38</v>
      </c>
      <c r="S109" s="176">
        <v>3.4</v>
      </c>
      <c r="T109" s="176">
        <v>0</v>
      </c>
      <c r="U109" s="176">
        <v>0</v>
      </c>
      <c r="V109" s="176">
        <v>2.2799999999999998</v>
      </c>
      <c r="W109" s="176">
        <v>0</v>
      </c>
      <c r="X109" s="176">
        <v>0</v>
      </c>
      <c r="Y109" s="176">
        <v>0</v>
      </c>
      <c r="Z109" s="176">
        <v>0</v>
      </c>
      <c r="AA109" s="176">
        <v>0</v>
      </c>
      <c r="AB109" s="176">
        <v>0</v>
      </c>
      <c r="AC109" s="176">
        <v>0</v>
      </c>
      <c r="AD109" s="176">
        <v>0</v>
      </c>
      <c r="AE109" s="235">
        <f t="shared" si="435"/>
        <v>100.01</v>
      </c>
      <c r="AF109" s="214">
        <f t="shared" si="400"/>
        <v>0.42961165048543687</v>
      </c>
      <c r="AG109" s="214">
        <f t="shared" si="401"/>
        <v>9.0335392762577234E-3</v>
      </c>
      <c r="AH109" s="214">
        <f t="shared" si="402"/>
        <v>7.8552515445719326E-4</v>
      </c>
      <c r="AI109" s="214">
        <f t="shared" si="403"/>
        <v>0</v>
      </c>
      <c r="AJ109" s="214">
        <f t="shared" si="404"/>
        <v>0</v>
      </c>
      <c r="AK109" s="214">
        <f t="shared" si="405"/>
        <v>0</v>
      </c>
      <c r="AL109" s="214">
        <f t="shared" si="406"/>
        <v>0</v>
      </c>
      <c r="AM109" s="214">
        <f t="shared" si="407"/>
        <v>0</v>
      </c>
      <c r="AN109" s="214">
        <f t="shared" si="408"/>
        <v>1.4452780229479259E-2</v>
      </c>
      <c r="AO109" s="214">
        <f t="shared" si="409"/>
        <v>0</v>
      </c>
      <c r="AP109" s="214">
        <f t="shared" si="410"/>
        <v>0.32480141218005298</v>
      </c>
      <c r="AQ109" s="214">
        <f t="shared" si="411"/>
        <v>0.15864960282436011</v>
      </c>
      <c r="AR109" s="214">
        <f t="shared" si="412"/>
        <v>3.7511032656663723E-2</v>
      </c>
      <c r="AS109" s="214">
        <f t="shared" si="413"/>
        <v>0</v>
      </c>
      <c r="AT109" s="214">
        <f t="shared" si="414"/>
        <v>0</v>
      </c>
      <c r="AU109" s="214">
        <f t="shared" si="415"/>
        <v>2.5154457193292141E-2</v>
      </c>
      <c r="AV109" s="214">
        <f t="shared" si="416"/>
        <v>0</v>
      </c>
      <c r="AW109" s="214">
        <f t="shared" si="417"/>
        <v>0</v>
      </c>
      <c r="AX109" s="214">
        <f t="shared" si="418"/>
        <v>0</v>
      </c>
      <c r="AY109" s="214">
        <f t="shared" si="419"/>
        <v>0</v>
      </c>
      <c r="AZ109" s="214">
        <f t="shared" si="420"/>
        <v>0</v>
      </c>
      <c r="BA109" s="214">
        <f t="shared" si="421"/>
        <v>0</v>
      </c>
      <c r="BB109" s="214">
        <f t="shared" si="422"/>
        <v>0</v>
      </c>
      <c r="BC109" s="214">
        <f t="shared" si="423"/>
        <v>0</v>
      </c>
      <c r="BD109" s="241">
        <f t="shared" ref="BD109:BD122" si="436">SUM(AF109:BB109)</f>
        <v>1.0000000000000002</v>
      </c>
      <c r="BE109" s="214">
        <f t="shared" si="360"/>
        <v>0.68807274336832669</v>
      </c>
      <c r="BF109" s="214">
        <f t="shared" si="361"/>
        <v>0.21943254119166861</v>
      </c>
      <c r="BG109" s="214">
        <f t="shared" si="424"/>
        <v>6.463804209000998E-3</v>
      </c>
      <c r="BH109" s="214">
        <f t="shared" si="425"/>
        <v>1.1289483155403359E-3</v>
      </c>
      <c r="BI109" s="214">
        <v>0</v>
      </c>
      <c r="BJ109" s="214">
        <f t="shared" si="426"/>
        <v>1.2420715896380608E-3</v>
      </c>
      <c r="BK109" s="214">
        <f t="shared" si="427"/>
        <v>3.4349127986591605E-4</v>
      </c>
      <c r="BL109" s="214">
        <f t="shared" si="428"/>
        <v>9.2867754689003243E-5</v>
      </c>
      <c r="BM109" s="214">
        <f t="shared" si="362"/>
        <v>5.9281540917611531E-3</v>
      </c>
      <c r="BN109" s="214">
        <f t="shared" si="429"/>
        <v>0</v>
      </c>
      <c r="BO109" s="214">
        <v>0</v>
      </c>
      <c r="BP109" s="214">
        <f t="shared" si="430"/>
        <v>7.7295378199509351E-2</v>
      </c>
      <c r="BQ109" s="214">
        <f t="shared" si="431"/>
        <v>0</v>
      </c>
      <c r="BR109" s="214">
        <f t="shared" si="432"/>
        <v>1</v>
      </c>
      <c r="BS109" s="237">
        <f t="shared" si="433"/>
        <v>97.181312597039877</v>
      </c>
      <c r="BT109" s="216" t="str">
        <f t="shared" si="434"/>
        <v xml:space="preserve">R7P1EA07 </v>
      </c>
      <c r="BU109" s="269">
        <f t="shared" si="363"/>
        <v>7.694357872939964E-3</v>
      </c>
    </row>
    <row r="110" spans="1:73" s="218" customFormat="1" x14ac:dyDescent="0.2">
      <c r="A110" s="72" t="s">
        <v>113</v>
      </c>
      <c r="B110" s="223">
        <v>0</v>
      </c>
      <c r="C110" s="223">
        <v>2</v>
      </c>
      <c r="D110" s="224">
        <f t="shared" si="399"/>
        <v>1</v>
      </c>
      <c r="E110" s="174">
        <v>10.14</v>
      </c>
      <c r="F110" s="174">
        <v>1.19</v>
      </c>
      <c r="G110" s="174">
        <v>63.96</v>
      </c>
      <c r="H110" s="174">
        <v>5.9</v>
      </c>
      <c r="I110" s="174">
        <v>0</v>
      </c>
      <c r="J110" s="174">
        <v>0</v>
      </c>
      <c r="K110" s="174">
        <v>0</v>
      </c>
      <c r="L110" s="174">
        <v>0</v>
      </c>
      <c r="M110" s="174">
        <v>0</v>
      </c>
      <c r="N110" s="174">
        <v>0</v>
      </c>
      <c r="O110" s="174">
        <v>0</v>
      </c>
      <c r="P110" s="174">
        <v>0</v>
      </c>
      <c r="Q110" s="174">
        <v>3.56</v>
      </c>
      <c r="R110" s="174">
        <v>11.77</v>
      </c>
      <c r="S110" s="174">
        <v>0.35</v>
      </c>
      <c r="T110" s="174">
        <v>0</v>
      </c>
      <c r="U110" s="174">
        <v>0.67</v>
      </c>
      <c r="V110" s="174">
        <v>2.4700000000000002</v>
      </c>
      <c r="W110" s="174">
        <v>0</v>
      </c>
      <c r="X110" s="174">
        <v>0</v>
      </c>
      <c r="Y110" s="174">
        <v>0</v>
      </c>
      <c r="Z110" s="174">
        <v>0</v>
      </c>
      <c r="AA110" s="174">
        <v>0</v>
      </c>
      <c r="AB110" s="174">
        <v>0</v>
      </c>
      <c r="AC110" s="174">
        <v>0</v>
      </c>
      <c r="AD110" s="174">
        <v>0</v>
      </c>
      <c r="AE110" s="225">
        <f t="shared" si="435"/>
        <v>100.01</v>
      </c>
      <c r="AF110" s="217">
        <f t="shared" ref="AF110:AF123" si="437">G110/SUM($G110:$AD110)</f>
        <v>0.72124492557510156</v>
      </c>
      <c r="AG110" s="217">
        <f t="shared" ref="AG110:AG124" si="438">H110/SUM($G110:$AD110)</f>
        <v>6.6531348669373033E-2</v>
      </c>
      <c r="AH110" s="217">
        <f t="shared" ref="AH110:AH124" si="439">I110/SUM($G110:$AD110)</f>
        <v>0</v>
      </c>
      <c r="AI110" s="217">
        <f t="shared" ref="AI110:AI124" si="440">J110/SUM($G110:$AD110)</f>
        <v>0</v>
      </c>
      <c r="AJ110" s="217">
        <f t="shared" ref="AJ110:AJ124" si="441">K110/SUM($G110:$AD110)</f>
        <v>0</v>
      </c>
      <c r="AK110" s="217">
        <f t="shared" ref="AK110:AK124" si="442">L110/SUM($G110:$AD110)</f>
        <v>0</v>
      </c>
      <c r="AL110" s="217">
        <f t="shared" ref="AL110:AL124" si="443">M110/SUM($G110:$AD110)</f>
        <v>0</v>
      </c>
      <c r="AM110" s="217">
        <f t="shared" ref="AM110:AM124" si="444">N110/SUM($G110:$AD110)</f>
        <v>0</v>
      </c>
      <c r="AN110" s="217">
        <f t="shared" ref="AN110:AN124" si="445">O110/SUM($G110:$AD110)</f>
        <v>0</v>
      </c>
      <c r="AO110" s="217">
        <f t="shared" ref="AO110:AO124" si="446">P110/SUM($G110:$AD110)</f>
        <v>0</v>
      </c>
      <c r="AP110" s="217">
        <f t="shared" ref="AP110:AP124" si="447">Q110/SUM($G110:$AD110)</f>
        <v>4.0144339197113223E-2</v>
      </c>
      <c r="AQ110" s="217">
        <f t="shared" ref="AQ110:AQ124" si="448">R110/SUM($G110:$AD110)</f>
        <v>0.13272440234551197</v>
      </c>
      <c r="AR110" s="217">
        <f t="shared" ref="AR110:AR124" si="449">S110/SUM($G110:$AD110)</f>
        <v>3.9467749210645017E-3</v>
      </c>
      <c r="AS110" s="217">
        <f t="shared" ref="AS110:AS124" si="450">T110/SUM($G110:$AD110)</f>
        <v>0</v>
      </c>
      <c r="AT110" s="217">
        <f t="shared" ref="AT110:AT124" si="451">U110/SUM($G110:$AD110)</f>
        <v>7.555254848894904E-3</v>
      </c>
      <c r="AU110" s="217">
        <f t="shared" ref="AU110:AU124" si="452">V110/SUM($G110:$AD110)</f>
        <v>2.7852954442940916E-2</v>
      </c>
      <c r="AV110" s="217">
        <f t="shared" ref="AV110:AV124" si="453">W110/SUM($G110:$AD110)</f>
        <v>0</v>
      </c>
      <c r="AW110" s="217">
        <f t="shared" ref="AW110:AW124" si="454">X110/SUM($G110:$AD110)</f>
        <v>0</v>
      </c>
      <c r="AX110" s="217">
        <f t="shared" ref="AX110:AX124" si="455">Y110/SUM($G110:$AD110)</f>
        <v>0</v>
      </c>
      <c r="AY110" s="217">
        <f t="shared" ref="AY110:AY124" si="456">Z110/SUM($G110:$AD110)</f>
        <v>0</v>
      </c>
      <c r="AZ110" s="217">
        <f t="shared" ref="AZ110:AZ124" si="457">AA110/SUM($G110:$AD110)</f>
        <v>0</v>
      </c>
      <c r="BA110" s="217">
        <f t="shared" ref="BA110:BA124" si="458">AB110/SUM($G110:$AD110)</f>
        <v>0</v>
      </c>
      <c r="BB110" s="217">
        <f t="shared" ref="BB110:BB124" si="459">AC110/SUM($G110:$AD110)</f>
        <v>0</v>
      </c>
      <c r="BC110" s="217">
        <f t="shared" ref="BC110:BC124" si="460">AD110/SUM($G110:$AD110)</f>
        <v>0</v>
      </c>
      <c r="BD110" s="239">
        <f t="shared" si="436"/>
        <v>1.0000000000000002</v>
      </c>
      <c r="BE110" s="217">
        <f t="shared" si="360"/>
        <v>0.86378940707307006</v>
      </c>
      <c r="BF110" s="217">
        <f t="shared" si="361"/>
        <v>9.0493595511635869E-2</v>
      </c>
      <c r="BG110" s="217">
        <f t="shared" ref="BG110:BG123" si="461">$BG$3*(AJ110*2.25*0.5/$AJ$2+AL110/$AL$2+AM110*0.9*0.5/$AM$2+AP110*0.05*0.5/$AP$2+AR110*0.24*0.5/$AR$2+AV110*0.3*0.5/$AV$2)</f>
        <v>7.7193573607086221E-4</v>
      </c>
      <c r="BH110" s="217">
        <f t="shared" ref="BH110:BH123" si="462">$BH$3*(AK110*2/$AK$2+AS110*0.39/$AS$2+AT110*0.87/$AT$2+AU110*0.25/$AU$2+AV110*0.63/$AV$2)</f>
        <v>2.4256791523916185E-3</v>
      </c>
      <c r="BI110" s="217">
        <v>0</v>
      </c>
      <c r="BJ110" s="217">
        <f t="shared" ref="BJ110:BJ123" si="463">$BJ$3*(AK110*2/$AK$2+AO110/$AO$2+AR110*0.2/$AR$2+AS110*0.23/$AS$2+AT110*0.56/$AT$2+AU110*0.25/$AU$2+AV110*1.21/$AV$2)</f>
        <v>1.1758269315722326E-3</v>
      </c>
      <c r="BK110" s="217">
        <f t="shared" ref="BK110:BK123" si="464">$BK$3*(AI110/$AI$2+AJ110/$AJ$2+AK110*2/$AK$2+AO110/$AO$2+AR110*0.08/$AR$2+AT110*0.01/$AT$2)</f>
        <v>4.6549908634010221E-5</v>
      </c>
      <c r="BL110" s="217">
        <f t="shared" ref="BL110:BL123" si="465">$BL$3*(0.5*AH110/$AH$2)</f>
        <v>0</v>
      </c>
      <c r="BM110" s="217">
        <f t="shared" si="362"/>
        <v>1.5061030807109618E-2</v>
      </c>
      <c r="BN110" s="217">
        <f t="shared" ref="BN110:BN123" si="466">$BN$3*(AS110*0.03/$AS$2+AT110*0.11/$AT$2+AV110*0.09/$AV$2)</f>
        <v>1.631383237781635E-4</v>
      </c>
      <c r="BO110" s="217">
        <v>0</v>
      </c>
      <c r="BP110" s="217">
        <f t="shared" ref="BP110:BP123" si="467">$BP$3*(AJ110*0.5/$AJ$2+AK110/$AK$2+AM110*0.5/$AM$2+AN110*1.5/$AN$2+AP110*2/$AP$2+AQ110*2/$AQ$2+3.79*0.5*AR110/$AR$2+AR110/$AR$2+AS110/$AS$2+AT110/$AT$2+AU110/$AU$2+AV110/$AV$2)</f>
        <v>2.6072836555737566E-2</v>
      </c>
      <c r="BQ110" s="217">
        <f t="shared" ref="BQ110:BQ123" si="468">$BQ$3*(AO110*2/$AO$2)</f>
        <v>0</v>
      </c>
      <c r="BR110" s="217">
        <f t="shared" ref="BR110:BR123" si="469">SUM(BE110:BQ110)</f>
        <v>1</v>
      </c>
      <c r="BS110" s="227">
        <f t="shared" ref="BS110:BS123" si="470">100*BF110/(BF110+BK110+BL110+BM110)</f>
        <v>85.693738218204956</v>
      </c>
      <c r="BT110" s="218" t="str">
        <f t="shared" ref="BT110:BT123" si="471">A110</f>
        <v xml:space="preserve">R7P2EA01 </v>
      </c>
      <c r="BU110" s="269">
        <f t="shared" si="363"/>
        <v>3.4159260121777268E-3</v>
      </c>
    </row>
    <row r="111" spans="1:73" s="215" customFormat="1" x14ac:dyDescent="0.2">
      <c r="A111" s="72" t="s">
        <v>115</v>
      </c>
      <c r="B111" s="228">
        <v>2</v>
      </c>
      <c r="C111" s="228">
        <v>9</v>
      </c>
      <c r="D111" s="229">
        <f t="shared" si="399"/>
        <v>5.5</v>
      </c>
      <c r="E111" s="175">
        <v>7.5</v>
      </c>
      <c r="F111" s="175">
        <v>1.6</v>
      </c>
      <c r="G111" s="175">
        <v>62.12</v>
      </c>
      <c r="H111" s="175">
        <v>6.84</v>
      </c>
      <c r="I111" s="174">
        <v>0</v>
      </c>
      <c r="J111" s="175">
        <v>0</v>
      </c>
      <c r="K111" s="175">
        <v>0</v>
      </c>
      <c r="L111" s="175">
        <v>0</v>
      </c>
      <c r="M111" s="175">
        <v>0</v>
      </c>
      <c r="N111" s="175">
        <v>0</v>
      </c>
      <c r="O111" s="175">
        <v>0</v>
      </c>
      <c r="P111" s="175">
        <v>0</v>
      </c>
      <c r="Q111" s="175">
        <v>4.34</v>
      </c>
      <c r="R111" s="175">
        <v>13.39</v>
      </c>
      <c r="S111" s="175">
        <v>0.7</v>
      </c>
      <c r="T111" s="175">
        <v>0</v>
      </c>
      <c r="U111" s="175">
        <v>0.49</v>
      </c>
      <c r="V111" s="175">
        <v>3</v>
      </c>
      <c r="W111" s="175">
        <v>0</v>
      </c>
      <c r="X111" s="175">
        <v>0</v>
      </c>
      <c r="Y111" s="175">
        <v>0</v>
      </c>
      <c r="Z111" s="175">
        <v>0</v>
      </c>
      <c r="AA111" s="175">
        <v>0</v>
      </c>
      <c r="AB111" s="175">
        <v>0</v>
      </c>
      <c r="AC111" s="175">
        <v>0</v>
      </c>
      <c r="AD111" s="175">
        <v>0</v>
      </c>
      <c r="AE111" s="230">
        <f t="shared" si="435"/>
        <v>99.98</v>
      </c>
      <c r="AF111" s="213">
        <f t="shared" si="437"/>
        <v>0.68353873239436624</v>
      </c>
      <c r="AG111" s="213">
        <f t="shared" si="438"/>
        <v>7.526408450704225E-2</v>
      </c>
      <c r="AH111" s="213">
        <f t="shared" si="439"/>
        <v>0</v>
      </c>
      <c r="AI111" s="213">
        <f t="shared" si="440"/>
        <v>0</v>
      </c>
      <c r="AJ111" s="213">
        <f t="shared" si="441"/>
        <v>0</v>
      </c>
      <c r="AK111" s="213">
        <f t="shared" si="442"/>
        <v>0</v>
      </c>
      <c r="AL111" s="213">
        <f t="shared" si="443"/>
        <v>0</v>
      </c>
      <c r="AM111" s="213">
        <f t="shared" si="444"/>
        <v>0</v>
      </c>
      <c r="AN111" s="213">
        <f t="shared" si="445"/>
        <v>0</v>
      </c>
      <c r="AO111" s="213">
        <f t="shared" si="446"/>
        <v>0</v>
      </c>
      <c r="AP111" s="213">
        <f t="shared" si="447"/>
        <v>4.7755281690140844E-2</v>
      </c>
      <c r="AQ111" s="213">
        <f t="shared" si="448"/>
        <v>0.14733714788732397</v>
      </c>
      <c r="AR111" s="213">
        <f t="shared" si="449"/>
        <v>7.7024647887323945E-3</v>
      </c>
      <c r="AS111" s="213">
        <f t="shared" si="450"/>
        <v>0</v>
      </c>
      <c r="AT111" s="213">
        <f t="shared" si="451"/>
        <v>5.3917253521126758E-3</v>
      </c>
      <c r="AU111" s="213">
        <f t="shared" si="452"/>
        <v>3.3010563380281695E-2</v>
      </c>
      <c r="AV111" s="213">
        <f t="shared" si="453"/>
        <v>0</v>
      </c>
      <c r="AW111" s="213">
        <f t="shared" si="454"/>
        <v>0</v>
      </c>
      <c r="AX111" s="213">
        <f t="shared" si="455"/>
        <v>0</v>
      </c>
      <c r="AY111" s="213">
        <f t="shared" si="456"/>
        <v>0</v>
      </c>
      <c r="AZ111" s="213">
        <f t="shared" si="457"/>
        <v>0</v>
      </c>
      <c r="BA111" s="213">
        <f t="shared" si="458"/>
        <v>0</v>
      </c>
      <c r="BB111" s="213">
        <f t="shared" si="459"/>
        <v>0</v>
      </c>
      <c r="BC111" s="213">
        <f t="shared" si="460"/>
        <v>0</v>
      </c>
      <c r="BD111" s="240">
        <f t="shared" si="436"/>
        <v>1</v>
      </c>
      <c r="BE111" s="213">
        <f t="shared" si="360"/>
        <v>0.84533074010126574</v>
      </c>
      <c r="BF111" s="213">
        <f t="shared" si="361"/>
        <v>0.10300466205105616</v>
      </c>
      <c r="BG111" s="213">
        <f t="shared" si="461"/>
        <v>1.0359221374323119E-3</v>
      </c>
      <c r="BH111" s="213">
        <f t="shared" si="462"/>
        <v>2.3205042372905198E-3</v>
      </c>
      <c r="BI111" s="213">
        <v>0</v>
      </c>
      <c r="BJ111" s="213">
        <f t="shared" si="463"/>
        <v>1.245796784304528E-3</v>
      </c>
      <c r="BK111" s="213">
        <f t="shared" si="464"/>
        <v>7.7960305708560292E-5</v>
      </c>
      <c r="BL111" s="213">
        <f t="shared" si="465"/>
        <v>0</v>
      </c>
      <c r="BM111" s="213">
        <f t="shared" si="362"/>
        <v>1.7168311969165191E-2</v>
      </c>
      <c r="BN111" s="213">
        <f t="shared" si="466"/>
        <v>1.1642188831585843E-4</v>
      </c>
      <c r="BO111" s="213">
        <v>0</v>
      </c>
      <c r="BP111" s="213">
        <f t="shared" si="467"/>
        <v>2.9699680525461042E-2</v>
      </c>
      <c r="BQ111" s="213">
        <f t="shared" si="468"/>
        <v>0</v>
      </c>
      <c r="BR111" s="213">
        <f t="shared" si="469"/>
        <v>0.99999999999999989</v>
      </c>
      <c r="BS111" s="232">
        <f t="shared" si="470"/>
        <v>85.658097068810136</v>
      </c>
      <c r="BT111" s="215" t="str">
        <f t="shared" si="471"/>
        <v xml:space="preserve">R7P2EA02 </v>
      </c>
      <c r="BU111" s="269">
        <f t="shared" si="363"/>
        <v>3.5652717560789786E-3</v>
      </c>
    </row>
    <row r="112" spans="1:73" s="215" customFormat="1" x14ac:dyDescent="0.2">
      <c r="A112" s="72" t="s">
        <v>116</v>
      </c>
      <c r="B112" s="228">
        <v>9</v>
      </c>
      <c r="C112" s="228">
        <v>15</v>
      </c>
      <c r="D112" s="229">
        <f t="shared" si="399"/>
        <v>12</v>
      </c>
      <c r="E112" s="175">
        <v>7.64</v>
      </c>
      <c r="F112" s="175">
        <v>1.1000000000000001</v>
      </c>
      <c r="G112" s="175">
        <v>60.03</v>
      </c>
      <c r="H112" s="175">
        <v>6.18</v>
      </c>
      <c r="I112" s="174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4.66</v>
      </c>
      <c r="R112" s="175">
        <v>16.649999999999999</v>
      </c>
      <c r="S112" s="175">
        <v>0.82</v>
      </c>
      <c r="T112" s="175">
        <v>0</v>
      </c>
      <c r="U112" s="175">
        <v>0.54</v>
      </c>
      <c r="V112" s="175">
        <v>2.38</v>
      </c>
      <c r="W112" s="175">
        <v>0</v>
      </c>
      <c r="X112" s="175">
        <v>0</v>
      </c>
      <c r="Y112" s="175">
        <v>0</v>
      </c>
      <c r="Z112" s="175">
        <v>0</v>
      </c>
      <c r="AA112" s="175">
        <v>0</v>
      </c>
      <c r="AB112" s="175">
        <v>0</v>
      </c>
      <c r="AC112" s="175">
        <v>0</v>
      </c>
      <c r="AD112" s="175">
        <v>0</v>
      </c>
      <c r="AE112" s="230">
        <f t="shared" si="435"/>
        <v>99.999999999999986</v>
      </c>
      <c r="AF112" s="213">
        <f t="shared" si="437"/>
        <v>0.65779092702169628</v>
      </c>
      <c r="AG112" s="213">
        <f t="shared" si="438"/>
        <v>6.7718606180144636E-2</v>
      </c>
      <c r="AH112" s="213">
        <f t="shared" si="439"/>
        <v>0</v>
      </c>
      <c r="AI112" s="213">
        <f t="shared" si="440"/>
        <v>0</v>
      </c>
      <c r="AJ112" s="213">
        <f t="shared" si="441"/>
        <v>0</v>
      </c>
      <c r="AK112" s="213">
        <f t="shared" si="442"/>
        <v>0</v>
      </c>
      <c r="AL112" s="213">
        <f t="shared" si="443"/>
        <v>0</v>
      </c>
      <c r="AM112" s="213">
        <f t="shared" si="444"/>
        <v>0</v>
      </c>
      <c r="AN112" s="213">
        <f t="shared" si="445"/>
        <v>0</v>
      </c>
      <c r="AO112" s="213">
        <f t="shared" si="446"/>
        <v>0</v>
      </c>
      <c r="AP112" s="213">
        <f t="shared" si="447"/>
        <v>5.1062897216743369E-2</v>
      </c>
      <c r="AQ112" s="213">
        <f t="shared" si="448"/>
        <v>0.18244575936883628</v>
      </c>
      <c r="AR112" s="213">
        <f t="shared" si="449"/>
        <v>8.9853166776243682E-3</v>
      </c>
      <c r="AS112" s="213">
        <f t="shared" si="450"/>
        <v>0</v>
      </c>
      <c r="AT112" s="213">
        <f t="shared" si="451"/>
        <v>5.9171597633136093E-3</v>
      </c>
      <c r="AU112" s="213">
        <f t="shared" si="452"/>
        <v>2.6079333771641462E-2</v>
      </c>
      <c r="AV112" s="213">
        <f t="shared" si="453"/>
        <v>0</v>
      </c>
      <c r="AW112" s="213">
        <f t="shared" si="454"/>
        <v>0</v>
      </c>
      <c r="AX112" s="213">
        <f t="shared" si="455"/>
        <v>0</v>
      </c>
      <c r="AY112" s="213">
        <f t="shared" si="456"/>
        <v>0</v>
      </c>
      <c r="AZ112" s="213">
        <f t="shared" si="457"/>
        <v>0</v>
      </c>
      <c r="BA112" s="213">
        <f t="shared" si="458"/>
        <v>0</v>
      </c>
      <c r="BB112" s="213">
        <f t="shared" si="459"/>
        <v>0</v>
      </c>
      <c r="BC112" s="213">
        <f t="shared" si="460"/>
        <v>0</v>
      </c>
      <c r="BD112" s="240">
        <f t="shared" si="436"/>
        <v>1</v>
      </c>
      <c r="BE112" s="213">
        <f t="shared" si="360"/>
        <v>0.82970029913128818</v>
      </c>
      <c r="BF112" s="213">
        <f t="shared" si="361"/>
        <v>0.11565611499823721</v>
      </c>
      <c r="BG112" s="213">
        <f t="shared" si="461"/>
        <v>1.1369834219114971E-3</v>
      </c>
      <c r="BH112" s="213">
        <f t="shared" si="462"/>
        <v>2.0911853530240902E-3</v>
      </c>
      <c r="BI112" s="213">
        <v>0</v>
      </c>
      <c r="BJ112" s="213">
        <f t="shared" si="463"/>
        <v>1.1238304553990303E-3</v>
      </c>
      <c r="BK112" s="213">
        <f t="shared" si="464"/>
        <v>9.0431374408128919E-5</v>
      </c>
      <c r="BL112" s="213">
        <f t="shared" si="465"/>
        <v>0</v>
      </c>
      <c r="BM112" s="213">
        <f t="shared" si="362"/>
        <v>1.5165504627909806E-2</v>
      </c>
      <c r="BN112" s="213">
        <f t="shared" si="466"/>
        <v>1.2776743400730848E-4</v>
      </c>
      <c r="BO112" s="213">
        <v>0</v>
      </c>
      <c r="BP112" s="213">
        <f t="shared" si="467"/>
        <v>3.4907883203814792E-2</v>
      </c>
      <c r="BQ112" s="213">
        <f t="shared" si="468"/>
        <v>0</v>
      </c>
      <c r="BR112" s="213">
        <f t="shared" si="469"/>
        <v>1</v>
      </c>
      <c r="BS112" s="232">
        <f t="shared" si="470"/>
        <v>88.346423506684474</v>
      </c>
      <c r="BT112" s="215" t="str">
        <f t="shared" si="471"/>
        <v xml:space="preserve">R7P2EA03 </v>
      </c>
      <c r="BU112" s="269">
        <f t="shared" si="363"/>
        <v>3.416375456707756E-3</v>
      </c>
    </row>
    <row r="113" spans="1:73" s="215" customFormat="1" x14ac:dyDescent="0.2">
      <c r="A113" s="72" t="s">
        <v>117</v>
      </c>
      <c r="B113" s="228">
        <v>15</v>
      </c>
      <c r="C113" s="228">
        <v>57</v>
      </c>
      <c r="D113" s="229">
        <f t="shared" si="399"/>
        <v>36</v>
      </c>
      <c r="E113" s="175">
        <v>9.9700000000000006</v>
      </c>
      <c r="F113" s="175">
        <v>2.11</v>
      </c>
      <c r="G113" s="175">
        <v>31.31</v>
      </c>
      <c r="H113" s="175">
        <v>2.42</v>
      </c>
      <c r="I113" s="174">
        <v>0</v>
      </c>
      <c r="J113" s="175">
        <v>0</v>
      </c>
      <c r="K113" s="175">
        <v>0</v>
      </c>
      <c r="L113" s="175">
        <v>0</v>
      </c>
      <c r="M113" s="175">
        <v>0</v>
      </c>
      <c r="N113" s="175">
        <v>0</v>
      </c>
      <c r="O113" s="175">
        <v>1.41</v>
      </c>
      <c r="P113" s="175">
        <v>0</v>
      </c>
      <c r="Q113" s="175">
        <v>23.62</v>
      </c>
      <c r="R113" s="175">
        <v>15.35</v>
      </c>
      <c r="S113" s="175">
        <v>7.96</v>
      </c>
      <c r="T113" s="175">
        <v>0.122</v>
      </c>
      <c r="U113" s="175">
        <v>0.99</v>
      </c>
      <c r="V113" s="175">
        <v>4.8600000000000003</v>
      </c>
      <c r="W113" s="175">
        <v>0</v>
      </c>
      <c r="X113" s="175">
        <v>0</v>
      </c>
      <c r="Y113" s="175">
        <v>0</v>
      </c>
      <c r="Z113" s="175">
        <v>0</v>
      </c>
      <c r="AA113" s="175">
        <v>0</v>
      </c>
      <c r="AB113" s="175">
        <v>0</v>
      </c>
      <c r="AC113" s="175">
        <v>0</v>
      </c>
      <c r="AD113" s="175">
        <v>0</v>
      </c>
      <c r="AE113" s="230">
        <f t="shared" si="435"/>
        <v>100.12199999999999</v>
      </c>
      <c r="AF113" s="213">
        <f t="shared" si="437"/>
        <v>0.35562572408623166</v>
      </c>
      <c r="AG113" s="213">
        <f t="shared" si="438"/>
        <v>2.7486881261216244E-2</v>
      </c>
      <c r="AH113" s="213">
        <f t="shared" si="439"/>
        <v>0</v>
      </c>
      <c r="AI113" s="213">
        <f t="shared" si="440"/>
        <v>0</v>
      </c>
      <c r="AJ113" s="213">
        <f t="shared" si="441"/>
        <v>0</v>
      </c>
      <c r="AK113" s="213">
        <f t="shared" si="442"/>
        <v>0</v>
      </c>
      <c r="AL113" s="213">
        <f t="shared" si="443"/>
        <v>0</v>
      </c>
      <c r="AM113" s="213">
        <f t="shared" si="444"/>
        <v>0</v>
      </c>
      <c r="AN113" s="213">
        <f t="shared" si="445"/>
        <v>1.6015083710047482E-2</v>
      </c>
      <c r="AO113" s="213">
        <f t="shared" si="446"/>
        <v>0</v>
      </c>
      <c r="AP113" s="213">
        <f t="shared" si="447"/>
        <v>0.26828104768178834</v>
      </c>
      <c r="AQ113" s="213">
        <f t="shared" si="448"/>
        <v>0.1743486063469708</v>
      </c>
      <c r="AR113" s="213">
        <f t="shared" si="449"/>
        <v>9.0411394561686495E-2</v>
      </c>
      <c r="AS113" s="213">
        <f t="shared" si="450"/>
        <v>1.385702278458009E-3</v>
      </c>
      <c r="AT113" s="213">
        <f t="shared" si="451"/>
        <v>1.1244633243224828E-2</v>
      </c>
      <c r="AU113" s="213">
        <f t="shared" si="452"/>
        <v>5.5200926830376432E-2</v>
      </c>
      <c r="AV113" s="213">
        <f t="shared" si="453"/>
        <v>0</v>
      </c>
      <c r="AW113" s="213">
        <f t="shared" si="454"/>
        <v>0</v>
      </c>
      <c r="AX113" s="213">
        <f t="shared" si="455"/>
        <v>0</v>
      </c>
      <c r="AY113" s="213">
        <f t="shared" si="456"/>
        <v>0</v>
      </c>
      <c r="AZ113" s="213">
        <f t="shared" si="457"/>
        <v>0</v>
      </c>
      <c r="BA113" s="213">
        <f t="shared" si="458"/>
        <v>0</v>
      </c>
      <c r="BB113" s="213">
        <f t="shared" si="459"/>
        <v>0</v>
      </c>
      <c r="BC113" s="213">
        <f t="shared" si="460"/>
        <v>0</v>
      </c>
      <c r="BD113" s="240">
        <f t="shared" si="436"/>
        <v>1.0000000000000002</v>
      </c>
      <c r="BE113" s="213">
        <f t="shared" si="360"/>
        <v>0.64851656774038846</v>
      </c>
      <c r="BF113" s="213">
        <f t="shared" si="361"/>
        <v>0.23981831630007988</v>
      </c>
      <c r="BG113" s="213">
        <f t="shared" si="461"/>
        <v>7.6635284930661038E-3</v>
      </c>
      <c r="BH113" s="213">
        <f t="shared" si="462"/>
        <v>4.315144947691872E-3</v>
      </c>
      <c r="BI113" s="213">
        <v>0</v>
      </c>
      <c r="BJ113" s="213">
        <f t="shared" si="463"/>
        <v>3.5110457102645082E-3</v>
      </c>
      <c r="BK113" s="213">
        <f t="shared" si="464"/>
        <v>8.4339569668529283E-4</v>
      </c>
      <c r="BL113" s="213">
        <f t="shared" si="465"/>
        <v>0</v>
      </c>
      <c r="BM113" s="213">
        <f t="shared" si="362"/>
        <v>1.5382495095927646E-2</v>
      </c>
      <c r="BN113" s="213">
        <f t="shared" si="466"/>
        <v>2.5023074717774599E-4</v>
      </c>
      <c r="BO113" s="213">
        <v>0</v>
      </c>
      <c r="BP113" s="213">
        <f t="shared" si="467"/>
        <v>7.9699275268718714E-2</v>
      </c>
      <c r="BQ113" s="213">
        <f t="shared" si="468"/>
        <v>0</v>
      </c>
      <c r="BR113" s="213">
        <f t="shared" si="469"/>
        <v>1.0000000000000002</v>
      </c>
      <c r="BS113" s="232">
        <f t="shared" si="470"/>
        <v>93.662855732276398</v>
      </c>
      <c r="BT113" s="215" t="str">
        <f t="shared" si="471"/>
        <v xml:space="preserve">R7P2EA04 </v>
      </c>
      <c r="BU113" s="269">
        <f t="shared" si="363"/>
        <v>1.2367036486050245E-2</v>
      </c>
    </row>
    <row r="114" spans="1:73" s="215" customFormat="1" x14ac:dyDescent="0.2">
      <c r="A114" s="72" t="s">
        <v>118</v>
      </c>
      <c r="B114" s="228">
        <v>57</v>
      </c>
      <c r="C114" s="228">
        <v>82</v>
      </c>
      <c r="D114" s="229">
        <f t="shared" si="399"/>
        <v>69.5</v>
      </c>
      <c r="E114" s="175">
        <v>12.47</v>
      </c>
      <c r="F114" s="175">
        <v>0.73</v>
      </c>
      <c r="G114" s="175">
        <v>33.14</v>
      </c>
      <c r="H114" s="175">
        <v>3.42</v>
      </c>
      <c r="I114" s="174">
        <v>8.0000000000000004E-4</v>
      </c>
      <c r="J114" s="175">
        <v>0</v>
      </c>
      <c r="K114" s="175">
        <v>0</v>
      </c>
      <c r="L114" s="175">
        <v>0</v>
      </c>
      <c r="M114" s="175">
        <v>0</v>
      </c>
      <c r="N114" s="175">
        <v>3.51</v>
      </c>
      <c r="O114" s="175">
        <v>2.92</v>
      </c>
      <c r="P114" s="175">
        <v>0</v>
      </c>
      <c r="Q114" s="175">
        <v>38.53</v>
      </c>
      <c r="R114" s="175">
        <v>0</v>
      </c>
      <c r="S114" s="175">
        <v>0</v>
      </c>
      <c r="T114" s="175">
        <v>0</v>
      </c>
      <c r="U114" s="175">
        <v>3.06</v>
      </c>
      <c r="V114" s="175">
        <v>2.21</v>
      </c>
      <c r="W114" s="175">
        <v>0</v>
      </c>
      <c r="X114" s="175">
        <v>0</v>
      </c>
      <c r="Y114" s="175">
        <v>0</v>
      </c>
      <c r="Z114" s="175">
        <v>0</v>
      </c>
      <c r="AA114" s="175">
        <v>0</v>
      </c>
      <c r="AB114" s="175">
        <v>0</v>
      </c>
      <c r="AC114" s="175">
        <v>0</v>
      </c>
      <c r="AD114" s="175">
        <v>0</v>
      </c>
      <c r="AE114" s="230">
        <f t="shared" si="435"/>
        <v>99.990799999999993</v>
      </c>
      <c r="AF114" s="213">
        <f t="shared" si="437"/>
        <v>0.38183770630066782</v>
      </c>
      <c r="AG114" s="213">
        <f t="shared" si="438"/>
        <v>3.9405098236218586E-2</v>
      </c>
      <c r="AH114" s="213">
        <f t="shared" si="439"/>
        <v>9.2175668388815409E-6</v>
      </c>
      <c r="AI114" s="213">
        <f t="shared" si="440"/>
        <v>0</v>
      </c>
      <c r="AJ114" s="213">
        <f t="shared" si="441"/>
        <v>0</v>
      </c>
      <c r="AK114" s="213">
        <f t="shared" si="442"/>
        <v>0</v>
      </c>
      <c r="AL114" s="213">
        <f t="shared" si="443"/>
        <v>0</v>
      </c>
      <c r="AM114" s="213">
        <f t="shared" si="444"/>
        <v>4.0442074505592757E-2</v>
      </c>
      <c r="AN114" s="213">
        <f t="shared" si="445"/>
        <v>3.3644118961917623E-2</v>
      </c>
      <c r="AO114" s="213">
        <f t="shared" si="446"/>
        <v>0</v>
      </c>
      <c r="AP114" s="213">
        <f t="shared" si="447"/>
        <v>0.44394106287763219</v>
      </c>
      <c r="AQ114" s="213">
        <f t="shared" si="448"/>
        <v>0</v>
      </c>
      <c r="AR114" s="213">
        <f t="shared" si="449"/>
        <v>0</v>
      </c>
      <c r="AS114" s="213">
        <f t="shared" si="450"/>
        <v>0</v>
      </c>
      <c r="AT114" s="213">
        <f t="shared" si="451"/>
        <v>3.5257193158721889E-2</v>
      </c>
      <c r="AU114" s="213">
        <f t="shared" si="452"/>
        <v>2.5463528392410253E-2</v>
      </c>
      <c r="AV114" s="213">
        <f t="shared" si="453"/>
        <v>0</v>
      </c>
      <c r="AW114" s="213">
        <f t="shared" si="454"/>
        <v>0</v>
      </c>
      <c r="AX114" s="213">
        <f t="shared" si="455"/>
        <v>0</v>
      </c>
      <c r="AY114" s="213">
        <f t="shared" si="456"/>
        <v>0</v>
      </c>
      <c r="AZ114" s="213">
        <f t="shared" si="457"/>
        <v>0</v>
      </c>
      <c r="BA114" s="213">
        <f t="shared" si="458"/>
        <v>0</v>
      </c>
      <c r="BB114" s="213">
        <f t="shared" si="459"/>
        <v>0</v>
      </c>
      <c r="BC114" s="213">
        <f t="shared" si="460"/>
        <v>0</v>
      </c>
      <c r="BD114" s="240">
        <f t="shared" si="436"/>
        <v>1</v>
      </c>
      <c r="BE114" s="213">
        <f t="shared" si="360"/>
        <v>0.64056349082217157</v>
      </c>
      <c r="BF114" s="213">
        <f t="shared" si="361"/>
        <v>0.21707470368356854</v>
      </c>
      <c r="BG114" s="213">
        <f t="shared" si="461"/>
        <v>4.0638274193982332E-2</v>
      </c>
      <c r="BH114" s="213">
        <f t="shared" si="462"/>
        <v>6.6289456562832732E-3</v>
      </c>
      <c r="BI114" s="213">
        <v>0</v>
      </c>
      <c r="BJ114" s="213">
        <f t="shared" si="463"/>
        <v>2.5874588104779139E-3</v>
      </c>
      <c r="BK114" s="213">
        <f t="shared" si="464"/>
        <v>4.8574424537194413E-5</v>
      </c>
      <c r="BL114" s="213">
        <f t="shared" si="465"/>
        <v>1.0897356133862547E-6</v>
      </c>
      <c r="BM114" s="213">
        <f t="shared" si="362"/>
        <v>1.1543227589171678E-2</v>
      </c>
      <c r="BN114" s="213">
        <f t="shared" si="466"/>
        <v>7.6129786593209759E-4</v>
      </c>
      <c r="BO114" s="213">
        <v>0</v>
      </c>
      <c r="BP114" s="213">
        <f t="shared" si="467"/>
        <v>8.0152937218262055E-2</v>
      </c>
      <c r="BQ114" s="213">
        <f t="shared" si="468"/>
        <v>0</v>
      </c>
      <c r="BR114" s="213">
        <f t="shared" si="469"/>
        <v>1</v>
      </c>
      <c r="BS114" s="232">
        <f t="shared" si="470"/>
        <v>94.930242858689383</v>
      </c>
      <c r="BT114" s="215" t="str">
        <f t="shared" si="471"/>
        <v xml:space="preserve">R7P2EA05 </v>
      </c>
      <c r="BU114" s="269">
        <f t="shared" si="363"/>
        <v>4.78638249593311E-2</v>
      </c>
    </row>
    <row r="115" spans="1:73" s="215" customFormat="1" x14ac:dyDescent="0.2">
      <c r="A115" s="72" t="s">
        <v>119</v>
      </c>
      <c r="B115" s="228">
        <v>82</v>
      </c>
      <c r="C115" s="228">
        <v>116</v>
      </c>
      <c r="D115" s="229">
        <f t="shared" si="399"/>
        <v>99</v>
      </c>
      <c r="E115" s="175">
        <v>11.76</v>
      </c>
      <c r="F115" s="175">
        <v>1.5</v>
      </c>
      <c r="G115" s="175">
        <v>23.9</v>
      </c>
      <c r="H115" s="175">
        <v>0.05</v>
      </c>
      <c r="I115" s="174">
        <v>1.6000000000000001E-3</v>
      </c>
      <c r="J115" s="175">
        <v>0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175">
        <v>0</v>
      </c>
      <c r="Q115" s="175">
        <v>27.66</v>
      </c>
      <c r="R115" s="175">
        <v>15.84</v>
      </c>
      <c r="S115" s="175">
        <v>12.73</v>
      </c>
      <c r="T115" s="175">
        <v>0</v>
      </c>
      <c r="U115" s="175">
        <v>1.4</v>
      </c>
      <c r="V115" s="175">
        <v>5.16</v>
      </c>
      <c r="W115" s="175">
        <v>0</v>
      </c>
      <c r="X115" s="175">
        <v>0</v>
      </c>
      <c r="Y115" s="175">
        <v>0</v>
      </c>
      <c r="Z115" s="175">
        <v>0</v>
      </c>
      <c r="AA115" s="175">
        <v>0</v>
      </c>
      <c r="AB115" s="175">
        <v>0</v>
      </c>
      <c r="AC115" s="175">
        <v>0</v>
      </c>
      <c r="AD115" s="175">
        <v>0</v>
      </c>
      <c r="AE115" s="230">
        <f t="shared" si="435"/>
        <v>100.00160000000001</v>
      </c>
      <c r="AF115" s="213">
        <f t="shared" si="437"/>
        <v>0.27553100242559508</v>
      </c>
      <c r="AG115" s="213">
        <f t="shared" si="438"/>
        <v>5.7642469126693537E-4</v>
      </c>
      <c r="AH115" s="213">
        <f t="shared" si="439"/>
        <v>1.8445590120541931E-5</v>
      </c>
      <c r="AI115" s="213">
        <f t="shared" si="440"/>
        <v>0</v>
      </c>
      <c r="AJ115" s="213">
        <f t="shared" si="441"/>
        <v>0</v>
      </c>
      <c r="AK115" s="213">
        <f t="shared" si="442"/>
        <v>0</v>
      </c>
      <c r="AL115" s="213">
        <f t="shared" si="443"/>
        <v>0</v>
      </c>
      <c r="AM115" s="213">
        <f t="shared" si="444"/>
        <v>0</v>
      </c>
      <c r="AN115" s="213">
        <f t="shared" si="445"/>
        <v>0</v>
      </c>
      <c r="AO115" s="213">
        <f t="shared" si="446"/>
        <v>0</v>
      </c>
      <c r="AP115" s="213">
        <f t="shared" si="447"/>
        <v>0.31887813920886859</v>
      </c>
      <c r="AQ115" s="213">
        <f t="shared" si="448"/>
        <v>0.18261134219336511</v>
      </c>
      <c r="AR115" s="213">
        <f t="shared" si="449"/>
        <v>0.14675772639656173</v>
      </c>
      <c r="AS115" s="213">
        <f t="shared" si="450"/>
        <v>0</v>
      </c>
      <c r="AT115" s="213">
        <f t="shared" si="451"/>
        <v>1.6139891355474188E-2</v>
      </c>
      <c r="AU115" s="213">
        <f t="shared" si="452"/>
        <v>5.9487028138747726E-2</v>
      </c>
      <c r="AV115" s="213">
        <f t="shared" si="453"/>
        <v>0</v>
      </c>
      <c r="AW115" s="213">
        <f t="shared" si="454"/>
        <v>0</v>
      </c>
      <c r="AX115" s="213">
        <f t="shared" si="455"/>
        <v>0</v>
      </c>
      <c r="AY115" s="213">
        <f t="shared" si="456"/>
        <v>0</v>
      </c>
      <c r="AZ115" s="213">
        <f t="shared" si="457"/>
        <v>0</v>
      </c>
      <c r="BA115" s="213">
        <f t="shared" si="458"/>
        <v>0</v>
      </c>
      <c r="BB115" s="213">
        <f t="shared" si="459"/>
        <v>0</v>
      </c>
      <c r="BC115" s="213">
        <f t="shared" si="460"/>
        <v>0</v>
      </c>
      <c r="BD115" s="240">
        <f t="shared" si="436"/>
        <v>1</v>
      </c>
      <c r="BE115" s="213">
        <f t="shared" si="360"/>
        <v>0.60424503781649785</v>
      </c>
      <c r="BF115" s="213">
        <f t="shared" si="361"/>
        <v>0.27108718550700633</v>
      </c>
      <c r="BG115" s="213">
        <f t="shared" si="461"/>
        <v>1.0645875336888337E-2</v>
      </c>
      <c r="BH115" s="213">
        <f t="shared" si="462"/>
        <v>5.1812322867285055E-3</v>
      </c>
      <c r="BI115" s="213">
        <v>0</v>
      </c>
      <c r="BJ115" s="213">
        <f t="shared" si="463"/>
        <v>4.787211876687048E-3</v>
      </c>
      <c r="BK115" s="213">
        <f t="shared" si="464"/>
        <v>1.3661074728507177E-3</v>
      </c>
      <c r="BL115" s="213">
        <f t="shared" si="465"/>
        <v>2.1807074269850627E-6</v>
      </c>
      <c r="BM115" s="213">
        <f t="shared" si="362"/>
        <v>1.3666397556034054E-2</v>
      </c>
      <c r="BN115" s="213">
        <f t="shared" si="466"/>
        <v>3.4850377311611931E-4</v>
      </c>
      <c r="BO115" s="213">
        <v>0</v>
      </c>
      <c r="BP115" s="213">
        <f t="shared" si="467"/>
        <v>8.8670267666763891E-2</v>
      </c>
      <c r="BQ115" s="213">
        <f t="shared" si="468"/>
        <v>0</v>
      </c>
      <c r="BR115" s="213">
        <f t="shared" si="469"/>
        <v>0.99999999999999978</v>
      </c>
      <c r="BS115" s="232">
        <f t="shared" si="470"/>
        <v>94.745356001280228</v>
      </c>
      <c r="BT115" s="215" t="str">
        <f t="shared" si="471"/>
        <v xml:space="preserve">R7P2EA06 </v>
      </c>
      <c r="BU115" s="269">
        <f t="shared" si="363"/>
        <v>1.6293418529422409E-2</v>
      </c>
    </row>
    <row r="116" spans="1:73" s="215" customFormat="1" x14ac:dyDescent="0.2">
      <c r="A116" s="72" t="s">
        <v>120</v>
      </c>
      <c r="B116" s="228">
        <v>116</v>
      </c>
      <c r="C116" s="228">
        <v>171</v>
      </c>
      <c r="D116" s="229">
        <f t="shared" si="399"/>
        <v>143.5</v>
      </c>
      <c r="E116" s="175">
        <v>9.5</v>
      </c>
      <c r="F116" s="175">
        <v>0</v>
      </c>
      <c r="G116" s="175">
        <v>27.06</v>
      </c>
      <c r="H116" s="175">
        <v>0</v>
      </c>
      <c r="I116" s="175">
        <v>0</v>
      </c>
      <c r="J116" s="175">
        <v>0</v>
      </c>
      <c r="K116" s="175">
        <v>0</v>
      </c>
      <c r="L116" s="175">
        <v>0</v>
      </c>
      <c r="M116" s="175">
        <v>0</v>
      </c>
      <c r="N116" s="175">
        <v>0</v>
      </c>
      <c r="O116" s="175">
        <v>0</v>
      </c>
      <c r="P116" s="175">
        <v>0</v>
      </c>
      <c r="Q116" s="175">
        <v>35.270000000000003</v>
      </c>
      <c r="R116" s="175">
        <v>19.760000000000002</v>
      </c>
      <c r="S116" s="175">
        <v>0.28999999999999998</v>
      </c>
      <c r="T116" s="175">
        <v>0</v>
      </c>
      <c r="U116" s="175">
        <v>4.68</v>
      </c>
      <c r="V116" s="175">
        <v>3.45</v>
      </c>
      <c r="W116" s="175">
        <v>0</v>
      </c>
      <c r="X116" s="175">
        <v>0</v>
      </c>
      <c r="Y116" s="175">
        <v>0</v>
      </c>
      <c r="Z116" s="175">
        <v>0</v>
      </c>
      <c r="AA116" s="175">
        <v>0</v>
      </c>
      <c r="AB116" s="175">
        <v>0</v>
      </c>
      <c r="AC116" s="175">
        <v>0</v>
      </c>
      <c r="AD116" s="175">
        <v>0</v>
      </c>
      <c r="AE116" s="230">
        <f t="shared" si="435"/>
        <v>100.01000000000003</v>
      </c>
      <c r="AF116" s="213">
        <f t="shared" si="437"/>
        <v>0.29897248922770964</v>
      </c>
      <c r="AG116" s="213">
        <f t="shared" si="438"/>
        <v>0</v>
      </c>
      <c r="AH116" s="213">
        <f t="shared" si="439"/>
        <v>0</v>
      </c>
      <c r="AI116" s="213">
        <f t="shared" si="440"/>
        <v>0</v>
      </c>
      <c r="AJ116" s="213">
        <f t="shared" si="441"/>
        <v>0</v>
      </c>
      <c r="AK116" s="213">
        <f t="shared" si="442"/>
        <v>0</v>
      </c>
      <c r="AL116" s="213">
        <f t="shared" si="443"/>
        <v>0</v>
      </c>
      <c r="AM116" s="213">
        <f t="shared" si="444"/>
        <v>0</v>
      </c>
      <c r="AN116" s="213">
        <f t="shared" si="445"/>
        <v>0</v>
      </c>
      <c r="AO116" s="213">
        <f t="shared" si="446"/>
        <v>0</v>
      </c>
      <c r="AP116" s="213">
        <f t="shared" si="447"/>
        <v>0.38968069826538504</v>
      </c>
      <c r="AQ116" s="213">
        <f t="shared" si="448"/>
        <v>0.21831841785438075</v>
      </c>
      <c r="AR116" s="213">
        <f t="shared" si="449"/>
        <v>3.2040658490774497E-3</v>
      </c>
      <c r="AS116" s="213">
        <f t="shared" si="450"/>
        <v>0</v>
      </c>
      <c r="AT116" s="213">
        <f t="shared" si="451"/>
        <v>5.1706993702353328E-2</v>
      </c>
      <c r="AU116" s="213">
        <f t="shared" si="452"/>
        <v>3.8117335101093802E-2</v>
      </c>
      <c r="AV116" s="213">
        <f t="shared" si="453"/>
        <v>0</v>
      </c>
      <c r="AW116" s="213">
        <f t="shared" si="454"/>
        <v>0</v>
      </c>
      <c r="AX116" s="213">
        <f t="shared" si="455"/>
        <v>0</v>
      </c>
      <c r="AY116" s="213">
        <f t="shared" si="456"/>
        <v>0</v>
      </c>
      <c r="AZ116" s="213">
        <f t="shared" si="457"/>
        <v>0</v>
      </c>
      <c r="BA116" s="213">
        <f t="shared" si="458"/>
        <v>0</v>
      </c>
      <c r="BB116" s="213">
        <f t="shared" si="459"/>
        <v>0</v>
      </c>
      <c r="BC116" s="213">
        <f t="shared" si="460"/>
        <v>0</v>
      </c>
      <c r="BD116" s="240">
        <f t="shared" si="436"/>
        <v>1</v>
      </c>
      <c r="BE116" s="213">
        <f t="shared" si="360"/>
        <v>0.62328992424627305</v>
      </c>
      <c r="BF116" s="213">
        <f t="shared" si="361"/>
        <v>0.25955796652955399</v>
      </c>
      <c r="BG116" s="213">
        <f t="shared" si="461"/>
        <v>6.1199505857839082E-3</v>
      </c>
      <c r="BH116" s="213">
        <f t="shared" si="462"/>
        <v>9.7564954690173462E-3</v>
      </c>
      <c r="BI116" s="213">
        <v>0</v>
      </c>
      <c r="BJ116" s="213">
        <f t="shared" si="463"/>
        <v>3.8666054720635648E-3</v>
      </c>
      <c r="BK116" s="213">
        <f t="shared" si="464"/>
        <v>1.0057745599992765E-4</v>
      </c>
      <c r="BL116" s="213">
        <f t="shared" si="465"/>
        <v>0</v>
      </c>
      <c r="BM116" s="213">
        <f t="shared" si="362"/>
        <v>7.36408052670423E-3</v>
      </c>
      <c r="BN116" s="213">
        <f t="shared" si="466"/>
        <v>1.1164934140433147E-3</v>
      </c>
      <c r="BO116" s="213">
        <v>0</v>
      </c>
      <c r="BP116" s="213">
        <f t="shared" si="467"/>
        <v>8.8827906300560755E-2</v>
      </c>
      <c r="BQ116" s="213">
        <f t="shared" si="468"/>
        <v>0</v>
      </c>
      <c r="BR116" s="213">
        <f t="shared" si="469"/>
        <v>1</v>
      </c>
      <c r="BS116" s="232">
        <f t="shared" si="470"/>
        <v>97.204484827329125</v>
      </c>
      <c r="BT116" s="215" t="str">
        <f t="shared" si="471"/>
        <v xml:space="preserve">R7P2EA07 </v>
      </c>
      <c r="BU116" s="269">
        <f t="shared" si="363"/>
        <v>1.6754530647012815E-2</v>
      </c>
    </row>
    <row r="117" spans="1:73" s="215" customFormat="1" x14ac:dyDescent="0.2">
      <c r="A117" s="72" t="s">
        <v>121</v>
      </c>
      <c r="B117" s="228">
        <v>171</v>
      </c>
      <c r="C117" s="228">
        <v>205</v>
      </c>
      <c r="D117" s="229">
        <f t="shared" si="399"/>
        <v>188</v>
      </c>
      <c r="E117" s="175">
        <v>12.1</v>
      </c>
      <c r="F117" s="175">
        <v>0</v>
      </c>
      <c r="G117" s="175">
        <v>29.08</v>
      </c>
      <c r="H117" s="175">
        <v>0</v>
      </c>
      <c r="I117" s="175">
        <v>0</v>
      </c>
      <c r="J117" s="175">
        <v>0</v>
      </c>
      <c r="K117" s="175">
        <v>0</v>
      </c>
      <c r="L117" s="175">
        <v>0</v>
      </c>
      <c r="M117" s="175">
        <v>0</v>
      </c>
      <c r="N117" s="175">
        <v>0</v>
      </c>
      <c r="O117" s="175">
        <v>0</v>
      </c>
      <c r="P117" s="175">
        <v>0</v>
      </c>
      <c r="Q117" s="175">
        <v>37.19</v>
      </c>
      <c r="R117" s="175">
        <v>14.71</v>
      </c>
      <c r="S117" s="175">
        <v>0</v>
      </c>
      <c r="T117" s="175">
        <v>0</v>
      </c>
      <c r="U117" s="175">
        <v>1.7</v>
      </c>
      <c r="V117" s="175">
        <v>5.23</v>
      </c>
      <c r="W117" s="175">
        <v>0</v>
      </c>
      <c r="X117" s="175">
        <v>0</v>
      </c>
      <c r="Y117" s="175">
        <v>0</v>
      </c>
      <c r="Z117" s="175">
        <v>0</v>
      </c>
      <c r="AA117" s="175">
        <v>0</v>
      </c>
      <c r="AB117" s="175">
        <v>0</v>
      </c>
      <c r="AC117" s="175">
        <v>0</v>
      </c>
      <c r="AD117" s="175">
        <v>0</v>
      </c>
      <c r="AE117" s="230">
        <f t="shared" si="435"/>
        <v>100.01000000000002</v>
      </c>
      <c r="AF117" s="213">
        <f t="shared" si="437"/>
        <v>0.33079285633033784</v>
      </c>
      <c r="AG117" s="213">
        <f t="shared" si="438"/>
        <v>0</v>
      </c>
      <c r="AH117" s="213">
        <f t="shared" si="439"/>
        <v>0</v>
      </c>
      <c r="AI117" s="213">
        <f t="shared" si="440"/>
        <v>0</v>
      </c>
      <c r="AJ117" s="213">
        <f t="shared" si="441"/>
        <v>0</v>
      </c>
      <c r="AK117" s="213">
        <f t="shared" si="442"/>
        <v>0</v>
      </c>
      <c r="AL117" s="213">
        <f t="shared" si="443"/>
        <v>0</v>
      </c>
      <c r="AM117" s="213">
        <f t="shared" si="444"/>
        <v>0</v>
      </c>
      <c r="AN117" s="213">
        <f t="shared" si="445"/>
        <v>0</v>
      </c>
      <c r="AO117" s="213">
        <f t="shared" si="446"/>
        <v>0</v>
      </c>
      <c r="AP117" s="213">
        <f t="shared" si="447"/>
        <v>0.42304629734956206</v>
      </c>
      <c r="AQ117" s="213">
        <f t="shared" si="448"/>
        <v>0.16733022409282222</v>
      </c>
      <c r="AR117" s="213">
        <f t="shared" si="449"/>
        <v>0</v>
      </c>
      <c r="AS117" s="213">
        <f t="shared" si="450"/>
        <v>0</v>
      </c>
      <c r="AT117" s="213">
        <f t="shared" si="451"/>
        <v>1.9337959276532819E-2</v>
      </c>
      <c r="AU117" s="213">
        <f t="shared" si="452"/>
        <v>5.9492662950745089E-2</v>
      </c>
      <c r="AV117" s="213">
        <f t="shared" si="453"/>
        <v>0</v>
      </c>
      <c r="AW117" s="213">
        <f t="shared" si="454"/>
        <v>0</v>
      </c>
      <c r="AX117" s="213">
        <f t="shared" si="455"/>
        <v>0</v>
      </c>
      <c r="AY117" s="213">
        <f t="shared" si="456"/>
        <v>0</v>
      </c>
      <c r="AZ117" s="213">
        <f t="shared" si="457"/>
        <v>0</v>
      </c>
      <c r="BA117" s="213">
        <f t="shared" si="458"/>
        <v>0</v>
      </c>
      <c r="BB117" s="213">
        <f t="shared" si="459"/>
        <v>0</v>
      </c>
      <c r="BC117" s="213">
        <f t="shared" si="460"/>
        <v>0</v>
      </c>
      <c r="BD117" s="240">
        <f t="shared" si="436"/>
        <v>1</v>
      </c>
      <c r="BE117" s="213">
        <f t="shared" si="360"/>
        <v>0.64325807710363436</v>
      </c>
      <c r="BF117" s="213">
        <f t="shared" si="361"/>
        <v>0.24808012255034612</v>
      </c>
      <c r="BG117" s="213">
        <f t="shared" si="461"/>
        <v>6.5079004997961633E-3</v>
      </c>
      <c r="BH117" s="213">
        <f t="shared" si="462"/>
        <v>5.6791142340064616E-3</v>
      </c>
      <c r="BI117" s="213">
        <v>0</v>
      </c>
      <c r="BJ117" s="213">
        <f t="shared" si="463"/>
        <v>2.5502624836309155E-3</v>
      </c>
      <c r="BK117" s="213">
        <f t="shared" si="464"/>
        <v>2.6642229838109262E-5</v>
      </c>
      <c r="BL117" s="213">
        <f t="shared" si="465"/>
        <v>0</v>
      </c>
      <c r="BM117" s="213">
        <f t="shared" si="362"/>
        <v>7.9599259936161855E-3</v>
      </c>
      <c r="BN117" s="213">
        <f t="shared" si="466"/>
        <v>4.1755868263337187E-4</v>
      </c>
      <c r="BO117" s="213">
        <v>0</v>
      </c>
      <c r="BP117" s="213">
        <f t="shared" si="467"/>
        <v>8.5520396222498282E-2</v>
      </c>
      <c r="BQ117" s="213">
        <f t="shared" si="468"/>
        <v>0</v>
      </c>
      <c r="BR117" s="213">
        <f t="shared" si="469"/>
        <v>0.99999999999999989</v>
      </c>
      <c r="BS117" s="232">
        <f t="shared" si="470"/>
        <v>96.881059305558296</v>
      </c>
      <c r="BT117" s="215" t="str">
        <f t="shared" si="471"/>
        <v xml:space="preserve">R7P2EA08 </v>
      </c>
      <c r="BU117" s="269">
        <f t="shared" si="363"/>
        <v>1.2698135014863207E-2</v>
      </c>
    </row>
    <row r="118" spans="1:73" s="215" customFormat="1" x14ac:dyDescent="0.2">
      <c r="A118" s="72" t="s">
        <v>122</v>
      </c>
      <c r="B118" s="228">
        <v>250</v>
      </c>
      <c r="C118" s="228">
        <v>300</v>
      </c>
      <c r="D118" s="229">
        <f t="shared" si="399"/>
        <v>275</v>
      </c>
      <c r="E118" s="175">
        <v>10.85</v>
      </c>
      <c r="F118" s="175">
        <v>0.37</v>
      </c>
      <c r="G118" s="175">
        <v>26.29</v>
      </c>
      <c r="H118" s="175">
        <v>0</v>
      </c>
      <c r="I118" s="175">
        <v>0</v>
      </c>
      <c r="J118" s="175">
        <v>0</v>
      </c>
      <c r="K118" s="175">
        <v>0</v>
      </c>
      <c r="L118" s="175">
        <v>0</v>
      </c>
      <c r="M118" s="175">
        <v>0</v>
      </c>
      <c r="N118" s="175">
        <v>0</v>
      </c>
      <c r="O118" s="175">
        <v>0</v>
      </c>
      <c r="P118" s="175">
        <v>0</v>
      </c>
      <c r="Q118" s="175">
        <v>17.97</v>
      </c>
      <c r="R118" s="175">
        <v>39.79</v>
      </c>
      <c r="S118" s="175">
        <v>0</v>
      </c>
      <c r="T118" s="175">
        <v>0</v>
      </c>
      <c r="U118" s="175">
        <v>0.73</v>
      </c>
      <c r="V118" s="175">
        <v>4</v>
      </c>
      <c r="W118" s="175">
        <v>0</v>
      </c>
      <c r="X118" s="175">
        <v>0</v>
      </c>
      <c r="Y118" s="175">
        <v>0</v>
      </c>
      <c r="Z118" s="175">
        <v>0</v>
      </c>
      <c r="AA118" s="175">
        <v>0</v>
      </c>
      <c r="AB118" s="175">
        <v>0</v>
      </c>
      <c r="AC118" s="175">
        <v>0</v>
      </c>
      <c r="AD118" s="175">
        <v>0</v>
      </c>
      <c r="AE118" s="230">
        <f t="shared" si="435"/>
        <v>100</v>
      </c>
      <c r="AF118" s="213">
        <f t="shared" si="437"/>
        <v>0.29612525343545842</v>
      </c>
      <c r="AG118" s="213">
        <f t="shared" si="438"/>
        <v>0</v>
      </c>
      <c r="AH118" s="213">
        <f t="shared" si="439"/>
        <v>0</v>
      </c>
      <c r="AI118" s="213">
        <f t="shared" si="440"/>
        <v>0</v>
      </c>
      <c r="AJ118" s="213">
        <f t="shared" si="441"/>
        <v>0</v>
      </c>
      <c r="AK118" s="213">
        <f t="shared" si="442"/>
        <v>0</v>
      </c>
      <c r="AL118" s="213">
        <f t="shared" si="443"/>
        <v>0</v>
      </c>
      <c r="AM118" s="213">
        <f t="shared" si="444"/>
        <v>0</v>
      </c>
      <c r="AN118" s="213">
        <f t="shared" si="445"/>
        <v>0</v>
      </c>
      <c r="AO118" s="213">
        <f t="shared" si="446"/>
        <v>0</v>
      </c>
      <c r="AP118" s="213">
        <f t="shared" si="447"/>
        <v>0.20241045280468573</v>
      </c>
      <c r="AQ118" s="213">
        <f t="shared" si="448"/>
        <v>0.44818652849740931</v>
      </c>
      <c r="AR118" s="213">
        <f t="shared" si="449"/>
        <v>0</v>
      </c>
      <c r="AS118" s="213">
        <f t="shared" si="450"/>
        <v>0</v>
      </c>
      <c r="AT118" s="213">
        <f t="shared" si="451"/>
        <v>8.2225726514980856E-3</v>
      </c>
      <c r="AU118" s="213">
        <f t="shared" si="452"/>
        <v>4.5055192610948411E-2</v>
      </c>
      <c r="AV118" s="213">
        <f t="shared" si="453"/>
        <v>0</v>
      </c>
      <c r="AW118" s="213">
        <f t="shared" si="454"/>
        <v>0</v>
      </c>
      <c r="AX118" s="213">
        <f t="shared" si="455"/>
        <v>0</v>
      </c>
      <c r="AY118" s="213">
        <f t="shared" si="456"/>
        <v>0</v>
      </c>
      <c r="AZ118" s="213">
        <f t="shared" si="457"/>
        <v>0</v>
      </c>
      <c r="BA118" s="213">
        <f t="shared" si="458"/>
        <v>0</v>
      </c>
      <c r="BB118" s="213">
        <f t="shared" si="459"/>
        <v>0</v>
      </c>
      <c r="BC118" s="213">
        <f t="shared" si="460"/>
        <v>0</v>
      </c>
      <c r="BD118" s="240">
        <f t="shared" si="436"/>
        <v>0.99999999999999989</v>
      </c>
      <c r="BE118" s="213">
        <f t="shared" si="360"/>
        <v>0.62511116071557715</v>
      </c>
      <c r="BF118" s="213">
        <f t="shared" si="361"/>
        <v>0.26807097124399842</v>
      </c>
      <c r="BG118" s="213">
        <f t="shared" si="461"/>
        <v>3.1137657869231452E-3</v>
      </c>
      <c r="BH118" s="213">
        <f t="shared" si="462"/>
        <v>3.3015634033640622E-3</v>
      </c>
      <c r="BI118" s="213">
        <v>0</v>
      </c>
      <c r="BJ118" s="213">
        <f t="shared" si="463"/>
        <v>1.5752787612417741E-3</v>
      </c>
      <c r="BK118" s="213">
        <f t="shared" si="464"/>
        <v>1.1328375828550251E-5</v>
      </c>
      <c r="BL118" s="213">
        <f t="shared" si="465"/>
        <v>0</v>
      </c>
      <c r="BM118" s="213">
        <f t="shared" si="362"/>
        <v>5.6790189489315393E-3</v>
      </c>
      <c r="BN118" s="213">
        <f t="shared" si="466"/>
        <v>1.7754751445687821E-4</v>
      </c>
      <c r="BO118" s="213">
        <v>0</v>
      </c>
      <c r="BP118" s="213">
        <f t="shared" si="467"/>
        <v>9.2959365249678488E-2</v>
      </c>
      <c r="BQ118" s="213">
        <f t="shared" si="468"/>
        <v>0</v>
      </c>
      <c r="BR118" s="213">
        <f t="shared" si="469"/>
        <v>1</v>
      </c>
      <c r="BS118" s="232">
        <f t="shared" si="470"/>
        <v>97.92142025231702</v>
      </c>
      <c r="BT118" s="215" t="str">
        <f t="shared" si="471"/>
        <v xml:space="preserve">R7P2EA09 </v>
      </c>
      <c r="BU118" s="269">
        <f t="shared" si="363"/>
        <v>6.7124698965899728E-3</v>
      </c>
    </row>
    <row r="119" spans="1:73" s="215" customFormat="1" x14ac:dyDescent="0.2">
      <c r="A119" s="72" t="s">
        <v>123</v>
      </c>
      <c r="B119" s="228">
        <v>300</v>
      </c>
      <c r="C119" s="228">
        <v>400</v>
      </c>
      <c r="D119" s="229">
        <f t="shared" si="399"/>
        <v>350</v>
      </c>
      <c r="E119" s="175">
        <v>9.9700000000000006</v>
      </c>
      <c r="F119" s="175">
        <v>1.35</v>
      </c>
      <c r="G119" s="175">
        <v>26.71</v>
      </c>
      <c r="H119" s="175">
        <v>0</v>
      </c>
      <c r="I119" s="175">
        <v>0</v>
      </c>
      <c r="J119" s="175">
        <v>0</v>
      </c>
      <c r="K119" s="175">
        <v>0</v>
      </c>
      <c r="L119" s="175">
        <v>0</v>
      </c>
      <c r="M119" s="175">
        <v>0</v>
      </c>
      <c r="N119" s="175">
        <v>0</v>
      </c>
      <c r="O119" s="175">
        <v>0</v>
      </c>
      <c r="P119" s="175">
        <v>0</v>
      </c>
      <c r="Q119" s="175">
        <v>18.37</v>
      </c>
      <c r="R119" s="175">
        <v>38.89</v>
      </c>
      <c r="S119" s="175">
        <v>0</v>
      </c>
      <c r="T119" s="175">
        <v>0</v>
      </c>
      <c r="U119" s="175">
        <v>0.53</v>
      </c>
      <c r="V119" s="175">
        <v>4.17</v>
      </c>
      <c r="W119" s="175">
        <v>0</v>
      </c>
      <c r="X119" s="175">
        <v>0</v>
      </c>
      <c r="Y119" s="175">
        <v>0</v>
      </c>
      <c r="Z119" s="175">
        <v>0</v>
      </c>
      <c r="AA119" s="175">
        <v>0</v>
      </c>
      <c r="AB119" s="175">
        <v>0</v>
      </c>
      <c r="AC119" s="175">
        <v>0</v>
      </c>
      <c r="AD119" s="175">
        <v>0</v>
      </c>
      <c r="AE119" s="230">
        <f t="shared" si="435"/>
        <v>99.990000000000009</v>
      </c>
      <c r="AF119" s="213">
        <f t="shared" si="437"/>
        <v>0.30122927709484604</v>
      </c>
      <c r="AG119" s="213">
        <f t="shared" si="438"/>
        <v>0</v>
      </c>
      <c r="AH119" s="213">
        <f t="shared" si="439"/>
        <v>0</v>
      </c>
      <c r="AI119" s="213">
        <f t="shared" si="440"/>
        <v>0</v>
      </c>
      <c r="AJ119" s="213">
        <f t="shared" si="441"/>
        <v>0</v>
      </c>
      <c r="AK119" s="213">
        <f t="shared" si="442"/>
        <v>0</v>
      </c>
      <c r="AL119" s="213">
        <f t="shared" si="443"/>
        <v>0</v>
      </c>
      <c r="AM119" s="213">
        <f t="shared" si="444"/>
        <v>0</v>
      </c>
      <c r="AN119" s="213">
        <f t="shared" si="445"/>
        <v>0</v>
      </c>
      <c r="AO119" s="213">
        <f t="shared" si="446"/>
        <v>0</v>
      </c>
      <c r="AP119" s="213">
        <f t="shared" si="447"/>
        <v>0.20717266268185408</v>
      </c>
      <c r="AQ119" s="213">
        <f t="shared" si="448"/>
        <v>0.43859253411525884</v>
      </c>
      <c r="AR119" s="213">
        <f t="shared" si="449"/>
        <v>0</v>
      </c>
      <c r="AS119" s="213">
        <f t="shared" si="450"/>
        <v>0</v>
      </c>
      <c r="AT119" s="213">
        <f t="shared" si="451"/>
        <v>5.977218901545055E-3</v>
      </c>
      <c r="AU119" s="213">
        <f t="shared" si="452"/>
        <v>4.7028307206495992E-2</v>
      </c>
      <c r="AV119" s="213">
        <f t="shared" si="453"/>
        <v>0</v>
      </c>
      <c r="AW119" s="213">
        <f t="shared" si="454"/>
        <v>0</v>
      </c>
      <c r="AX119" s="213">
        <f t="shared" si="455"/>
        <v>0</v>
      </c>
      <c r="AY119" s="213">
        <f t="shared" si="456"/>
        <v>0</v>
      </c>
      <c r="AZ119" s="213">
        <f t="shared" si="457"/>
        <v>0</v>
      </c>
      <c r="BA119" s="213">
        <f t="shared" si="458"/>
        <v>0</v>
      </c>
      <c r="BB119" s="213">
        <f t="shared" si="459"/>
        <v>0</v>
      </c>
      <c r="BC119" s="213">
        <f t="shared" si="460"/>
        <v>0</v>
      </c>
      <c r="BD119" s="240">
        <f t="shared" si="436"/>
        <v>0.99999999999999989</v>
      </c>
      <c r="BE119" s="213">
        <f t="shared" si="360"/>
        <v>0.62804946240410675</v>
      </c>
      <c r="BF119" s="213">
        <f t="shared" si="361"/>
        <v>0.26602965426010172</v>
      </c>
      <c r="BG119" s="213">
        <f t="shared" si="461"/>
        <v>3.1870248799205944E-3</v>
      </c>
      <c r="BH119" s="213">
        <f t="shared" si="462"/>
        <v>3.0407342200282897E-3</v>
      </c>
      <c r="BI119" s="213">
        <v>0</v>
      </c>
      <c r="BJ119" s="213">
        <f t="shared" si="463"/>
        <v>1.4998069972412572E-3</v>
      </c>
      <c r="BK119" s="213">
        <f t="shared" si="464"/>
        <v>8.2349144235144065E-6</v>
      </c>
      <c r="BL119" s="213">
        <f t="shared" si="465"/>
        <v>0</v>
      </c>
      <c r="BM119" s="213">
        <f t="shared" si="362"/>
        <v>5.7860523492695697E-3</v>
      </c>
      <c r="BN119" s="213">
        <f t="shared" si="466"/>
        <v>1.2906427274201671E-4</v>
      </c>
      <c r="BO119" s="213">
        <v>0</v>
      </c>
      <c r="BP119" s="213">
        <f t="shared" si="467"/>
        <v>9.2269965702166445E-2</v>
      </c>
      <c r="BQ119" s="213">
        <f t="shared" si="468"/>
        <v>0</v>
      </c>
      <c r="BR119" s="213">
        <f t="shared" si="469"/>
        <v>1.0000000000000002</v>
      </c>
      <c r="BS119" s="232">
        <f t="shared" si="470"/>
        <v>97.868367579687288</v>
      </c>
      <c r="BT119" s="215" t="str">
        <f t="shared" si="471"/>
        <v xml:space="preserve">R7P2EA10 </v>
      </c>
      <c r="BU119" s="269">
        <f t="shared" si="363"/>
        <v>6.5014251797514307E-3</v>
      </c>
    </row>
    <row r="120" spans="1:73" s="215" customFormat="1" x14ac:dyDescent="0.2">
      <c r="A120" s="72" t="s">
        <v>124</v>
      </c>
      <c r="B120" s="228">
        <v>400</v>
      </c>
      <c r="C120" s="228">
        <v>500</v>
      </c>
      <c r="D120" s="229">
        <f t="shared" si="399"/>
        <v>450</v>
      </c>
      <c r="E120" s="175">
        <v>11.66</v>
      </c>
      <c r="F120" s="175">
        <v>0</v>
      </c>
      <c r="G120" s="175">
        <v>26.31</v>
      </c>
      <c r="H120" s="175">
        <v>0</v>
      </c>
      <c r="I120" s="175">
        <v>0</v>
      </c>
      <c r="J120" s="175">
        <v>0</v>
      </c>
      <c r="K120" s="175">
        <v>0</v>
      </c>
      <c r="L120" s="175">
        <v>0</v>
      </c>
      <c r="M120" s="175">
        <v>0</v>
      </c>
      <c r="N120" s="175">
        <v>0</v>
      </c>
      <c r="O120" s="175">
        <v>0</v>
      </c>
      <c r="P120" s="175">
        <v>0</v>
      </c>
      <c r="Q120" s="175">
        <v>18.39</v>
      </c>
      <c r="R120" s="175">
        <v>36.89</v>
      </c>
      <c r="S120" s="175">
        <v>0</v>
      </c>
      <c r="T120" s="175">
        <v>0</v>
      </c>
      <c r="U120" s="175">
        <v>4.4800000000000004</v>
      </c>
      <c r="V120" s="175">
        <v>2.27</v>
      </c>
      <c r="W120" s="175">
        <v>0</v>
      </c>
      <c r="X120" s="175">
        <v>0</v>
      </c>
      <c r="Y120" s="175">
        <v>0</v>
      </c>
      <c r="Z120" s="175">
        <v>0</v>
      </c>
      <c r="AA120" s="175">
        <v>0</v>
      </c>
      <c r="AB120" s="175">
        <v>0</v>
      </c>
      <c r="AC120" s="175">
        <v>0</v>
      </c>
      <c r="AD120" s="175">
        <v>0</v>
      </c>
      <c r="AE120" s="230">
        <f t="shared" si="435"/>
        <v>100</v>
      </c>
      <c r="AF120" s="213">
        <f t="shared" si="437"/>
        <v>0.29782657912610366</v>
      </c>
      <c r="AG120" s="213">
        <f t="shared" si="438"/>
        <v>0</v>
      </c>
      <c r="AH120" s="213">
        <f t="shared" si="439"/>
        <v>0</v>
      </c>
      <c r="AI120" s="213">
        <f t="shared" si="440"/>
        <v>0</v>
      </c>
      <c r="AJ120" s="213">
        <f t="shared" si="441"/>
        <v>0</v>
      </c>
      <c r="AK120" s="213">
        <f t="shared" si="442"/>
        <v>0</v>
      </c>
      <c r="AL120" s="213">
        <f t="shared" si="443"/>
        <v>0</v>
      </c>
      <c r="AM120" s="213">
        <f t="shared" si="444"/>
        <v>0</v>
      </c>
      <c r="AN120" s="213">
        <f t="shared" si="445"/>
        <v>0</v>
      </c>
      <c r="AO120" s="213">
        <f t="shared" si="446"/>
        <v>0</v>
      </c>
      <c r="AP120" s="213">
        <f t="shared" si="447"/>
        <v>0.20817296807788091</v>
      </c>
      <c r="AQ120" s="213">
        <f t="shared" si="448"/>
        <v>0.41759112519809827</v>
      </c>
      <c r="AR120" s="213">
        <f t="shared" si="449"/>
        <v>0</v>
      </c>
      <c r="AS120" s="213">
        <f t="shared" si="450"/>
        <v>0</v>
      </c>
      <c r="AT120" s="213">
        <f t="shared" si="451"/>
        <v>5.0713153724247229E-2</v>
      </c>
      <c r="AU120" s="213">
        <f t="shared" si="452"/>
        <v>2.569617387366991E-2</v>
      </c>
      <c r="AV120" s="213">
        <f t="shared" si="453"/>
        <v>0</v>
      </c>
      <c r="AW120" s="213">
        <f t="shared" si="454"/>
        <v>0</v>
      </c>
      <c r="AX120" s="213">
        <f t="shared" si="455"/>
        <v>0</v>
      </c>
      <c r="AY120" s="213">
        <f t="shared" si="456"/>
        <v>0</v>
      </c>
      <c r="AZ120" s="213">
        <f t="shared" si="457"/>
        <v>0</v>
      </c>
      <c r="BA120" s="213">
        <f t="shared" si="458"/>
        <v>0</v>
      </c>
      <c r="BB120" s="213">
        <f t="shared" si="459"/>
        <v>0</v>
      </c>
      <c r="BC120" s="213">
        <f t="shared" si="460"/>
        <v>0</v>
      </c>
      <c r="BD120" s="240">
        <f t="shared" si="436"/>
        <v>1</v>
      </c>
      <c r="BE120" s="213">
        <f t="shared" si="360"/>
        <v>0.62276004548030373</v>
      </c>
      <c r="BF120" s="213">
        <f t="shared" si="361"/>
        <v>0.26412602537108865</v>
      </c>
      <c r="BG120" s="213">
        <f t="shared" si="461"/>
        <v>3.2024130018059225E-3</v>
      </c>
      <c r="BH120" s="213">
        <f t="shared" si="462"/>
        <v>9.04438120551199E-3</v>
      </c>
      <c r="BI120" s="213">
        <v>0</v>
      </c>
      <c r="BJ120" s="213">
        <f t="shared" si="463"/>
        <v>3.4501907857012832E-3</v>
      </c>
      <c r="BK120" s="213">
        <f t="shared" si="464"/>
        <v>6.9868359841690979E-5</v>
      </c>
      <c r="BL120" s="213">
        <f t="shared" si="465"/>
        <v>0</v>
      </c>
      <c r="BM120" s="213">
        <f t="shared" si="362"/>
        <v>5.7413982185486696E-3</v>
      </c>
      <c r="BN120" s="213">
        <f t="shared" si="466"/>
        <v>1.0950337291783267E-3</v>
      </c>
      <c r="BO120" s="213">
        <v>0</v>
      </c>
      <c r="BP120" s="213">
        <f t="shared" si="467"/>
        <v>9.0510643848019698E-2</v>
      </c>
      <c r="BQ120" s="213">
        <f t="shared" si="468"/>
        <v>0</v>
      </c>
      <c r="BR120" s="213">
        <f t="shared" si="469"/>
        <v>0.99999999999999989</v>
      </c>
      <c r="BS120" s="232">
        <f t="shared" si="470"/>
        <v>97.847179047984966</v>
      </c>
      <c r="BT120" s="215" t="str">
        <f t="shared" si="471"/>
        <v xml:space="preserve">R7P2EA11 </v>
      </c>
      <c r="BU120" s="269">
        <f t="shared" si="363"/>
        <v>1.3060788515813992E-2</v>
      </c>
    </row>
    <row r="121" spans="1:73" s="215" customFormat="1" x14ac:dyDescent="0.2">
      <c r="A121" s="72" t="s">
        <v>125</v>
      </c>
      <c r="B121" s="228">
        <v>500</v>
      </c>
      <c r="C121" s="228">
        <v>600</v>
      </c>
      <c r="D121" s="229">
        <f t="shared" si="399"/>
        <v>550</v>
      </c>
      <c r="E121" s="175">
        <v>9.02</v>
      </c>
      <c r="F121" s="175">
        <v>0</v>
      </c>
      <c r="G121" s="175">
        <v>25.92</v>
      </c>
      <c r="H121" s="175">
        <v>0</v>
      </c>
      <c r="I121" s="175">
        <v>0</v>
      </c>
      <c r="J121" s="175">
        <v>0</v>
      </c>
      <c r="K121" s="175">
        <v>0</v>
      </c>
      <c r="L121" s="175">
        <v>0</v>
      </c>
      <c r="M121" s="175">
        <v>0</v>
      </c>
      <c r="N121" s="175">
        <v>0</v>
      </c>
      <c r="O121" s="175">
        <v>0</v>
      </c>
      <c r="P121" s="175">
        <v>0</v>
      </c>
      <c r="Q121" s="175">
        <v>20.45</v>
      </c>
      <c r="R121" s="175">
        <v>34.5</v>
      </c>
      <c r="S121" s="175">
        <v>0</v>
      </c>
      <c r="T121" s="175">
        <v>0</v>
      </c>
      <c r="U121" s="175">
        <v>8.5399999999999991</v>
      </c>
      <c r="V121" s="175">
        <v>1.57</v>
      </c>
      <c r="W121" s="175">
        <v>0</v>
      </c>
      <c r="X121" s="175">
        <v>0</v>
      </c>
      <c r="Y121" s="175">
        <v>0</v>
      </c>
      <c r="Z121" s="175">
        <v>0</v>
      </c>
      <c r="AA121" s="175">
        <v>0</v>
      </c>
      <c r="AB121" s="175">
        <v>0</v>
      </c>
      <c r="AC121" s="175">
        <v>0</v>
      </c>
      <c r="AD121" s="175">
        <v>0</v>
      </c>
      <c r="AE121" s="230">
        <f t="shared" si="435"/>
        <v>100</v>
      </c>
      <c r="AF121" s="213">
        <f t="shared" si="437"/>
        <v>0.28489777973180924</v>
      </c>
      <c r="AG121" s="213">
        <f t="shared" si="438"/>
        <v>0</v>
      </c>
      <c r="AH121" s="213">
        <f t="shared" si="439"/>
        <v>0</v>
      </c>
      <c r="AI121" s="213">
        <f t="shared" si="440"/>
        <v>0</v>
      </c>
      <c r="AJ121" s="213">
        <f t="shared" si="441"/>
        <v>0</v>
      </c>
      <c r="AK121" s="213">
        <f t="shared" si="442"/>
        <v>0</v>
      </c>
      <c r="AL121" s="213">
        <f t="shared" si="443"/>
        <v>0</v>
      </c>
      <c r="AM121" s="213">
        <f t="shared" si="444"/>
        <v>0</v>
      </c>
      <c r="AN121" s="213">
        <f t="shared" si="445"/>
        <v>0</v>
      </c>
      <c r="AO121" s="213">
        <f t="shared" si="446"/>
        <v>0</v>
      </c>
      <c r="AP121" s="213">
        <f t="shared" si="447"/>
        <v>0.22477467575291274</v>
      </c>
      <c r="AQ121" s="213">
        <f t="shared" si="448"/>
        <v>0.37920422070784793</v>
      </c>
      <c r="AR121" s="213">
        <f t="shared" si="449"/>
        <v>0</v>
      </c>
      <c r="AS121" s="213">
        <f t="shared" si="450"/>
        <v>0</v>
      </c>
      <c r="AT121" s="213">
        <f t="shared" si="451"/>
        <v>9.3866783908551327E-2</v>
      </c>
      <c r="AU121" s="213">
        <f t="shared" si="452"/>
        <v>1.7256539898878875E-2</v>
      </c>
      <c r="AV121" s="213">
        <f t="shared" si="453"/>
        <v>0</v>
      </c>
      <c r="AW121" s="213">
        <f t="shared" si="454"/>
        <v>0</v>
      </c>
      <c r="AX121" s="213">
        <f t="shared" si="455"/>
        <v>0</v>
      </c>
      <c r="AY121" s="213">
        <f t="shared" si="456"/>
        <v>0</v>
      </c>
      <c r="AZ121" s="213">
        <f t="shared" si="457"/>
        <v>0</v>
      </c>
      <c r="BA121" s="213">
        <f t="shared" si="458"/>
        <v>0</v>
      </c>
      <c r="BB121" s="213">
        <f t="shared" si="459"/>
        <v>0</v>
      </c>
      <c r="BC121" s="213">
        <f t="shared" si="460"/>
        <v>0</v>
      </c>
      <c r="BD121" s="240">
        <f t="shared" si="436"/>
        <v>1</v>
      </c>
      <c r="BE121" s="213">
        <f t="shared" si="360"/>
        <v>0.61310228418643575</v>
      </c>
      <c r="BF121" s="213">
        <f t="shared" si="361"/>
        <v>0.26416969308030824</v>
      </c>
      <c r="BG121" s="213">
        <f t="shared" si="461"/>
        <v>3.4578041075849059E-3</v>
      </c>
      <c r="BH121" s="213">
        <f t="shared" si="462"/>
        <v>1.5380440511089936E-2</v>
      </c>
      <c r="BI121" s="213">
        <v>0</v>
      </c>
      <c r="BJ121" s="213">
        <f t="shared" si="463"/>
        <v>5.6331536333565262E-3</v>
      </c>
      <c r="BK121" s="213">
        <f t="shared" si="464"/>
        <v>1.2932183770241878E-4</v>
      </c>
      <c r="BL121" s="213">
        <f t="shared" si="465"/>
        <v>0</v>
      </c>
      <c r="BM121" s="213">
        <f t="shared" si="362"/>
        <v>7.1078167023131663E-3</v>
      </c>
      <c r="BN121" s="213">
        <f t="shared" si="466"/>
        <v>2.0268369620288855E-3</v>
      </c>
      <c r="BO121" s="213">
        <v>0</v>
      </c>
      <c r="BP121" s="213">
        <f t="shared" si="467"/>
        <v>8.8992648979180425E-2</v>
      </c>
      <c r="BQ121" s="213">
        <f t="shared" si="468"/>
        <v>0</v>
      </c>
      <c r="BR121" s="213">
        <f t="shared" si="469"/>
        <v>1.0000000000000002</v>
      </c>
      <c r="BS121" s="232">
        <f t="shared" si="470"/>
        <v>97.333472228090514</v>
      </c>
      <c r="BT121" s="215" t="str">
        <f t="shared" si="471"/>
        <v xml:space="preserve">R7P2EA12 </v>
      </c>
      <c r="BU121" s="269">
        <f t="shared" si="363"/>
        <v>2.0222484264672935E-2</v>
      </c>
    </row>
    <row r="122" spans="1:73" s="215" customFormat="1" x14ac:dyDescent="0.2">
      <c r="A122" s="72" t="s">
        <v>126</v>
      </c>
      <c r="B122" s="228">
        <v>600</v>
      </c>
      <c r="C122" s="228">
        <v>700</v>
      </c>
      <c r="D122" s="229">
        <f t="shared" si="399"/>
        <v>650</v>
      </c>
      <c r="E122" s="175">
        <v>8.31</v>
      </c>
      <c r="F122" s="175">
        <v>0</v>
      </c>
      <c r="G122" s="175">
        <v>27.12</v>
      </c>
      <c r="H122" s="175">
        <v>0</v>
      </c>
      <c r="I122" s="175">
        <v>0</v>
      </c>
      <c r="J122" s="175">
        <v>0</v>
      </c>
      <c r="K122" s="175">
        <v>0</v>
      </c>
      <c r="L122" s="175">
        <v>0</v>
      </c>
      <c r="M122" s="175">
        <v>0</v>
      </c>
      <c r="N122" s="175">
        <v>0</v>
      </c>
      <c r="O122" s="175">
        <v>0</v>
      </c>
      <c r="P122" s="175">
        <v>0</v>
      </c>
      <c r="Q122" s="175">
        <v>14.64</v>
      </c>
      <c r="R122" s="175">
        <v>38.33</v>
      </c>
      <c r="S122" s="175">
        <v>0</v>
      </c>
      <c r="T122" s="175">
        <v>0</v>
      </c>
      <c r="U122" s="175">
        <v>10.199999999999999</v>
      </c>
      <c r="V122" s="175">
        <v>1.41</v>
      </c>
      <c r="W122" s="175">
        <v>0</v>
      </c>
      <c r="X122" s="175">
        <v>0</v>
      </c>
      <c r="Y122" s="175">
        <v>0</v>
      </c>
      <c r="Z122" s="175">
        <v>0</v>
      </c>
      <c r="AA122" s="175">
        <v>0</v>
      </c>
      <c r="AB122" s="175">
        <v>0</v>
      </c>
      <c r="AC122" s="175">
        <v>0</v>
      </c>
      <c r="AD122" s="175">
        <v>0</v>
      </c>
      <c r="AE122" s="230">
        <f t="shared" si="435"/>
        <v>100.01</v>
      </c>
      <c r="AF122" s="213">
        <f t="shared" si="437"/>
        <v>0.29574700109051255</v>
      </c>
      <c r="AG122" s="213">
        <f t="shared" si="438"/>
        <v>0</v>
      </c>
      <c r="AH122" s="213">
        <f t="shared" si="439"/>
        <v>0</v>
      </c>
      <c r="AI122" s="213">
        <f t="shared" si="440"/>
        <v>0</v>
      </c>
      <c r="AJ122" s="213">
        <f t="shared" si="441"/>
        <v>0</v>
      </c>
      <c r="AK122" s="213">
        <f t="shared" si="442"/>
        <v>0</v>
      </c>
      <c r="AL122" s="213">
        <f t="shared" si="443"/>
        <v>0</v>
      </c>
      <c r="AM122" s="213">
        <f t="shared" si="444"/>
        <v>0</v>
      </c>
      <c r="AN122" s="213">
        <f t="shared" si="445"/>
        <v>0</v>
      </c>
      <c r="AO122" s="213">
        <f t="shared" si="446"/>
        <v>0</v>
      </c>
      <c r="AP122" s="213">
        <f t="shared" si="447"/>
        <v>0.15965103598691385</v>
      </c>
      <c r="AQ122" s="213">
        <f t="shared" si="448"/>
        <v>0.41799345692475459</v>
      </c>
      <c r="AR122" s="213">
        <f t="shared" si="449"/>
        <v>0</v>
      </c>
      <c r="AS122" s="213">
        <f t="shared" si="450"/>
        <v>0</v>
      </c>
      <c r="AT122" s="213">
        <f t="shared" si="451"/>
        <v>0.11123227917121045</v>
      </c>
      <c r="AU122" s="213">
        <f t="shared" si="452"/>
        <v>1.5376226826608505E-2</v>
      </c>
      <c r="AV122" s="213">
        <f t="shared" si="453"/>
        <v>0</v>
      </c>
      <c r="AW122" s="213">
        <f t="shared" si="454"/>
        <v>0</v>
      </c>
      <c r="AX122" s="213">
        <f t="shared" si="455"/>
        <v>0</v>
      </c>
      <c r="AY122" s="213">
        <f t="shared" si="456"/>
        <v>0</v>
      </c>
      <c r="AZ122" s="213">
        <f t="shared" si="457"/>
        <v>0</v>
      </c>
      <c r="BA122" s="213">
        <f t="shared" si="458"/>
        <v>0</v>
      </c>
      <c r="BB122" s="213">
        <f t="shared" si="459"/>
        <v>0</v>
      </c>
      <c r="BC122" s="213">
        <f t="shared" si="460"/>
        <v>0</v>
      </c>
      <c r="BD122" s="240">
        <f t="shared" si="436"/>
        <v>1</v>
      </c>
      <c r="BE122" s="213">
        <f t="shared" si="360"/>
        <v>0.6180638993696369</v>
      </c>
      <c r="BF122" s="213">
        <f t="shared" si="361"/>
        <v>0.25848972209367033</v>
      </c>
      <c r="BG122" s="213">
        <f t="shared" si="461"/>
        <v>2.4559795544876134E-3</v>
      </c>
      <c r="BH122" s="213">
        <f t="shared" si="462"/>
        <v>1.7998174494747193E-2</v>
      </c>
      <c r="BI122" s="213">
        <v>0</v>
      </c>
      <c r="BJ122" s="213">
        <f t="shared" si="463"/>
        <v>6.5492635933890155E-3</v>
      </c>
      <c r="BK122" s="213">
        <f t="shared" si="464"/>
        <v>1.5324657088777654E-4</v>
      </c>
      <c r="BL122" s="213">
        <f t="shared" si="465"/>
        <v>0</v>
      </c>
      <c r="BM122" s="213">
        <f t="shared" si="362"/>
        <v>7.8337072928394286E-3</v>
      </c>
      <c r="BN122" s="213">
        <f t="shared" si="466"/>
        <v>2.4018048281548342E-3</v>
      </c>
      <c r="BO122" s="213">
        <v>0</v>
      </c>
      <c r="BP122" s="213">
        <f t="shared" si="467"/>
        <v>8.6054202202186875E-2</v>
      </c>
      <c r="BQ122" s="213">
        <f t="shared" si="468"/>
        <v>0</v>
      </c>
      <c r="BR122" s="213">
        <f t="shared" si="469"/>
        <v>0.99999999999999989</v>
      </c>
      <c r="BS122" s="232">
        <f t="shared" si="470"/>
        <v>97.002756869796698</v>
      </c>
      <c r="BT122" s="215" t="str">
        <f t="shared" si="471"/>
        <v xml:space="preserve">R7P2EA13 </v>
      </c>
      <c r="BU122" s="269">
        <f t="shared" si="363"/>
        <v>2.2073989753762055E-2</v>
      </c>
    </row>
    <row r="123" spans="1:73" s="216" customFormat="1" ht="16" thickBot="1" x14ac:dyDescent="0.25">
      <c r="A123" s="72" t="s">
        <v>127</v>
      </c>
      <c r="B123" s="233">
        <v>700</v>
      </c>
      <c r="C123" s="233">
        <v>800</v>
      </c>
      <c r="D123" s="234">
        <f t="shared" si="399"/>
        <v>750</v>
      </c>
      <c r="E123" s="176">
        <v>7.93</v>
      </c>
      <c r="F123" s="176">
        <v>0</v>
      </c>
      <c r="G123" s="176">
        <v>25.95</v>
      </c>
      <c r="H123" s="176">
        <v>0</v>
      </c>
      <c r="I123" s="176">
        <v>0</v>
      </c>
      <c r="J123" s="176">
        <v>0</v>
      </c>
      <c r="K123" s="176">
        <v>0</v>
      </c>
      <c r="L123" s="176">
        <v>0</v>
      </c>
      <c r="M123" s="176">
        <v>0</v>
      </c>
      <c r="N123" s="176">
        <v>0</v>
      </c>
      <c r="O123" s="176">
        <v>0</v>
      </c>
      <c r="P123" s="176">
        <v>0</v>
      </c>
      <c r="Q123" s="176">
        <v>14.65</v>
      </c>
      <c r="R123" s="176">
        <v>39.58</v>
      </c>
      <c r="S123" s="176">
        <v>0</v>
      </c>
      <c r="T123" s="176">
        <v>0</v>
      </c>
      <c r="U123" s="176">
        <v>10.39</v>
      </c>
      <c r="V123" s="176">
        <v>1.51</v>
      </c>
      <c r="W123" s="176">
        <v>0</v>
      </c>
      <c r="X123" s="176">
        <v>0</v>
      </c>
      <c r="Y123" s="176">
        <v>0</v>
      </c>
      <c r="Z123" s="176">
        <v>0</v>
      </c>
      <c r="AA123" s="176">
        <v>0</v>
      </c>
      <c r="AB123" s="176">
        <v>0</v>
      </c>
      <c r="AC123" s="176">
        <v>0</v>
      </c>
      <c r="AD123" s="176">
        <v>0</v>
      </c>
      <c r="AE123" s="235">
        <f t="shared" ref="AE123" si="472">SUM(E123:AD123)</f>
        <v>100.00999999999999</v>
      </c>
      <c r="AF123" s="214">
        <f t="shared" si="437"/>
        <v>0.28182015638575147</v>
      </c>
      <c r="AG123" s="214">
        <f t="shared" si="438"/>
        <v>0</v>
      </c>
      <c r="AH123" s="214">
        <f t="shared" si="439"/>
        <v>0</v>
      </c>
      <c r="AI123" s="214">
        <f t="shared" si="440"/>
        <v>0</v>
      </c>
      <c r="AJ123" s="214">
        <f t="shared" si="441"/>
        <v>0</v>
      </c>
      <c r="AK123" s="214">
        <f t="shared" si="442"/>
        <v>0</v>
      </c>
      <c r="AL123" s="214">
        <f t="shared" si="443"/>
        <v>0</v>
      </c>
      <c r="AM123" s="214">
        <f t="shared" si="444"/>
        <v>0</v>
      </c>
      <c r="AN123" s="214">
        <f t="shared" si="445"/>
        <v>0</v>
      </c>
      <c r="AO123" s="214">
        <f t="shared" si="446"/>
        <v>0</v>
      </c>
      <c r="AP123" s="214">
        <f t="shared" si="447"/>
        <v>0.1591007819287576</v>
      </c>
      <c r="AQ123" s="214">
        <f t="shared" si="448"/>
        <v>0.4298436142484795</v>
      </c>
      <c r="AR123" s="214">
        <f t="shared" si="449"/>
        <v>0</v>
      </c>
      <c r="AS123" s="214">
        <f t="shared" si="450"/>
        <v>0</v>
      </c>
      <c r="AT123" s="214">
        <f t="shared" si="451"/>
        <v>0.11283666377063423</v>
      </c>
      <c r="AU123" s="214">
        <f t="shared" si="452"/>
        <v>1.6398783666377061E-2</v>
      </c>
      <c r="AV123" s="214">
        <f t="shared" si="453"/>
        <v>0</v>
      </c>
      <c r="AW123" s="214">
        <f t="shared" si="454"/>
        <v>0</v>
      </c>
      <c r="AX123" s="214">
        <f t="shared" si="455"/>
        <v>0</v>
      </c>
      <c r="AY123" s="214">
        <f t="shared" si="456"/>
        <v>0</v>
      </c>
      <c r="AZ123" s="214">
        <f t="shared" si="457"/>
        <v>0</v>
      </c>
      <c r="BA123" s="214">
        <f t="shared" si="458"/>
        <v>0</v>
      </c>
      <c r="BB123" s="214">
        <f t="shared" si="459"/>
        <v>0</v>
      </c>
      <c r="BC123" s="214">
        <f t="shared" si="460"/>
        <v>0</v>
      </c>
      <c r="BD123" s="241">
        <f t="shared" ref="BD123" si="473">SUM(AF123:BB123)</f>
        <v>0.99999999999999978</v>
      </c>
      <c r="BE123" s="214">
        <f t="shared" si="360"/>
        <v>0.61058971828954389</v>
      </c>
      <c r="BF123" s="214">
        <f t="shared" si="361"/>
        <v>0.26362662878013376</v>
      </c>
      <c r="BG123" s="214">
        <f t="shared" si="461"/>
        <v>2.4475147630864708E-3</v>
      </c>
      <c r="BH123" s="214">
        <f t="shared" si="462"/>
        <v>1.8293714609632389E-2</v>
      </c>
      <c r="BI123" s="214">
        <v>0</v>
      </c>
      <c r="BJ123" s="214">
        <f t="shared" si="463"/>
        <v>6.6636233685497346E-3</v>
      </c>
      <c r="BK123" s="214">
        <f t="shared" si="464"/>
        <v>1.554569583767213E-4</v>
      </c>
      <c r="BL123" s="214">
        <f t="shared" si="465"/>
        <v>0</v>
      </c>
      <c r="BM123" s="214">
        <f t="shared" si="362"/>
        <v>8.0396865052823462E-3</v>
      </c>
      <c r="BN123" s="214">
        <f t="shared" si="466"/>
        <v>2.4364478176343721E-3</v>
      </c>
      <c r="BO123" s="214">
        <v>0</v>
      </c>
      <c r="BP123" s="214">
        <f t="shared" si="467"/>
        <v>8.7747208907760305E-2</v>
      </c>
      <c r="BQ123" s="214">
        <f t="shared" si="468"/>
        <v>0</v>
      </c>
      <c r="BR123" s="214">
        <f t="shared" si="469"/>
        <v>1</v>
      </c>
      <c r="BS123" s="237">
        <f t="shared" si="470"/>
        <v>96.985104101113379</v>
      </c>
      <c r="BT123" s="216" t="str">
        <f t="shared" si="471"/>
        <v xml:space="preserve">R7P2EA14 </v>
      </c>
      <c r="BU123" s="269">
        <f t="shared" si="363"/>
        <v>2.2387663687585775E-2</v>
      </c>
    </row>
    <row r="124" spans="1:73" s="153" customFormat="1" x14ac:dyDescent="0.2">
      <c r="A124" s="30" t="s">
        <v>482</v>
      </c>
      <c r="B124" s="150">
        <v>0</v>
      </c>
      <c r="C124" s="150">
        <v>15</v>
      </c>
      <c r="D124" s="151">
        <f t="shared" si="399"/>
        <v>7.5</v>
      </c>
      <c r="E124" s="124">
        <v>8.4600000000000009</v>
      </c>
      <c r="F124" s="124">
        <v>1.68</v>
      </c>
      <c r="G124" s="219">
        <v>44.12</v>
      </c>
      <c r="H124" s="219">
        <v>0</v>
      </c>
      <c r="I124" s="219">
        <v>2.46</v>
      </c>
      <c r="J124" s="219">
        <v>0</v>
      </c>
      <c r="K124" s="219">
        <v>0</v>
      </c>
      <c r="L124" s="219">
        <v>0</v>
      </c>
      <c r="M124" s="219">
        <v>0</v>
      </c>
      <c r="N124" s="219">
        <v>0.56999999999999995</v>
      </c>
      <c r="O124" s="219">
        <v>0.16</v>
      </c>
      <c r="P124" s="219">
        <v>0</v>
      </c>
      <c r="Q124" s="219">
        <v>15.72</v>
      </c>
      <c r="R124" s="219">
        <v>15.57</v>
      </c>
      <c r="S124" s="219">
        <v>0</v>
      </c>
      <c r="T124" s="219">
        <v>7.13</v>
      </c>
      <c r="U124" s="219">
        <v>0</v>
      </c>
      <c r="V124" s="219">
        <v>3.52</v>
      </c>
      <c r="W124" s="219">
        <v>0</v>
      </c>
      <c r="X124" s="219">
        <v>0</v>
      </c>
      <c r="Y124" s="219">
        <v>0.3</v>
      </c>
      <c r="Z124" s="219">
        <v>0</v>
      </c>
      <c r="AA124" s="219">
        <v>0</v>
      </c>
      <c r="AB124" s="219">
        <v>0</v>
      </c>
      <c r="AC124" s="219">
        <v>0</v>
      </c>
      <c r="AD124" s="219">
        <v>0</v>
      </c>
      <c r="AE124" s="242">
        <f t="shared" si="435"/>
        <v>99.69</v>
      </c>
      <c r="AF124" s="238">
        <f>G124/SUM($G124:$AD124)</f>
        <v>0.49268565047459528</v>
      </c>
      <c r="AG124" s="238">
        <f t="shared" si="438"/>
        <v>0</v>
      </c>
      <c r="AH124" s="238">
        <f t="shared" si="439"/>
        <v>2.7470686767169183E-2</v>
      </c>
      <c r="AI124" s="238">
        <f t="shared" si="440"/>
        <v>0</v>
      </c>
      <c r="AJ124" s="238">
        <f t="shared" si="441"/>
        <v>0</v>
      </c>
      <c r="AK124" s="238">
        <f t="shared" si="442"/>
        <v>0</v>
      </c>
      <c r="AL124" s="238">
        <f t="shared" si="443"/>
        <v>0</v>
      </c>
      <c r="AM124" s="238">
        <f t="shared" si="444"/>
        <v>6.3651591289782252E-3</v>
      </c>
      <c r="AN124" s="238">
        <f t="shared" si="445"/>
        <v>1.7867113344500283E-3</v>
      </c>
      <c r="AO124" s="238">
        <f t="shared" si="446"/>
        <v>0</v>
      </c>
      <c r="AP124" s="238">
        <f t="shared" si="447"/>
        <v>0.17554438860971527</v>
      </c>
      <c r="AQ124" s="238">
        <f t="shared" si="448"/>
        <v>0.17386934673366838</v>
      </c>
      <c r="AR124" s="238">
        <f t="shared" si="449"/>
        <v>0</v>
      </c>
      <c r="AS124" s="238">
        <f t="shared" si="450"/>
        <v>7.9620323841429377E-2</v>
      </c>
      <c r="AT124" s="238">
        <f t="shared" si="451"/>
        <v>0</v>
      </c>
      <c r="AU124" s="238">
        <f t="shared" si="452"/>
        <v>3.9307649357900619E-2</v>
      </c>
      <c r="AV124" s="238">
        <f t="shared" si="453"/>
        <v>0</v>
      </c>
      <c r="AW124" s="238">
        <f t="shared" si="454"/>
        <v>0</v>
      </c>
      <c r="AX124" s="238">
        <f t="shared" si="455"/>
        <v>3.3500837520938028E-3</v>
      </c>
      <c r="AY124" s="238">
        <f t="shared" si="456"/>
        <v>0</v>
      </c>
      <c r="AZ124" s="238">
        <f t="shared" si="457"/>
        <v>0</v>
      </c>
      <c r="BA124" s="238">
        <f t="shared" si="458"/>
        <v>0</v>
      </c>
      <c r="BB124" s="238">
        <f t="shared" si="459"/>
        <v>0</v>
      </c>
      <c r="BC124" s="238">
        <f t="shared" si="460"/>
        <v>0</v>
      </c>
      <c r="BD124" s="245">
        <f>SUM(AF124:BB124)</f>
        <v>1.0000000000000002</v>
      </c>
      <c r="BE124" s="238">
        <f>$BE$3*(AF124/$AF$2+3*AG124/$AG$2+3*AH124/$AH$2+2*AI124/$AI$2+3*AJ124/$AJ$2+AK124*7/$AK$2+AP124*2/$AP$2+2*AQ124/$AQ$2+3.24*AR124/$AR$2+3.47*AS124/$AS$2+2.8*AT124/$AT$2+3.5*AU124/$AU$2+3*AV124/$AV$2+AW124/$AW$2+3*AX124/$AX$2)</f>
        <v>0.73336179580280414</v>
      </c>
      <c r="BF124" s="238">
        <f>$BF$3*(AG124*0.5/$AG$2+AH124*0.5/$AH$2+AI124/$AI$2+AJ124*0.75*0.5/$AJ$2+AK124*0.5/$AK$2+AM124*0.1*0.5/$AM$2+AN124*0.5/$AN$2+AP124*1.95*0.5/$AP$2+AQ124/$AQ$2+AR124*(0.76+1.56+1.45)*0.5/$AR$2+AS124*2.62*0.5/$AS$2+AT124*2.03*0.5/$AT$2+AU124/$AU$2+AV124*1.4*0.5/$AV$2+AW124/$AW$2+0.5*AX124/$AX$2)</f>
        <v>0.17713844194112088</v>
      </c>
      <c r="BG124" s="238">
        <f>$BG$3*(AJ124*2.25*0.5/$AJ$2+AL124/$AL$2+AM124*0.9*0.5/$AM$2+AP124*0.05*0.5/$AP$2+AR124*0.24*0.5/$AR$2+AV124*0.3*0.5/$AV$2)</f>
        <v>8.0216470398591887E-3</v>
      </c>
      <c r="BH124" s="238">
        <f>$BH$3*(AK124*2/$AK$2+AS124*0.39/$AS$2+AT124*0.87/$AT$2+AU124*0.25/$AU$2+AV124*0.63/$AV$2)</f>
        <v>6.820075079521073E-3</v>
      </c>
      <c r="BI124" s="238">
        <v>0</v>
      </c>
      <c r="BJ124" s="238">
        <f>$BJ$3*(AK124*2/$AK$2+AO124/$AO$2+AR124*0.2/$AR$2+AS124*0.23/$AS$2+AT124*0.56/$AT$2+AU124*0.25/$AU$2+AV124*1.21/$AV$2)</f>
        <v>2.6271672572099648E-3</v>
      </c>
      <c r="BK124" s="238">
        <f>$BK$3*(AI124/$AI$2+AJ124/$AJ$2+AK124*2/$AK$2+AO124/$AO$2+AR124*0.08/$AR$2+AT124*0.01/$AT$2)</f>
        <v>0</v>
      </c>
      <c r="BL124" s="238">
        <f>$BL$3*(0.5*AH124/$AH$2)</f>
        <v>3.2476884863028763E-3</v>
      </c>
      <c r="BM124" s="238">
        <f>$BM$3*(AG124*0.5/$AG$2+AR124*0.41*0.5/$AR$2+AS124*0.5/$AS$2+AT124*0.47*0.5/$AT$2+AU124*0.5/$AU$2+AV124*0.35*0.5/$AV$2+0.5*AX124/$AX$2)</f>
        <v>1.3517079257172554E-2</v>
      </c>
      <c r="BN124" s="238">
        <f>$BN$3*(AS124*0.03/$AS$2+AT124*0.11/$AT$2+AV124*0.09/$AV$2)</f>
        <v>4.2684720529113229E-4</v>
      </c>
      <c r="BO124" s="238">
        <v>0</v>
      </c>
      <c r="BP124" s="238">
        <f>$BP$3*(AJ124*0.5/$AJ$2+AK124/$AK$2+AM124*0.5/$AM$2+AN124*1.5/$AN$2+AP124*2/$AP$2+AQ124*2/$AQ$2+3.79*0.5*AR124/$AR$2+AR124/$AR$2+AS124/$AS$2+AT124/$AT$2+AU124/$AU$2+AV124/$AV$2)</f>
        <v>5.4839257930718401E-2</v>
      </c>
      <c r="BQ124" s="238">
        <f>$BQ$3*(AO124*2/$AO$2)</f>
        <v>0</v>
      </c>
      <c r="BR124" s="238">
        <f t="shared" ref="BR124:BR148" si="474">SUM(BE124:BQ124)</f>
        <v>1.0000000000000004</v>
      </c>
      <c r="BS124" s="249">
        <f t="shared" ref="BS124:BS148" si="475">100*BF124/(BF124+BK124+BL124+BM124)</f>
        <v>91.35405351425328</v>
      </c>
      <c r="BT124" s="247" t="str">
        <f t="shared" ref="BT124:BT148" si="476">A124</f>
        <v>R8H1EA01</v>
      </c>
      <c r="BU124" s="261">
        <f t="shared" si="363"/>
        <v>1.5455528876537158E-2</v>
      </c>
    </row>
    <row r="125" spans="1:73" x14ac:dyDescent="0.2">
      <c r="A125" s="30" t="s">
        <v>483</v>
      </c>
      <c r="B125" s="32">
        <v>15</v>
      </c>
      <c r="C125" s="32">
        <v>26</v>
      </c>
      <c r="D125" s="33">
        <f t="shared" si="399"/>
        <v>20.5</v>
      </c>
      <c r="E125" s="106">
        <v>9.9499999999999993</v>
      </c>
      <c r="F125" s="106">
        <v>1.1299999999999999</v>
      </c>
      <c r="G125" s="220">
        <v>22.52</v>
      </c>
      <c r="H125" s="220">
        <v>0</v>
      </c>
      <c r="I125" s="220">
        <v>1.42</v>
      </c>
      <c r="J125" s="220">
        <v>0</v>
      </c>
      <c r="K125" s="220">
        <v>0</v>
      </c>
      <c r="L125" s="220">
        <v>0</v>
      </c>
      <c r="M125" s="220">
        <v>0</v>
      </c>
      <c r="N125" s="220">
        <v>4.57</v>
      </c>
      <c r="O125" s="220">
        <v>3.92</v>
      </c>
      <c r="P125" s="220">
        <v>0</v>
      </c>
      <c r="Q125" s="220">
        <v>15.97</v>
      </c>
      <c r="R125" s="220">
        <v>15.82</v>
      </c>
      <c r="S125" s="220">
        <v>0.09</v>
      </c>
      <c r="T125" s="220">
        <v>15.21</v>
      </c>
      <c r="U125" s="220">
        <v>0</v>
      </c>
      <c r="V125" s="220">
        <v>9.16</v>
      </c>
      <c r="W125" s="220">
        <v>0</v>
      </c>
      <c r="X125" s="220">
        <v>0</v>
      </c>
      <c r="Y125" s="220">
        <v>0.25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43">
        <f>SUM(E124:AD124)</f>
        <v>99.69</v>
      </c>
      <c r="AF125" s="238">
        <f t="shared" ref="AF125:AF136" si="477">G125/SUM($G125:$AD125)</f>
        <v>0.25323287979309567</v>
      </c>
      <c r="AG125" s="238">
        <f t="shared" ref="AG125:AG136" si="478">H125/SUM($G125:$AD125)</f>
        <v>0</v>
      </c>
      <c r="AH125" s="238">
        <f t="shared" ref="AH125:AH136" si="479">I125/SUM($G125:$AD125)</f>
        <v>1.5967614978072638E-2</v>
      </c>
      <c r="AI125" s="238">
        <f t="shared" ref="AI125:AI136" si="480">J125/SUM($G125:$AD125)</f>
        <v>0</v>
      </c>
      <c r="AJ125" s="238">
        <f t="shared" ref="AJ125:AJ136" si="481">K125/SUM($G125:$AD125)</f>
        <v>0</v>
      </c>
      <c r="AK125" s="238">
        <f t="shared" ref="AK125:AK136" si="482">L125/SUM($G125:$AD125)</f>
        <v>0</v>
      </c>
      <c r="AL125" s="238">
        <f t="shared" ref="AL125:AL136" si="483">M125/SUM($G125:$AD125)</f>
        <v>0</v>
      </c>
      <c r="AM125" s="238">
        <f t="shared" ref="AM125:AM136" si="484">N125/SUM($G125:$AD125)</f>
        <v>5.1388732711121106E-2</v>
      </c>
      <c r="AN125" s="238">
        <f t="shared" ref="AN125:AN136" si="485">O125/SUM($G125:$AD125)</f>
        <v>4.4079613178904756E-2</v>
      </c>
      <c r="AO125" s="238">
        <f t="shared" ref="AO125:AO136" si="486">P125/SUM($G125:$AD125)</f>
        <v>0</v>
      </c>
      <c r="AP125" s="238">
        <f t="shared" ref="AP125:AP136" si="487">Q125/SUM($G125:$AD125)</f>
        <v>0.17957944450691554</v>
      </c>
      <c r="AQ125" s="238">
        <f t="shared" ref="AQ125:AQ136" si="488">R125/SUM($G125:$AD125)</f>
        <v>0.1778927246148656</v>
      </c>
      <c r="AR125" s="238">
        <f t="shared" ref="AR125:AR136" si="489">S125/SUM($G125:$AD125)</f>
        <v>1.012031935229956E-3</v>
      </c>
      <c r="AS125" s="238">
        <f t="shared" ref="AS125:AS136" si="490">T125/SUM($G125:$AD125)</f>
        <v>0.17103339705386258</v>
      </c>
      <c r="AT125" s="238">
        <f t="shared" ref="AT125:AT136" si="491">U125/SUM($G125:$AD125)</f>
        <v>0</v>
      </c>
      <c r="AU125" s="238">
        <f t="shared" ref="AU125:AU136" si="492">V125/SUM($G125:$AD125)</f>
        <v>0.10300236140784887</v>
      </c>
      <c r="AV125" s="238">
        <f t="shared" ref="AV125:AV136" si="493">W125/SUM($G125:$AD125)</f>
        <v>0</v>
      </c>
      <c r="AW125" s="238">
        <f t="shared" ref="AW125:AW136" si="494">X125/SUM($G125:$AD125)</f>
        <v>0</v>
      </c>
      <c r="AX125" s="238">
        <f t="shared" ref="AX125:AX136" si="495">Y125/SUM($G125:$AD125)</f>
        <v>2.8111998200832113E-3</v>
      </c>
      <c r="AY125" s="238">
        <f t="shared" ref="AY125:AY136" si="496">Z125/SUM($G125:$AD125)</f>
        <v>0</v>
      </c>
      <c r="AZ125" s="238">
        <f t="shared" ref="AZ125:AZ136" si="497">AA125/SUM($G125:$AD125)</f>
        <v>0</v>
      </c>
      <c r="BA125" s="238">
        <f t="shared" ref="BA125:BA136" si="498">AB125/SUM($G125:$AD125)</f>
        <v>0</v>
      </c>
      <c r="BB125" s="238">
        <f t="shared" ref="BB125:BB136" si="499">AC125/SUM($G125:$AD125)</f>
        <v>0</v>
      </c>
      <c r="BC125" s="238">
        <f t="shared" ref="BC125:BC136" si="500">AD125/SUM($G125:$AD125)</f>
        <v>0</v>
      </c>
      <c r="BD125" s="245">
        <f>SUM(AF125:BB125)</f>
        <v>0.99999999999999989</v>
      </c>
      <c r="BE125" s="238">
        <f>$BE$3*(AF125/$AF$2+3*AG125/$AG$2+3*AH125/$AH$2+2*AI125/$AI$2+3*AJ125/$AJ$2+AK125*7/$AK$2+AP125*2/$AP$2+2*AQ125/$AQ$2+3.24*AR125/$AR$2+3.47*AS125/$AS$2+2.8*AT125/$AT$2+3.5*AU125/$AU$2+3*AV125/$AV$2+AW125/$AW$2+3*AX125/$AX$2)</f>
        <v>0.56541025561562308</v>
      </c>
      <c r="BF125" s="238">
        <f>$BF$3*(AG125*0.5/$AG$2+AH125*0.5/$AH$2+AI125/$AI$2+AJ125*0.75*0.5/$AJ$2+AK125*0.5/$AK$2+AM125*0.1*0.5/$AM$2+AN125*0.5/$AN$2+AP125*1.95*0.5/$AP$2+AQ125/$AQ$2+AR125*(0.76+1.56+1.45)*0.5/$AR$2+AS125*2.62*0.5/$AS$2+AT125*2.03*0.5/$AT$2+AU125/$AU$2+AV125*1.4*0.5/$AV$2+AW125/$AW$2+0.5*AX125/$AX$2)</f>
        <v>0.25198808788884758</v>
      </c>
      <c r="BG125" s="238">
        <f>$BG$3*(AJ125*2.25*0.5/$AJ$2+AL125/$AL$2+AM125*0.9*0.5/$AM$2+AP125*0.05*0.5/$AP$2+AR125*0.24*0.5/$AR$2+AV125*0.3*0.5/$AV$2)</f>
        <v>4.5762307815374242E-2</v>
      </c>
      <c r="BH125" s="238">
        <f>$BH$3*(AK125*2/$AK$2+AS125*0.39/$AS$2+AT125*0.87/$AT$2+AU125*0.25/$AU$2+AV125*0.63/$AV$2)</f>
        <v>1.5483501604519091E-2</v>
      </c>
      <c r="BI125" s="238">
        <v>0</v>
      </c>
      <c r="BJ125" s="238">
        <f>$BJ$3*(AK125*2/$AK$2+AO125/$AO$2+AR125*0.2/$AR$2+AS125*0.23/$AS$2+AT125*0.56/$AT$2+AU125*0.25/$AU$2+AV125*1.21/$AV$2)</f>
        <v>6.121343592155366E-3</v>
      </c>
      <c r="BK125" s="238">
        <f>$BK$3*(AI125/$AI$2+AJ125/$AJ$2+AK125*2/$AK$2+AO125/$AO$2+AR125*0.08/$AR$2+AT125*0.01/$AT$2)</f>
        <v>9.267250728048486E-6</v>
      </c>
      <c r="BL125" s="238">
        <f>$BL$3*(0.5*AH125/$AH$2)</f>
        <v>1.8877518337102623E-3</v>
      </c>
      <c r="BM125" s="238">
        <f>$BM$3*(AG125*0.5/$AG$2+AR125*0.41*0.5/$AR$2+AS125*0.5/$AS$2+AT125*0.47*0.5/$AT$2+AU125*0.5/$AU$2+AV125*0.35*0.5/$AV$2+0.5*AX125/$AX$2)</f>
        <v>3.0489733521721869E-2</v>
      </c>
      <c r="BN125" s="238">
        <f>$BN$3*(AS125*0.03/$AS$2+AT125*0.11/$AT$2+AV125*0.09/$AV$2)</f>
        <v>9.1691573233595124E-4</v>
      </c>
      <c r="BO125" s="238">
        <v>0</v>
      </c>
      <c r="BP125" s="238">
        <f>$BP$3*(AJ125*0.5/$AJ$2+AK125/$AK$2+AM125*0.5/$AM$2+AN125*1.5/$AN$2+AP125*2/$AP$2+AQ125*2/$AQ$2+3.79*0.5*AR125/$AR$2+AR125/$AR$2+AS125/$AS$2+AT125/$AT$2+AU125/$AU$2+AV125/$AV$2)</f>
        <v>8.1930835144984532E-2</v>
      </c>
      <c r="BQ125" s="238">
        <f>$BQ$3*(AO125*2/$AO$2)</f>
        <v>0</v>
      </c>
      <c r="BR125" s="238">
        <f t="shared" si="474"/>
        <v>1</v>
      </c>
      <c r="BS125" s="249">
        <f t="shared" si="475"/>
        <v>88.611245442886258</v>
      </c>
      <c r="BT125" s="247" t="str">
        <f t="shared" si="476"/>
        <v>R8H1EA02</v>
      </c>
      <c r="BU125" s="261">
        <f t="shared" si="363"/>
        <v>6.2639324564300047E-2</v>
      </c>
    </row>
    <row r="126" spans="1:73" x14ac:dyDescent="0.2">
      <c r="A126" s="30" t="s">
        <v>484</v>
      </c>
      <c r="B126" s="32">
        <v>26</v>
      </c>
      <c r="C126" s="32">
        <v>77</v>
      </c>
      <c r="D126" s="33">
        <f t="shared" si="399"/>
        <v>51.5</v>
      </c>
      <c r="E126" s="106">
        <v>10.6</v>
      </c>
      <c r="F126" s="106">
        <v>1.1499999999999999</v>
      </c>
      <c r="G126" s="34">
        <v>21.27</v>
      </c>
      <c r="H126" s="34">
        <v>0</v>
      </c>
      <c r="I126" s="34">
        <v>1.64</v>
      </c>
      <c r="J126" s="34">
        <v>0</v>
      </c>
      <c r="K126" s="34">
        <v>0</v>
      </c>
      <c r="L126" s="34">
        <v>0</v>
      </c>
      <c r="M126" s="34">
        <v>0</v>
      </c>
      <c r="N126" s="34">
        <v>4.13</v>
      </c>
      <c r="O126" s="34">
        <v>5.4</v>
      </c>
      <c r="P126" s="34">
        <v>0</v>
      </c>
      <c r="Q126" s="34">
        <v>16.25</v>
      </c>
      <c r="R126" s="34">
        <v>16.100000000000001</v>
      </c>
      <c r="S126" s="34">
        <v>0.11</v>
      </c>
      <c r="T126" s="34">
        <v>15.58</v>
      </c>
      <c r="U126" s="34">
        <v>0</v>
      </c>
      <c r="V126" s="34">
        <v>7.14</v>
      </c>
      <c r="W126" s="34">
        <v>0</v>
      </c>
      <c r="X126" s="34">
        <v>0</v>
      </c>
      <c r="Y126" s="34">
        <v>0.22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243">
        <f>SUM(E125:AD125)</f>
        <v>100.00999999999999</v>
      </c>
      <c r="AF126" s="238">
        <f t="shared" si="477"/>
        <v>0.24214480874316943</v>
      </c>
      <c r="AG126" s="238">
        <f t="shared" si="478"/>
        <v>0</v>
      </c>
      <c r="AH126" s="238">
        <f t="shared" si="479"/>
        <v>1.8670309653916212E-2</v>
      </c>
      <c r="AI126" s="238">
        <f t="shared" si="480"/>
        <v>0</v>
      </c>
      <c r="AJ126" s="238">
        <f t="shared" si="481"/>
        <v>0</v>
      </c>
      <c r="AK126" s="238">
        <f t="shared" si="482"/>
        <v>0</v>
      </c>
      <c r="AL126" s="238">
        <f t="shared" si="483"/>
        <v>0</v>
      </c>
      <c r="AM126" s="238">
        <f t="shared" si="484"/>
        <v>4.7017304189435338E-2</v>
      </c>
      <c r="AN126" s="238">
        <f t="shared" si="485"/>
        <v>6.1475409836065587E-2</v>
      </c>
      <c r="AO126" s="238">
        <f t="shared" si="486"/>
        <v>0</v>
      </c>
      <c r="AP126" s="238">
        <f t="shared" si="487"/>
        <v>0.18499544626593808</v>
      </c>
      <c r="AQ126" s="238">
        <f t="shared" si="488"/>
        <v>0.18328779599271405</v>
      </c>
      <c r="AR126" s="238">
        <f t="shared" si="489"/>
        <v>1.2522768670309656E-3</v>
      </c>
      <c r="AS126" s="238">
        <f t="shared" si="490"/>
        <v>0.17736794171220402</v>
      </c>
      <c r="AT126" s="238">
        <f t="shared" si="491"/>
        <v>0</v>
      </c>
      <c r="AU126" s="238">
        <f t="shared" si="492"/>
        <v>8.1284153005464488E-2</v>
      </c>
      <c r="AV126" s="238">
        <f t="shared" si="493"/>
        <v>0</v>
      </c>
      <c r="AW126" s="238">
        <f t="shared" si="494"/>
        <v>0</v>
      </c>
      <c r="AX126" s="238">
        <f t="shared" si="495"/>
        <v>2.5045537340619311E-3</v>
      </c>
      <c r="AY126" s="238">
        <f t="shared" si="496"/>
        <v>0</v>
      </c>
      <c r="AZ126" s="238">
        <f t="shared" si="497"/>
        <v>0</v>
      </c>
      <c r="BA126" s="238">
        <f t="shared" si="498"/>
        <v>0</v>
      </c>
      <c r="BB126" s="238">
        <f t="shared" si="499"/>
        <v>0</v>
      </c>
      <c r="BC126" s="238">
        <f t="shared" si="500"/>
        <v>0</v>
      </c>
      <c r="BD126" s="245">
        <f t="shared" ref="BD126:BD136" si="501">SUM(AF126:BB126)</f>
        <v>1.0000000000000002</v>
      </c>
      <c r="BE126" s="238">
        <f t="shared" ref="BE126:BE148" si="502">$BE$3*(AF126/$AF$2+3*AG126/$AG$2+3*AH126/$AH$2+2*AI126/$AI$2+3*AJ126/$AJ$2+AK126*7/$AK$2+AP126*2/$AP$2+2*AQ126/$AQ$2+3.24*AR126/$AR$2+3.47*AS126/$AS$2+2.8*AT126/$AT$2+3.5*AU126/$AU$2+3*AV126/$AV$2+AW126/$AW$2+3*AX126/$AX$2)</f>
        <v>0.55278943113841328</v>
      </c>
      <c r="BF126" s="238">
        <f t="shared" ref="BF126:BF148" si="503">$BF$3*(AG126*0.5/$AG$2+AH126*0.5/$AH$2+AI126/$AI$2+AJ126*0.75*0.5/$AJ$2+AK126*0.5/$AK$2+AM126*0.1*0.5/$AM$2+AN126*0.5/$AN$2+AP126*1.95*0.5/$AP$2+AQ126/$AQ$2+AR126*(0.76+1.56+1.45)*0.5/$AR$2+AS126*2.62*0.5/$AS$2+AT126*2.03*0.5/$AT$2+AU126/$AU$2+AV126*1.4*0.5/$AV$2+AW126/$AW$2+0.5*AX126/$AX$2)</f>
        <v>0.26430388428903445</v>
      </c>
      <c r="BG126" s="238">
        <f t="shared" ref="BG126:BG148" si="504">$BG$3*(AJ126*2.25*0.5/$AJ$2+AL126/$AL$2+AM126*0.9*0.5/$AM$2+AP126*0.05*0.5/$AP$2+AR126*0.24*0.5/$AR$2+AV126*0.3*0.5/$AV$2)</f>
        <v>4.220057590702124E-2</v>
      </c>
      <c r="BH126" s="238">
        <f t="shared" ref="BH126:BH148" si="505">$BH$3*(AK126*2/$AK$2+AS126*0.39/$AS$2+AT126*0.87/$AT$2+AU126*0.25/$AU$2+AV126*0.63/$AV$2)</f>
        <v>1.4911020472220152E-2</v>
      </c>
      <c r="BI126" s="238">
        <v>0</v>
      </c>
      <c r="BJ126" s="238">
        <f t="shared" ref="BJ126:BJ148" si="506">$BJ$3*(AK126*2/$AK$2+AO126/$AO$2+AR126*0.2/$AR$2+AS126*0.23/$AS$2+AT126*0.56/$AT$2+AU126*0.25/$AU$2+AV126*1.21/$AV$2)</f>
        <v>5.7170342200636142E-3</v>
      </c>
      <c r="BK126" s="238">
        <f t="shared" ref="BK126:BK148" si="507">$BK$3*(AI126/$AI$2+AJ126/$AJ$2+AK126*2/$AK$2+AO126/$AO$2+AR126*0.08/$AR$2+AT126*0.01/$AT$2)</f>
        <v>1.1467191205852652E-5</v>
      </c>
      <c r="BL126" s="238">
        <f t="shared" ref="BL126:BL148" si="508">$BL$3*(0.5*AH126/$AH$2)</f>
        <v>2.2072746201307115E-3</v>
      </c>
      <c r="BM126" s="238">
        <f t="shared" ref="BM126:BM148" si="509">$BM$3*(AG126*0.5/$AG$2+AR126*0.41*0.5/$AR$2+AS126*0.5/$AS$2+AT126*0.47*0.5/$AT$2+AU126*0.5/$AU$2+AV126*0.35*0.5/$AV$2+0.5*AX126/$AX$2)</f>
        <v>2.8592480552643507E-2</v>
      </c>
      <c r="BN126" s="238">
        <f t="shared" ref="BN126:BN148" si="510">$BN$3*(AS126*0.03/$AS$2+AT126*0.11/$AT$2+AV126*0.09/$AV$2)</f>
        <v>9.5087543701625294E-4</v>
      </c>
      <c r="BO126" s="238">
        <v>0</v>
      </c>
      <c r="BP126" s="238">
        <f t="shared" ref="BP126:BP148" si="511">$BP$3*(AJ126*0.5/$AJ$2+AK126/$AK$2+AM126*0.5/$AM$2+AN126*1.5/$AN$2+AP126*2/$AP$2+AQ126*2/$AQ$2+3.79*0.5*AR126/$AR$2+AR126/$AR$2+AS126/$AS$2+AT126/$AT$2+AU126/$AU$2+AV126/$AV$2)</f>
        <v>8.8315956172251048E-2</v>
      </c>
      <c r="BQ126" s="238">
        <f t="shared" ref="BQ126:BQ148" si="512">$BQ$3*(AO126*2/$AO$2)</f>
        <v>0</v>
      </c>
      <c r="BR126" s="238">
        <f t="shared" si="474"/>
        <v>1</v>
      </c>
      <c r="BS126" s="249">
        <f t="shared" si="475"/>
        <v>89.559591607010887</v>
      </c>
      <c r="BT126" s="247" t="str">
        <f t="shared" si="476"/>
        <v xml:space="preserve">R8H1EA03 </v>
      </c>
      <c r="BU126" s="261">
        <f t="shared" si="363"/>
        <v>5.8453588221741209E-2</v>
      </c>
    </row>
    <row r="127" spans="1:73" x14ac:dyDescent="0.2">
      <c r="A127" s="30" t="s">
        <v>485</v>
      </c>
      <c r="B127" s="32">
        <v>77</v>
      </c>
      <c r="C127" s="32">
        <v>129</v>
      </c>
      <c r="D127" s="33">
        <f t="shared" si="399"/>
        <v>103</v>
      </c>
      <c r="E127" s="106">
        <v>9.2100000000000009</v>
      </c>
      <c r="F127" s="106">
        <v>0</v>
      </c>
      <c r="G127" s="34">
        <v>16.149999999999999</v>
      </c>
      <c r="H127" s="34">
        <v>0</v>
      </c>
      <c r="I127" s="34">
        <v>2.34</v>
      </c>
      <c r="J127" s="34">
        <v>0</v>
      </c>
      <c r="K127" s="34">
        <v>0</v>
      </c>
      <c r="L127" s="34">
        <v>0</v>
      </c>
      <c r="M127" s="34">
        <v>0</v>
      </c>
      <c r="N127" s="34">
        <v>2.5099999999999998</v>
      </c>
      <c r="O127" s="34">
        <v>7.49</v>
      </c>
      <c r="P127" s="34">
        <v>0</v>
      </c>
      <c r="Q127" s="34">
        <v>15.21</v>
      </c>
      <c r="R127" s="34">
        <v>15.35</v>
      </c>
      <c r="S127" s="34">
        <v>0.2</v>
      </c>
      <c r="T127" s="34">
        <v>26.06</v>
      </c>
      <c r="U127" s="34">
        <v>0</v>
      </c>
      <c r="V127" s="220">
        <v>5</v>
      </c>
      <c r="W127" s="220">
        <v>0</v>
      </c>
      <c r="X127" s="220">
        <v>0</v>
      </c>
      <c r="Y127" s="220">
        <v>0.26</v>
      </c>
      <c r="Z127" s="220">
        <v>0</v>
      </c>
      <c r="AA127" s="220">
        <v>0</v>
      </c>
      <c r="AB127" s="220">
        <v>0</v>
      </c>
      <c r="AC127" s="220">
        <v>0</v>
      </c>
      <c r="AD127" s="220">
        <v>0</v>
      </c>
      <c r="AE127" s="243">
        <f t="shared" si="435"/>
        <v>99.780000000000015</v>
      </c>
      <c r="AF127" s="238">
        <f t="shared" si="477"/>
        <v>0.17831511538036873</v>
      </c>
      <c r="AG127" s="238">
        <f t="shared" si="478"/>
        <v>0</v>
      </c>
      <c r="AH127" s="238">
        <f t="shared" si="479"/>
        <v>2.5836369658827421E-2</v>
      </c>
      <c r="AI127" s="238">
        <f t="shared" si="480"/>
        <v>0</v>
      </c>
      <c r="AJ127" s="238">
        <f t="shared" si="481"/>
        <v>0</v>
      </c>
      <c r="AK127" s="238">
        <f t="shared" si="482"/>
        <v>0</v>
      </c>
      <c r="AL127" s="238">
        <f t="shared" si="483"/>
        <v>0</v>
      </c>
      <c r="AM127" s="238">
        <f t="shared" si="484"/>
        <v>2.771337087335762E-2</v>
      </c>
      <c r="AN127" s="238">
        <f t="shared" si="485"/>
        <v>8.2698465275477528E-2</v>
      </c>
      <c r="AO127" s="238">
        <f t="shared" si="486"/>
        <v>0</v>
      </c>
      <c r="AP127" s="238">
        <f t="shared" si="487"/>
        <v>0.16793640278237826</v>
      </c>
      <c r="AQ127" s="238">
        <f t="shared" si="488"/>
        <v>0.16948216848846195</v>
      </c>
      <c r="AR127" s="238">
        <f t="shared" si="489"/>
        <v>2.208236722976703E-3</v>
      </c>
      <c r="AS127" s="238">
        <f t="shared" si="490"/>
        <v>0.28773324500386438</v>
      </c>
      <c r="AT127" s="238">
        <f t="shared" si="491"/>
        <v>0</v>
      </c>
      <c r="AU127" s="238">
        <f t="shared" si="492"/>
        <v>5.5205918074417576E-2</v>
      </c>
      <c r="AV127" s="238">
        <f t="shared" si="493"/>
        <v>0</v>
      </c>
      <c r="AW127" s="238">
        <f t="shared" si="494"/>
        <v>0</v>
      </c>
      <c r="AX127" s="238">
        <f t="shared" si="495"/>
        <v>2.8707077398697138E-3</v>
      </c>
      <c r="AY127" s="238">
        <f t="shared" si="496"/>
        <v>0</v>
      </c>
      <c r="AZ127" s="238">
        <f t="shared" si="497"/>
        <v>0</v>
      </c>
      <c r="BA127" s="238">
        <f t="shared" si="498"/>
        <v>0</v>
      </c>
      <c r="BB127" s="238">
        <f t="shared" si="499"/>
        <v>0</v>
      </c>
      <c r="BC127" s="238">
        <f t="shared" si="500"/>
        <v>0</v>
      </c>
      <c r="BD127" s="245">
        <f t="shared" si="501"/>
        <v>0.99999999999999978</v>
      </c>
      <c r="BE127" s="238">
        <f t="shared" si="502"/>
        <v>0.51810098435441387</v>
      </c>
      <c r="BF127" s="238">
        <f t="shared" si="503"/>
        <v>0.29329753234427475</v>
      </c>
      <c r="BG127" s="238">
        <f t="shared" si="504"/>
        <v>2.5837756033418653E-2</v>
      </c>
      <c r="BH127" s="238">
        <f t="shared" si="505"/>
        <v>2.0748853221424182E-2</v>
      </c>
      <c r="BI127" s="238">
        <v>0</v>
      </c>
      <c r="BJ127" s="238">
        <f t="shared" si="506"/>
        <v>7.3728036151322783E-3</v>
      </c>
      <c r="BK127" s="238">
        <f t="shared" si="507"/>
        <v>2.0220985787429045E-5</v>
      </c>
      <c r="BL127" s="238">
        <f t="shared" si="508"/>
        <v>3.0544733366156557E-3</v>
      </c>
      <c r="BM127" s="238">
        <f t="shared" si="509"/>
        <v>3.7287482618303461E-2</v>
      </c>
      <c r="BN127" s="238">
        <f t="shared" si="510"/>
        <v>1.5425475001062654E-3</v>
      </c>
      <c r="BO127" s="238">
        <v>0</v>
      </c>
      <c r="BP127" s="238">
        <f t="shared" si="511"/>
        <v>9.2737345990523329E-2</v>
      </c>
      <c r="BQ127" s="238">
        <f t="shared" si="512"/>
        <v>0</v>
      </c>
      <c r="BR127" s="238">
        <f t="shared" si="474"/>
        <v>0.99999999999999989</v>
      </c>
      <c r="BS127" s="249">
        <f t="shared" si="475"/>
        <v>87.903191240200684</v>
      </c>
      <c r="BT127" s="247" t="str">
        <f t="shared" si="476"/>
        <v xml:space="preserve">R8H1EA04 </v>
      </c>
      <c r="BU127" s="261">
        <f t="shared" si="363"/>
        <v>4.8454006044771014E-2</v>
      </c>
    </row>
    <row r="128" spans="1:73" x14ac:dyDescent="0.2">
      <c r="A128" s="30" t="s">
        <v>486</v>
      </c>
      <c r="B128" s="32">
        <v>129</v>
      </c>
      <c r="C128" s="32">
        <v>186</v>
      </c>
      <c r="D128" s="33">
        <f t="shared" si="399"/>
        <v>157.5</v>
      </c>
      <c r="E128" s="106">
        <v>9.01</v>
      </c>
      <c r="F128" s="106">
        <v>0</v>
      </c>
      <c r="G128" s="220">
        <v>18.739999999999998</v>
      </c>
      <c r="H128" s="220">
        <v>0</v>
      </c>
      <c r="I128" s="220">
        <v>5.92</v>
      </c>
      <c r="J128" s="220">
        <v>0</v>
      </c>
      <c r="K128" s="220">
        <f t="shared" ref="K128:BQ128" si="513">(K127+K129)/2</f>
        <v>0</v>
      </c>
      <c r="L128" s="220">
        <v>0</v>
      </c>
      <c r="M128" s="220">
        <f t="shared" si="513"/>
        <v>0</v>
      </c>
      <c r="N128" s="220">
        <v>1.05</v>
      </c>
      <c r="O128" s="220">
        <v>5.59</v>
      </c>
      <c r="P128" s="220">
        <f t="shared" si="513"/>
        <v>0</v>
      </c>
      <c r="Q128" s="220">
        <v>15.5</v>
      </c>
      <c r="R128" s="220">
        <v>15.35</v>
      </c>
      <c r="S128" s="220">
        <v>0.2</v>
      </c>
      <c r="T128" s="220">
        <v>21.91</v>
      </c>
      <c r="U128" s="220">
        <f t="shared" si="513"/>
        <v>0</v>
      </c>
      <c r="V128" s="220">
        <v>6.36</v>
      </c>
      <c r="W128" s="220">
        <f t="shared" si="513"/>
        <v>0</v>
      </c>
      <c r="X128" s="220">
        <f t="shared" si="513"/>
        <v>0</v>
      </c>
      <c r="Y128" s="220">
        <v>0.37</v>
      </c>
      <c r="Z128" s="220">
        <f t="shared" si="513"/>
        <v>0</v>
      </c>
      <c r="AA128" s="220">
        <f t="shared" si="513"/>
        <v>0</v>
      </c>
      <c r="AB128" s="220">
        <f t="shared" si="513"/>
        <v>0</v>
      </c>
      <c r="AC128" s="220">
        <f t="shared" si="513"/>
        <v>0</v>
      </c>
      <c r="AD128" s="220">
        <f t="shared" si="513"/>
        <v>0</v>
      </c>
      <c r="AE128" s="243">
        <f t="shared" si="435"/>
        <v>100</v>
      </c>
      <c r="AF128" s="238">
        <f t="shared" si="477"/>
        <v>0.20595669853830087</v>
      </c>
      <c r="AG128" s="238">
        <f t="shared" si="478"/>
        <v>0</v>
      </c>
      <c r="AH128" s="238">
        <f t="shared" si="479"/>
        <v>6.5062094735685236E-2</v>
      </c>
      <c r="AI128" s="238">
        <f t="shared" si="480"/>
        <v>0</v>
      </c>
      <c r="AJ128" s="238">
        <f t="shared" si="481"/>
        <v>0</v>
      </c>
      <c r="AK128" s="238">
        <f t="shared" si="482"/>
        <v>0</v>
      </c>
      <c r="AL128" s="238">
        <f t="shared" si="483"/>
        <v>0</v>
      </c>
      <c r="AM128" s="238">
        <f t="shared" si="484"/>
        <v>1.1539729640619847E-2</v>
      </c>
      <c r="AN128" s="238">
        <f t="shared" si="485"/>
        <v>6.1435322562918997E-2</v>
      </c>
      <c r="AO128" s="238">
        <f t="shared" si="486"/>
        <v>0</v>
      </c>
      <c r="AP128" s="238">
        <f t="shared" si="487"/>
        <v>0.17034838993295964</v>
      </c>
      <c r="AQ128" s="238">
        <f t="shared" si="488"/>
        <v>0.16869985712715682</v>
      </c>
      <c r="AR128" s="238">
        <f t="shared" si="489"/>
        <v>2.1980437410704474E-3</v>
      </c>
      <c r="AS128" s="238">
        <f t="shared" si="490"/>
        <v>0.24079569183426747</v>
      </c>
      <c r="AT128" s="238">
        <f t="shared" si="491"/>
        <v>0</v>
      </c>
      <c r="AU128" s="238">
        <f t="shared" si="492"/>
        <v>6.9897790966040221E-2</v>
      </c>
      <c r="AV128" s="238">
        <f t="shared" si="493"/>
        <v>0</v>
      </c>
      <c r="AW128" s="238">
        <f t="shared" si="494"/>
        <v>0</v>
      </c>
      <c r="AX128" s="238">
        <f t="shared" si="495"/>
        <v>4.0663809209803272E-3</v>
      </c>
      <c r="AY128" s="238">
        <f t="shared" si="496"/>
        <v>0</v>
      </c>
      <c r="AZ128" s="238">
        <f t="shared" si="497"/>
        <v>0</v>
      </c>
      <c r="BA128" s="238">
        <f t="shared" si="498"/>
        <v>0</v>
      </c>
      <c r="BB128" s="238">
        <f t="shared" si="499"/>
        <v>0</v>
      </c>
      <c r="BC128" s="238">
        <f t="shared" si="500"/>
        <v>0</v>
      </c>
      <c r="BD128" s="256">
        <f t="shared" si="513"/>
        <v>0.99999999999999989</v>
      </c>
      <c r="BE128" s="256">
        <f t="shared" si="513"/>
        <v>0.50320426975248023</v>
      </c>
      <c r="BF128" s="256">
        <f t="shared" si="513"/>
        <v>0.30947867290206355</v>
      </c>
      <c r="BG128" s="256">
        <f t="shared" si="513"/>
        <v>1.4850442270358302E-2</v>
      </c>
      <c r="BH128" s="256">
        <f t="shared" si="513"/>
        <v>2.24383981806624E-2</v>
      </c>
      <c r="BI128" s="256">
        <f t="shared" si="513"/>
        <v>0</v>
      </c>
      <c r="BJ128" s="256">
        <f t="shared" si="513"/>
        <v>7.7523430052315514E-3</v>
      </c>
      <c r="BK128" s="256">
        <f t="shared" si="513"/>
        <v>3.9064838993019583E-4</v>
      </c>
      <c r="BL128" s="256">
        <f t="shared" si="513"/>
        <v>5.7502595163594628E-3</v>
      </c>
      <c r="BM128" s="256">
        <f t="shared" si="513"/>
        <v>3.9635911108727856E-2</v>
      </c>
      <c r="BN128" s="256">
        <f t="shared" si="513"/>
        <v>1.7434006898296114E-3</v>
      </c>
      <c r="BO128" s="256">
        <f t="shared" si="513"/>
        <v>0</v>
      </c>
      <c r="BP128" s="256">
        <f t="shared" si="513"/>
        <v>9.4755654184356775E-2</v>
      </c>
      <c r="BQ128" s="256">
        <f t="shared" si="513"/>
        <v>0</v>
      </c>
      <c r="BR128" s="256">
        <f t="shared" ref="BR128:BS128" si="514">(BR127+BR129)/2</f>
        <v>1</v>
      </c>
      <c r="BS128" s="249">
        <f t="shared" si="514"/>
        <v>87.159597748981582</v>
      </c>
      <c r="BT128" s="247" t="str">
        <f t="shared" si="476"/>
        <v xml:space="preserve">R8H1EA05 </v>
      </c>
      <c r="BU128" s="261">
        <f t="shared" si="363"/>
        <v>3.9308296287280317E-2</v>
      </c>
    </row>
    <row r="129" spans="1:73" x14ac:dyDescent="0.2">
      <c r="A129" s="30" t="s">
        <v>487</v>
      </c>
      <c r="B129" s="32">
        <v>186</v>
      </c>
      <c r="C129" s="32">
        <v>275</v>
      </c>
      <c r="D129" s="33">
        <f t="shared" si="399"/>
        <v>230.5</v>
      </c>
      <c r="E129" s="106">
        <v>9.36</v>
      </c>
      <c r="F129" s="106">
        <v>0.11</v>
      </c>
      <c r="G129" s="220">
        <v>8.93</v>
      </c>
      <c r="H129" s="220">
        <v>0</v>
      </c>
      <c r="I129" s="220">
        <v>6.4790000000000001</v>
      </c>
      <c r="J129" s="220">
        <v>0.34100000000000003</v>
      </c>
      <c r="K129" s="220">
        <v>0</v>
      </c>
      <c r="L129" s="220">
        <v>0</v>
      </c>
      <c r="M129" s="220">
        <v>0</v>
      </c>
      <c r="N129" s="220">
        <v>0.14000000000000001</v>
      </c>
      <c r="O129" s="220">
        <v>9.1199999999999992</v>
      </c>
      <c r="P129" s="220">
        <v>0</v>
      </c>
      <c r="Q129" s="220">
        <v>15.09</v>
      </c>
      <c r="R129" s="220">
        <v>14.95</v>
      </c>
      <c r="S129" s="220">
        <v>0.03</v>
      </c>
      <c r="T129" s="220">
        <v>32.89</v>
      </c>
      <c r="U129" s="220">
        <v>0</v>
      </c>
      <c r="V129" s="220">
        <v>2.2200000000000002</v>
      </c>
      <c r="W129" s="220">
        <v>0</v>
      </c>
      <c r="X129" s="220">
        <v>0</v>
      </c>
      <c r="Y129" s="220">
        <v>0.5</v>
      </c>
      <c r="Z129" s="220">
        <v>0</v>
      </c>
      <c r="AA129" s="220">
        <v>0</v>
      </c>
      <c r="AB129" s="220">
        <v>0</v>
      </c>
      <c r="AC129" s="220">
        <v>0</v>
      </c>
      <c r="AD129" s="220">
        <v>0</v>
      </c>
      <c r="AE129" s="243">
        <f t="shared" si="435"/>
        <v>100.16</v>
      </c>
      <c r="AF129" s="238">
        <f t="shared" si="477"/>
        <v>9.846730620796118E-2</v>
      </c>
      <c r="AG129" s="238">
        <f t="shared" si="478"/>
        <v>0</v>
      </c>
      <c r="AH129" s="238">
        <f t="shared" si="479"/>
        <v>7.1441173227478227E-2</v>
      </c>
      <c r="AI129" s="238">
        <f t="shared" si="480"/>
        <v>3.7600617488146438E-3</v>
      </c>
      <c r="AJ129" s="238">
        <f t="shared" si="481"/>
        <v>0</v>
      </c>
      <c r="AK129" s="238">
        <f t="shared" si="482"/>
        <v>0</v>
      </c>
      <c r="AL129" s="238">
        <f t="shared" si="483"/>
        <v>0</v>
      </c>
      <c r="AM129" s="238">
        <f t="shared" si="484"/>
        <v>1.5437203660822584E-3</v>
      </c>
      <c r="AN129" s="238">
        <f t="shared" si="485"/>
        <v>0.10056235527621567</v>
      </c>
      <c r="AO129" s="238">
        <f t="shared" si="486"/>
        <v>0</v>
      </c>
      <c r="AP129" s="238">
        <f t="shared" si="487"/>
        <v>0.16639100231558054</v>
      </c>
      <c r="AQ129" s="238">
        <f t="shared" si="488"/>
        <v>0.1648472819494983</v>
      </c>
      <c r="AR129" s="238">
        <f t="shared" si="489"/>
        <v>3.3079722130334107E-4</v>
      </c>
      <c r="AS129" s="238">
        <f t="shared" si="490"/>
        <v>0.36266402028889627</v>
      </c>
      <c r="AT129" s="238">
        <f t="shared" si="491"/>
        <v>0</v>
      </c>
      <c r="AU129" s="238">
        <f t="shared" si="492"/>
        <v>2.4478994376447242E-2</v>
      </c>
      <c r="AV129" s="238">
        <f t="shared" si="493"/>
        <v>0</v>
      </c>
      <c r="AW129" s="238">
        <f t="shared" si="494"/>
        <v>0</v>
      </c>
      <c r="AX129" s="238">
        <f t="shared" si="495"/>
        <v>5.5132870217223509E-3</v>
      </c>
      <c r="AY129" s="238">
        <f t="shared" si="496"/>
        <v>0</v>
      </c>
      <c r="AZ129" s="238">
        <f t="shared" si="497"/>
        <v>0</v>
      </c>
      <c r="BA129" s="238">
        <f t="shared" si="498"/>
        <v>0</v>
      </c>
      <c r="BB129" s="238">
        <f t="shared" si="499"/>
        <v>0</v>
      </c>
      <c r="BC129" s="238">
        <f t="shared" si="500"/>
        <v>0</v>
      </c>
      <c r="BD129" s="245">
        <f t="shared" si="501"/>
        <v>1</v>
      </c>
      <c r="BE129" s="238">
        <f t="shared" si="502"/>
        <v>0.48830755515054663</v>
      </c>
      <c r="BF129" s="238">
        <f t="shared" si="503"/>
        <v>0.32565981345985229</v>
      </c>
      <c r="BG129" s="238">
        <f t="shared" si="504"/>
        <v>3.863128507297951E-3</v>
      </c>
      <c r="BH129" s="238">
        <f t="shared" si="505"/>
        <v>2.4127943139900618E-2</v>
      </c>
      <c r="BI129" s="238">
        <v>0</v>
      </c>
      <c r="BJ129" s="238">
        <f t="shared" si="506"/>
        <v>8.1318823953308254E-3</v>
      </c>
      <c r="BK129" s="238">
        <f t="shared" si="507"/>
        <v>7.610757940729626E-4</v>
      </c>
      <c r="BL129" s="238">
        <f t="shared" si="508"/>
        <v>8.4460456961032698E-3</v>
      </c>
      <c r="BM129" s="238">
        <f t="shared" si="509"/>
        <v>4.1984339599152251E-2</v>
      </c>
      <c r="BN129" s="238">
        <f t="shared" si="510"/>
        <v>1.9442538795529571E-3</v>
      </c>
      <c r="BO129" s="238">
        <v>0</v>
      </c>
      <c r="BP129" s="238">
        <f t="shared" si="511"/>
        <v>9.677396237819022E-2</v>
      </c>
      <c r="BQ129" s="238">
        <f t="shared" si="512"/>
        <v>0</v>
      </c>
      <c r="BR129" s="238">
        <f t="shared" si="474"/>
        <v>1</v>
      </c>
      <c r="BS129" s="249">
        <f t="shared" si="475"/>
        <v>86.416004257762495</v>
      </c>
      <c r="BT129" s="247" t="str">
        <f t="shared" si="476"/>
        <v xml:space="preserve">R8H1EA06 </v>
      </c>
      <c r="BU129" s="261">
        <f t="shared" si="363"/>
        <v>3.0162586529789627E-2</v>
      </c>
    </row>
    <row r="130" spans="1:73" x14ac:dyDescent="0.2">
      <c r="A130" s="30" t="s">
        <v>170</v>
      </c>
      <c r="B130" s="32">
        <v>300</v>
      </c>
      <c r="C130" s="32">
        <v>400</v>
      </c>
      <c r="D130" s="33">
        <f t="shared" si="399"/>
        <v>350</v>
      </c>
      <c r="E130" s="106">
        <v>6.76</v>
      </c>
      <c r="F130" s="106">
        <v>0</v>
      </c>
      <c r="G130" s="220">
        <v>14.61</v>
      </c>
      <c r="H130" s="220">
        <v>0</v>
      </c>
      <c r="I130" s="220">
        <v>10.754</v>
      </c>
      <c r="J130" s="220">
        <v>0.56600000000000006</v>
      </c>
      <c r="K130" s="220">
        <v>0</v>
      </c>
      <c r="L130" s="220">
        <v>0</v>
      </c>
      <c r="M130" s="220">
        <v>0</v>
      </c>
      <c r="N130" s="220">
        <v>0</v>
      </c>
      <c r="O130" s="220">
        <v>0</v>
      </c>
      <c r="P130" s="220">
        <v>0</v>
      </c>
      <c r="Q130" s="220">
        <v>13.31</v>
      </c>
      <c r="R130" s="220">
        <v>0</v>
      </c>
      <c r="S130" s="220">
        <f>5.05+0.47</f>
        <v>5.52</v>
      </c>
      <c r="T130" s="220">
        <v>44.91</v>
      </c>
      <c r="U130" s="220">
        <v>0</v>
      </c>
      <c r="V130" s="220">
        <v>2.74</v>
      </c>
      <c r="W130" s="220">
        <v>0</v>
      </c>
      <c r="X130" s="220">
        <v>0</v>
      </c>
      <c r="Y130" s="220">
        <v>0.82</v>
      </c>
      <c r="Z130" s="220">
        <v>0</v>
      </c>
      <c r="AA130" s="220">
        <v>0</v>
      </c>
      <c r="AB130" s="220">
        <v>0</v>
      </c>
      <c r="AC130" s="220">
        <v>0</v>
      </c>
      <c r="AD130" s="220">
        <v>0</v>
      </c>
      <c r="AE130" s="243">
        <f>SUM(E130:AD130)</f>
        <v>99.989999999999981</v>
      </c>
      <c r="AF130" s="238">
        <f t="shared" si="477"/>
        <v>0.15670921377239089</v>
      </c>
      <c r="AG130" s="238">
        <f t="shared" si="478"/>
        <v>0</v>
      </c>
      <c r="AH130" s="238">
        <f t="shared" si="479"/>
        <v>0.11534913654403092</v>
      </c>
      <c r="AI130" s="238">
        <f t="shared" si="480"/>
        <v>6.0710071865279439E-3</v>
      </c>
      <c r="AJ130" s="238">
        <f t="shared" si="481"/>
        <v>0</v>
      </c>
      <c r="AK130" s="238">
        <f t="shared" si="482"/>
        <v>0</v>
      </c>
      <c r="AL130" s="238">
        <f t="shared" si="483"/>
        <v>0</v>
      </c>
      <c r="AM130" s="238">
        <f t="shared" si="484"/>
        <v>0</v>
      </c>
      <c r="AN130" s="238">
        <f t="shared" si="485"/>
        <v>0</v>
      </c>
      <c r="AO130" s="238">
        <f t="shared" si="486"/>
        <v>0</v>
      </c>
      <c r="AP130" s="238">
        <f t="shared" si="487"/>
        <v>0.14276520433336912</v>
      </c>
      <c r="AQ130" s="238">
        <f t="shared" si="488"/>
        <v>0</v>
      </c>
      <c r="AR130" s="238">
        <f t="shared" si="489"/>
        <v>5.9208409310307852E-2</v>
      </c>
      <c r="AS130" s="238">
        <f t="shared" si="490"/>
        <v>0.48171189531266767</v>
      </c>
      <c r="AT130" s="238">
        <f t="shared" si="491"/>
        <v>0</v>
      </c>
      <c r="AU130" s="238">
        <f t="shared" si="492"/>
        <v>2.9389681433015135E-2</v>
      </c>
      <c r="AV130" s="238">
        <f t="shared" si="493"/>
        <v>0</v>
      </c>
      <c r="AW130" s="238">
        <f t="shared" si="494"/>
        <v>0</v>
      </c>
      <c r="AX130" s="238">
        <f t="shared" si="495"/>
        <v>8.795452107690659E-3</v>
      </c>
      <c r="AY130" s="238">
        <f t="shared" si="496"/>
        <v>0</v>
      </c>
      <c r="AZ130" s="238">
        <f t="shared" si="497"/>
        <v>0</v>
      </c>
      <c r="BA130" s="238">
        <f t="shared" si="498"/>
        <v>0</v>
      </c>
      <c r="BB130" s="238">
        <f t="shared" si="499"/>
        <v>0</v>
      </c>
      <c r="BC130" s="238">
        <f t="shared" si="500"/>
        <v>0</v>
      </c>
      <c r="BD130" s="245">
        <f t="shared" si="501"/>
        <v>1</v>
      </c>
      <c r="BE130" s="238">
        <f t="shared" si="502"/>
        <v>0.57360994445943292</v>
      </c>
      <c r="BF130" s="238">
        <f t="shared" si="503"/>
        <v>0.25552667632523995</v>
      </c>
      <c r="BG130" s="238">
        <f t="shared" si="504"/>
        <v>4.5121583302342814E-3</v>
      </c>
      <c r="BH130" s="238">
        <f t="shared" si="505"/>
        <v>3.1907925530249272E-2</v>
      </c>
      <c r="BI130" s="238">
        <v>0</v>
      </c>
      <c r="BJ130" s="238">
        <f t="shared" si="506"/>
        <v>1.1690462308760773E-2</v>
      </c>
      <c r="BK130" s="238">
        <f t="shared" si="507"/>
        <v>1.766120203226503E-3</v>
      </c>
      <c r="BL130" s="238">
        <f t="shared" si="508"/>
        <v>1.3637011183380452E-2</v>
      </c>
      <c r="BM130" s="238">
        <f t="shared" si="509"/>
        <v>5.7968417135260977E-2</v>
      </c>
      <c r="BN130" s="238">
        <f t="shared" si="510"/>
        <v>2.5824734985907759E-3</v>
      </c>
      <c r="BO130" s="238">
        <v>0</v>
      </c>
      <c r="BP130" s="238">
        <f t="shared" si="511"/>
        <v>4.6798811025624151E-2</v>
      </c>
      <c r="BQ130" s="238">
        <f t="shared" si="512"/>
        <v>0</v>
      </c>
      <c r="BR130" s="238">
        <f t="shared" si="474"/>
        <v>1.0000000000000002</v>
      </c>
      <c r="BS130" s="249">
        <f t="shared" si="475"/>
        <v>77.691716470657283</v>
      </c>
      <c r="BT130" s="247" t="str">
        <f t="shared" si="476"/>
        <v xml:space="preserve">R8H1EA07 </v>
      </c>
      <c r="BU130" s="261">
        <f t="shared" si="363"/>
        <v>3.9291797158205986E-2</v>
      </c>
    </row>
    <row r="131" spans="1:73" x14ac:dyDescent="0.2">
      <c r="A131" s="30" t="s">
        <v>171</v>
      </c>
      <c r="B131" s="32">
        <v>400</v>
      </c>
      <c r="C131" s="32">
        <v>500</v>
      </c>
      <c r="D131" s="33">
        <f t="shared" si="399"/>
        <v>450</v>
      </c>
      <c r="E131" s="106">
        <v>7.13</v>
      </c>
      <c r="F131" s="106">
        <v>0</v>
      </c>
      <c r="G131" s="220">
        <v>19.010000000000002</v>
      </c>
      <c r="H131" s="220">
        <v>0</v>
      </c>
      <c r="I131" s="220">
        <v>15.323499999999997</v>
      </c>
      <c r="J131" s="220">
        <v>0.80649999999999999</v>
      </c>
      <c r="K131" s="220">
        <v>0</v>
      </c>
      <c r="L131" s="220">
        <v>0</v>
      </c>
      <c r="M131" s="220">
        <v>0</v>
      </c>
      <c r="N131" s="220">
        <v>0</v>
      </c>
      <c r="O131" s="220">
        <v>0</v>
      </c>
      <c r="P131" s="220">
        <v>0</v>
      </c>
      <c r="Q131" s="220">
        <v>14.11</v>
      </c>
      <c r="R131" s="220">
        <v>0</v>
      </c>
      <c r="S131" s="220">
        <v>5.72</v>
      </c>
      <c r="T131" s="220">
        <v>34.130000000000003</v>
      </c>
      <c r="U131" s="220">
        <v>0</v>
      </c>
      <c r="V131" s="220">
        <v>2.91</v>
      </c>
      <c r="W131" s="220">
        <v>0</v>
      </c>
      <c r="X131" s="220">
        <v>0</v>
      </c>
      <c r="Y131" s="220">
        <v>0.85</v>
      </c>
      <c r="Z131" s="220">
        <v>0</v>
      </c>
      <c r="AA131" s="220">
        <v>0</v>
      </c>
      <c r="AB131" s="220">
        <v>0</v>
      </c>
      <c r="AC131" s="220">
        <v>0</v>
      </c>
      <c r="AD131" s="220">
        <v>0</v>
      </c>
      <c r="AE131" s="243">
        <f t="shared" si="435"/>
        <v>99.989999999999981</v>
      </c>
      <c r="AF131" s="238">
        <f t="shared" si="477"/>
        <v>0.20471677794529405</v>
      </c>
      <c r="AG131" s="238">
        <f t="shared" si="478"/>
        <v>0</v>
      </c>
      <c r="AH131" s="238">
        <f t="shared" si="479"/>
        <v>0.16501723023906956</v>
      </c>
      <c r="AI131" s="238">
        <f t="shared" si="480"/>
        <v>8.6851173810036635E-3</v>
      </c>
      <c r="AJ131" s="238">
        <f t="shared" si="481"/>
        <v>0</v>
      </c>
      <c r="AK131" s="238">
        <f t="shared" si="482"/>
        <v>0</v>
      </c>
      <c r="AL131" s="238">
        <f t="shared" si="483"/>
        <v>0</v>
      </c>
      <c r="AM131" s="238">
        <f t="shared" si="484"/>
        <v>0</v>
      </c>
      <c r="AN131" s="238">
        <f t="shared" si="485"/>
        <v>0</v>
      </c>
      <c r="AO131" s="238">
        <f t="shared" si="486"/>
        <v>0</v>
      </c>
      <c r="AP131" s="238">
        <f t="shared" si="487"/>
        <v>0.15194917079474479</v>
      </c>
      <c r="AQ131" s="238">
        <f t="shared" si="488"/>
        <v>0</v>
      </c>
      <c r="AR131" s="238">
        <f t="shared" si="489"/>
        <v>6.1598104673702352E-2</v>
      </c>
      <c r="AS131" s="238">
        <f t="shared" si="490"/>
        <v>0.36754253715270307</v>
      </c>
      <c r="AT131" s="238">
        <f t="shared" si="491"/>
        <v>0</v>
      </c>
      <c r="AU131" s="238">
        <f t="shared" si="492"/>
        <v>3.1337497307775151E-2</v>
      </c>
      <c r="AV131" s="238">
        <f t="shared" si="493"/>
        <v>0</v>
      </c>
      <c r="AW131" s="238">
        <f t="shared" si="494"/>
        <v>0</v>
      </c>
      <c r="AX131" s="238">
        <f t="shared" si="495"/>
        <v>9.1535645057075187E-3</v>
      </c>
      <c r="AY131" s="238">
        <f t="shared" si="496"/>
        <v>0</v>
      </c>
      <c r="AZ131" s="238">
        <f t="shared" si="497"/>
        <v>0</v>
      </c>
      <c r="BA131" s="238">
        <f t="shared" si="498"/>
        <v>0</v>
      </c>
      <c r="BB131" s="238">
        <f t="shared" si="499"/>
        <v>0</v>
      </c>
      <c r="BC131" s="238">
        <f t="shared" si="500"/>
        <v>0</v>
      </c>
      <c r="BD131" s="245">
        <f t="shared" si="501"/>
        <v>1</v>
      </c>
      <c r="BE131" s="238">
        <f t="shared" si="502"/>
        <v>0.61011385985090039</v>
      </c>
      <c r="BF131" s="238">
        <f t="shared" si="503"/>
        <v>0.23704564244746171</v>
      </c>
      <c r="BG131" s="238">
        <f t="shared" si="504"/>
        <v>4.7469122644527399E-3</v>
      </c>
      <c r="BH131" s="238">
        <f t="shared" si="505"/>
        <v>2.4745544957329415E-2</v>
      </c>
      <c r="BI131" s="238">
        <v>0</v>
      </c>
      <c r="BJ131" s="238">
        <f t="shared" si="506"/>
        <v>9.4113621562802053E-3</v>
      </c>
      <c r="BK131" s="238">
        <f t="shared" si="507"/>
        <v>2.3150200952071994E-3</v>
      </c>
      <c r="BL131" s="238">
        <f t="shared" si="508"/>
        <v>1.9508961069350191E-2</v>
      </c>
      <c r="BM131" s="238">
        <f t="shared" si="509"/>
        <v>4.6325116027149393E-2</v>
      </c>
      <c r="BN131" s="238">
        <f t="shared" si="510"/>
        <v>1.9704077707808909E-3</v>
      </c>
      <c r="BO131" s="238">
        <v>0</v>
      </c>
      <c r="BP131" s="238">
        <f t="shared" si="511"/>
        <v>4.3817173361088042E-2</v>
      </c>
      <c r="BQ131" s="238">
        <f t="shared" si="512"/>
        <v>0</v>
      </c>
      <c r="BR131" s="238">
        <f t="shared" si="474"/>
        <v>1.0000000000000004</v>
      </c>
      <c r="BS131" s="249">
        <f t="shared" si="475"/>
        <v>77.670291017374865</v>
      </c>
      <c r="BT131" s="247" t="str">
        <f t="shared" si="476"/>
        <v xml:space="preserve">R8H1EA08 </v>
      </c>
      <c r="BU131" s="261">
        <f t="shared" si="363"/>
        <v>3.1719556267941804E-2</v>
      </c>
    </row>
    <row r="132" spans="1:73" x14ac:dyDescent="0.2">
      <c r="A132" s="30" t="s">
        <v>172</v>
      </c>
      <c r="B132" s="32">
        <v>500</v>
      </c>
      <c r="C132" s="32">
        <v>600</v>
      </c>
      <c r="D132" s="33">
        <f t="shared" si="399"/>
        <v>550</v>
      </c>
      <c r="E132" s="106">
        <v>8.36</v>
      </c>
      <c r="F132" s="106">
        <v>0.4</v>
      </c>
      <c r="G132" s="220">
        <v>22.85</v>
      </c>
      <c r="H132" s="220">
        <v>0</v>
      </c>
      <c r="I132" s="220">
        <v>15.855500000000001</v>
      </c>
      <c r="J132" s="220">
        <v>0.83450000000000013</v>
      </c>
      <c r="K132" s="220">
        <v>0</v>
      </c>
      <c r="L132" s="220">
        <v>0</v>
      </c>
      <c r="M132" s="220">
        <v>0</v>
      </c>
      <c r="N132" s="220">
        <v>0</v>
      </c>
      <c r="O132" s="220">
        <v>0</v>
      </c>
      <c r="P132" s="220">
        <v>0</v>
      </c>
      <c r="Q132" s="220">
        <v>15.66</v>
      </c>
      <c r="R132" s="220">
        <v>0</v>
      </c>
      <c r="S132" s="220">
        <f>5.23+0.55</f>
        <v>5.78</v>
      </c>
      <c r="T132" s="220">
        <v>23.58</v>
      </c>
      <c r="U132" s="220">
        <v>0</v>
      </c>
      <c r="V132" s="220">
        <v>3.23</v>
      </c>
      <c r="W132" s="220">
        <v>0</v>
      </c>
      <c r="X132" s="220">
        <v>0</v>
      </c>
      <c r="Y132" s="220">
        <v>3.43</v>
      </c>
      <c r="Z132" s="220">
        <v>0</v>
      </c>
      <c r="AA132" s="220">
        <v>0</v>
      </c>
      <c r="AB132" s="220">
        <v>0</v>
      </c>
      <c r="AC132" s="220">
        <v>0</v>
      </c>
      <c r="AD132" s="220">
        <v>0</v>
      </c>
      <c r="AE132" s="243">
        <f t="shared" si="435"/>
        <v>99.98</v>
      </c>
      <c r="AF132" s="238">
        <f t="shared" si="477"/>
        <v>0.25049331286998461</v>
      </c>
      <c r="AG132" s="238">
        <f t="shared" si="478"/>
        <v>0</v>
      </c>
      <c r="AH132" s="238">
        <f t="shared" si="479"/>
        <v>0.17381604911203682</v>
      </c>
      <c r="AI132" s="238">
        <f t="shared" si="480"/>
        <v>9.1482131111598336E-3</v>
      </c>
      <c r="AJ132" s="238">
        <f t="shared" si="481"/>
        <v>0</v>
      </c>
      <c r="AK132" s="238">
        <f t="shared" si="482"/>
        <v>0</v>
      </c>
      <c r="AL132" s="238">
        <f t="shared" si="483"/>
        <v>0</v>
      </c>
      <c r="AM132" s="238">
        <f t="shared" si="484"/>
        <v>0</v>
      </c>
      <c r="AN132" s="238">
        <f t="shared" si="485"/>
        <v>0</v>
      </c>
      <c r="AO132" s="238">
        <f t="shared" si="486"/>
        <v>0</v>
      </c>
      <c r="AP132" s="238">
        <f t="shared" si="487"/>
        <v>0.17167287875465903</v>
      </c>
      <c r="AQ132" s="238">
        <f t="shared" si="488"/>
        <v>0</v>
      </c>
      <c r="AR132" s="238">
        <f t="shared" si="489"/>
        <v>6.3363297522473133E-2</v>
      </c>
      <c r="AS132" s="238">
        <f t="shared" si="490"/>
        <v>0.25849594387195785</v>
      </c>
      <c r="AT132" s="238">
        <f t="shared" si="491"/>
        <v>0</v>
      </c>
      <c r="AU132" s="238">
        <f t="shared" si="492"/>
        <v>3.5408901556676163E-2</v>
      </c>
      <c r="AV132" s="238">
        <f t="shared" si="493"/>
        <v>0</v>
      </c>
      <c r="AW132" s="238">
        <f t="shared" si="494"/>
        <v>0</v>
      </c>
      <c r="AX132" s="238">
        <f t="shared" si="495"/>
        <v>3.7601403201052395E-2</v>
      </c>
      <c r="AY132" s="238">
        <f t="shared" si="496"/>
        <v>0</v>
      </c>
      <c r="AZ132" s="238">
        <f t="shared" si="497"/>
        <v>0</v>
      </c>
      <c r="BA132" s="238">
        <f t="shared" si="498"/>
        <v>0</v>
      </c>
      <c r="BB132" s="238">
        <f t="shared" si="499"/>
        <v>0</v>
      </c>
      <c r="BC132" s="238">
        <f t="shared" si="500"/>
        <v>0</v>
      </c>
      <c r="BD132" s="245">
        <f t="shared" si="501"/>
        <v>0.99999999999999989</v>
      </c>
      <c r="BE132" s="238">
        <f t="shared" si="502"/>
        <v>0.64167564551655698</v>
      </c>
      <c r="BF132" s="238">
        <f t="shared" si="503"/>
        <v>0.22083161225902409</v>
      </c>
      <c r="BG132" s="238">
        <f t="shared" si="504"/>
        <v>5.1193760539773999E-3</v>
      </c>
      <c r="BH132" s="238">
        <f t="shared" si="505"/>
        <v>1.8003770019150142E-2</v>
      </c>
      <c r="BI132" s="238">
        <v>0</v>
      </c>
      <c r="BJ132" s="238">
        <f t="shared" si="506"/>
        <v>7.2809460605714558E-3</v>
      </c>
      <c r="BK132" s="238">
        <f t="shared" si="507"/>
        <v>2.4245464378196096E-3</v>
      </c>
      <c r="BL132" s="238">
        <f t="shared" si="508"/>
        <v>2.054919071446237E-2</v>
      </c>
      <c r="BM132" s="238">
        <f t="shared" si="509"/>
        <v>4.0197471313750857E-2</v>
      </c>
      <c r="BN132" s="238">
        <f t="shared" si="510"/>
        <v>1.3858053559363389E-3</v>
      </c>
      <c r="BO132" s="238">
        <v>0</v>
      </c>
      <c r="BP132" s="238">
        <f t="shared" si="511"/>
        <v>4.2531636268750596E-2</v>
      </c>
      <c r="BQ132" s="238">
        <f t="shared" si="512"/>
        <v>0</v>
      </c>
      <c r="BR132" s="238">
        <f t="shared" si="474"/>
        <v>0.99999999999999978</v>
      </c>
      <c r="BS132" s="249">
        <f t="shared" si="475"/>
        <v>77.756837659303073</v>
      </c>
      <c r="BT132" s="247" t="str">
        <f t="shared" si="476"/>
        <v xml:space="preserve">R8H1EA09 </v>
      </c>
      <c r="BU132" s="261">
        <f t="shared" si="363"/>
        <v>2.4743485374851056E-2</v>
      </c>
    </row>
    <row r="133" spans="1:73" x14ac:dyDescent="0.2">
      <c r="A133" s="30" t="s">
        <v>173</v>
      </c>
      <c r="B133" s="32">
        <v>600</v>
      </c>
      <c r="C133" s="32">
        <v>700</v>
      </c>
      <c r="D133" s="33">
        <f t="shared" si="399"/>
        <v>650</v>
      </c>
      <c r="E133" s="106">
        <v>6.65</v>
      </c>
      <c r="F133" s="106">
        <v>0.81</v>
      </c>
      <c r="G133" s="220">
        <v>20.72</v>
      </c>
      <c r="H133" s="220">
        <v>0</v>
      </c>
      <c r="I133" s="220">
        <v>19.579499999999999</v>
      </c>
      <c r="J133" s="220">
        <v>1.0305</v>
      </c>
      <c r="K133" s="220">
        <v>0</v>
      </c>
      <c r="L133" s="220">
        <v>0</v>
      </c>
      <c r="M133" s="220">
        <v>0</v>
      </c>
      <c r="N133" s="220">
        <v>0</v>
      </c>
      <c r="O133" s="220">
        <v>0</v>
      </c>
      <c r="P133" s="220">
        <v>0</v>
      </c>
      <c r="Q133" s="220">
        <v>14.81</v>
      </c>
      <c r="R133" s="220">
        <v>0</v>
      </c>
      <c r="S133" s="220">
        <f>3.27+0.52</f>
        <v>3.79</v>
      </c>
      <c r="T133" s="220">
        <v>26.71</v>
      </c>
      <c r="U133" s="220">
        <v>0</v>
      </c>
      <c r="V133" s="220">
        <v>3.05</v>
      </c>
      <c r="W133" s="220">
        <v>0</v>
      </c>
      <c r="X133" s="220">
        <v>0</v>
      </c>
      <c r="Y133" s="220">
        <v>2.86</v>
      </c>
      <c r="Z133" s="220">
        <v>0</v>
      </c>
      <c r="AA133" s="220">
        <v>0</v>
      </c>
      <c r="AB133" s="220">
        <v>0</v>
      </c>
      <c r="AC133" s="220">
        <v>0</v>
      </c>
      <c r="AD133" s="220">
        <v>0</v>
      </c>
      <c r="AE133" s="243">
        <f t="shared" si="435"/>
        <v>100.01000000000002</v>
      </c>
      <c r="AF133" s="238">
        <f t="shared" si="477"/>
        <v>0.22387898433279307</v>
      </c>
      <c r="AG133" s="238">
        <f t="shared" si="478"/>
        <v>0</v>
      </c>
      <c r="AH133" s="238">
        <f t="shared" si="479"/>
        <v>0.21155591572123178</v>
      </c>
      <c r="AI133" s="238">
        <f t="shared" si="480"/>
        <v>1.113452188006483E-2</v>
      </c>
      <c r="AJ133" s="238">
        <f t="shared" si="481"/>
        <v>0</v>
      </c>
      <c r="AK133" s="238">
        <f t="shared" si="482"/>
        <v>0</v>
      </c>
      <c r="AL133" s="238">
        <f t="shared" si="483"/>
        <v>0</v>
      </c>
      <c r="AM133" s="238">
        <f t="shared" si="484"/>
        <v>0</v>
      </c>
      <c r="AN133" s="238">
        <f t="shared" si="485"/>
        <v>0</v>
      </c>
      <c r="AO133" s="238">
        <f t="shared" si="486"/>
        <v>0</v>
      </c>
      <c r="AP133" s="238">
        <f t="shared" si="487"/>
        <v>0.16002160994057268</v>
      </c>
      <c r="AQ133" s="238">
        <f t="shared" si="488"/>
        <v>0</v>
      </c>
      <c r="AR133" s="238">
        <f t="shared" si="489"/>
        <v>4.095083738519719E-2</v>
      </c>
      <c r="AS133" s="238">
        <f t="shared" si="490"/>
        <v>0.28860075634792004</v>
      </c>
      <c r="AT133" s="238">
        <f t="shared" si="491"/>
        <v>0</v>
      </c>
      <c r="AU133" s="238">
        <f t="shared" si="492"/>
        <v>3.295515937331172E-2</v>
      </c>
      <c r="AV133" s="238">
        <f t="shared" si="493"/>
        <v>0</v>
      </c>
      <c r="AW133" s="238">
        <f t="shared" si="494"/>
        <v>0</v>
      </c>
      <c r="AX133" s="238">
        <f t="shared" si="495"/>
        <v>3.0902215018908698E-2</v>
      </c>
      <c r="AY133" s="238">
        <f t="shared" si="496"/>
        <v>0</v>
      </c>
      <c r="AZ133" s="238">
        <f t="shared" si="497"/>
        <v>0</v>
      </c>
      <c r="BA133" s="238">
        <f t="shared" si="498"/>
        <v>0</v>
      </c>
      <c r="BB133" s="238">
        <f t="shared" si="499"/>
        <v>0</v>
      </c>
      <c r="BC133" s="238">
        <f t="shared" si="500"/>
        <v>0</v>
      </c>
      <c r="BD133" s="245">
        <f t="shared" si="501"/>
        <v>1</v>
      </c>
      <c r="BE133" s="238">
        <f t="shared" si="502"/>
        <v>0.63598396906424914</v>
      </c>
      <c r="BF133" s="238">
        <f t="shared" si="503"/>
        <v>0.22279330447292195</v>
      </c>
      <c r="BG133" s="238">
        <f t="shared" si="504"/>
        <v>4.0634748493019934E-3</v>
      </c>
      <c r="BH133" s="238">
        <f t="shared" si="505"/>
        <v>1.9805312089694094E-2</v>
      </c>
      <c r="BI133" s="238">
        <v>0</v>
      </c>
      <c r="BJ133" s="238">
        <f t="shared" si="506"/>
        <v>7.4753549033024164E-3</v>
      </c>
      <c r="BK133" s="238">
        <f t="shared" si="507"/>
        <v>2.6197633630395192E-3</v>
      </c>
      <c r="BL133" s="238">
        <f t="shared" si="508"/>
        <v>2.5010940480681237E-2</v>
      </c>
      <c r="BM133" s="238">
        <f t="shared" si="509"/>
        <v>4.1066100810260048E-2</v>
      </c>
      <c r="BN133" s="238">
        <f t="shared" si="510"/>
        <v>1.547198257286128E-3</v>
      </c>
      <c r="BO133" s="238">
        <v>0</v>
      </c>
      <c r="BP133" s="238">
        <f t="shared" si="511"/>
        <v>3.9634581709263469E-2</v>
      </c>
      <c r="BQ133" s="238">
        <f t="shared" si="512"/>
        <v>0</v>
      </c>
      <c r="BR133" s="238">
        <f t="shared" si="474"/>
        <v>0.99999999999999989</v>
      </c>
      <c r="BS133" s="249">
        <f t="shared" si="475"/>
        <v>76.432543505593515</v>
      </c>
      <c r="BT133" s="247" t="str">
        <f t="shared" si="476"/>
        <v xml:space="preserve">R8H1EA10 </v>
      </c>
      <c r="BU133" s="261">
        <f t="shared" si="363"/>
        <v>2.5651265027068559E-2</v>
      </c>
    </row>
    <row r="134" spans="1:73" x14ac:dyDescent="0.2">
      <c r="A134" s="30" t="s">
        <v>174</v>
      </c>
      <c r="B134" s="32">
        <v>700</v>
      </c>
      <c r="C134" s="32">
        <v>800</v>
      </c>
      <c r="D134" s="33">
        <f t="shared" si="399"/>
        <v>750</v>
      </c>
      <c r="E134" s="106">
        <v>7.92</v>
      </c>
      <c r="F134" s="106">
        <v>0</v>
      </c>
      <c r="G134" s="220">
        <v>18.13</v>
      </c>
      <c r="H134" s="220">
        <v>0</v>
      </c>
      <c r="I134" s="220">
        <v>18.2685</v>
      </c>
      <c r="J134" s="220">
        <v>0.96150000000000002</v>
      </c>
      <c r="K134" s="220">
        <v>0</v>
      </c>
      <c r="L134" s="220">
        <v>3.21</v>
      </c>
      <c r="M134" s="220">
        <v>0</v>
      </c>
      <c r="N134" s="220">
        <v>0</v>
      </c>
      <c r="O134" s="220">
        <v>0</v>
      </c>
      <c r="P134" s="220">
        <v>0</v>
      </c>
      <c r="Q134" s="220">
        <v>13.08</v>
      </c>
      <c r="R134" s="220">
        <v>0</v>
      </c>
      <c r="S134" s="220">
        <f>5.01+0.46</f>
        <v>5.47</v>
      </c>
      <c r="T134" s="220">
        <v>29.86</v>
      </c>
      <c r="U134" s="220">
        <v>0</v>
      </c>
      <c r="V134" s="220">
        <v>2.69</v>
      </c>
      <c r="W134" s="220">
        <v>0</v>
      </c>
      <c r="X134" s="220">
        <v>0</v>
      </c>
      <c r="Y134" s="220">
        <v>0.41</v>
      </c>
      <c r="Z134" s="220">
        <v>0</v>
      </c>
      <c r="AA134" s="220">
        <v>0</v>
      </c>
      <c r="AB134" s="220">
        <v>0</v>
      </c>
      <c r="AC134" s="220">
        <v>0</v>
      </c>
      <c r="AD134" s="220">
        <v>0</v>
      </c>
      <c r="AE134" s="243">
        <f t="shared" si="435"/>
        <v>100</v>
      </c>
      <c r="AF134" s="238">
        <f t="shared" si="477"/>
        <v>0.19689400521285841</v>
      </c>
      <c r="AG134" s="238">
        <f t="shared" si="478"/>
        <v>0</v>
      </c>
      <c r="AH134" s="238">
        <f t="shared" si="479"/>
        <v>0.19839813205907908</v>
      </c>
      <c r="AI134" s="238">
        <f t="shared" si="480"/>
        <v>1.0442006950477848E-2</v>
      </c>
      <c r="AJ134" s="238">
        <f t="shared" si="481"/>
        <v>0</v>
      </c>
      <c r="AK134" s="238">
        <f t="shared" si="482"/>
        <v>3.4860990443092967E-2</v>
      </c>
      <c r="AL134" s="238">
        <f t="shared" si="483"/>
        <v>0</v>
      </c>
      <c r="AM134" s="238">
        <f t="shared" si="484"/>
        <v>0</v>
      </c>
      <c r="AN134" s="238">
        <f t="shared" si="485"/>
        <v>0</v>
      </c>
      <c r="AO134" s="238">
        <f t="shared" si="486"/>
        <v>0</v>
      </c>
      <c r="AP134" s="238">
        <f t="shared" si="487"/>
        <v>0.14205039096437883</v>
      </c>
      <c r="AQ134" s="238">
        <f t="shared" si="488"/>
        <v>0</v>
      </c>
      <c r="AR134" s="238">
        <f t="shared" si="489"/>
        <v>5.9404865334491755E-2</v>
      </c>
      <c r="AS134" s="238">
        <f t="shared" si="490"/>
        <v>0.32428323197219816</v>
      </c>
      <c r="AT134" s="238">
        <f t="shared" si="491"/>
        <v>0</v>
      </c>
      <c r="AU134" s="238">
        <f t="shared" si="492"/>
        <v>2.9213727193744574E-2</v>
      </c>
      <c r="AV134" s="238">
        <f t="shared" si="493"/>
        <v>0</v>
      </c>
      <c r="AW134" s="238">
        <f t="shared" si="494"/>
        <v>0</v>
      </c>
      <c r="AX134" s="238">
        <f t="shared" si="495"/>
        <v>4.4526498696785405E-3</v>
      </c>
      <c r="AY134" s="238">
        <f t="shared" si="496"/>
        <v>0</v>
      </c>
      <c r="AZ134" s="238">
        <f t="shared" si="497"/>
        <v>0</v>
      </c>
      <c r="BA134" s="238">
        <f t="shared" si="498"/>
        <v>0</v>
      </c>
      <c r="BB134" s="238">
        <f t="shared" si="499"/>
        <v>0</v>
      </c>
      <c r="BC134" s="238">
        <f t="shared" si="500"/>
        <v>0</v>
      </c>
      <c r="BD134" s="245">
        <f t="shared" si="501"/>
        <v>1.0000000000000002</v>
      </c>
      <c r="BE134" s="238">
        <f t="shared" si="502"/>
        <v>0.61393824512531525</v>
      </c>
      <c r="BF134" s="238">
        <f t="shared" si="503"/>
        <v>0.22735653809450368</v>
      </c>
      <c r="BG134" s="238">
        <f t="shared" si="504"/>
        <v>4.5088464430380433E-3</v>
      </c>
      <c r="BH134" s="238">
        <f t="shared" si="505"/>
        <v>2.8035642323351796E-2</v>
      </c>
      <c r="BI134" s="238">
        <v>0</v>
      </c>
      <c r="BJ134" s="238">
        <f t="shared" si="506"/>
        <v>1.1820440646054369E-2</v>
      </c>
      <c r="BK134" s="238">
        <f t="shared" si="507"/>
        <v>7.3729325339398919E-3</v>
      </c>
      <c r="BL134" s="238">
        <f t="shared" si="508"/>
        <v>2.3455377532181972E-2</v>
      </c>
      <c r="BM134" s="238">
        <f t="shared" si="509"/>
        <v>4.0640392012653119E-2</v>
      </c>
      <c r="BN134" s="238">
        <f t="shared" si="510"/>
        <v>1.7384931963575368E-3</v>
      </c>
      <c r="BO134" s="238">
        <v>0</v>
      </c>
      <c r="BP134" s="238">
        <f t="shared" si="511"/>
        <v>4.113309209260449E-2</v>
      </c>
      <c r="BQ134" s="238">
        <f t="shared" si="512"/>
        <v>0</v>
      </c>
      <c r="BR134" s="238">
        <f t="shared" si="474"/>
        <v>1.0000000000000002</v>
      </c>
      <c r="BS134" s="249">
        <f t="shared" si="475"/>
        <v>76.083445281485368</v>
      </c>
      <c r="BT134" s="247" t="str">
        <f t="shared" si="476"/>
        <v xml:space="preserve">R8H1EA11 </v>
      </c>
      <c r="BU134" s="261">
        <f t="shared" si="363"/>
        <v>3.5067696575491504E-2</v>
      </c>
    </row>
    <row r="135" spans="1:73" x14ac:dyDescent="0.2">
      <c r="A135" s="30" t="s">
        <v>175</v>
      </c>
      <c r="B135" s="32">
        <v>800</v>
      </c>
      <c r="C135" s="32">
        <v>900</v>
      </c>
      <c r="D135" s="33">
        <f t="shared" si="399"/>
        <v>850</v>
      </c>
      <c r="E135" s="106">
        <v>7.08</v>
      </c>
      <c r="F135" s="106">
        <v>0</v>
      </c>
      <c r="G135" s="220">
        <v>9.93</v>
      </c>
      <c r="H135" s="220">
        <v>0</v>
      </c>
      <c r="I135" s="220">
        <v>15.7225</v>
      </c>
      <c r="J135" s="220">
        <v>0.82750000000000012</v>
      </c>
      <c r="K135" s="220">
        <v>0</v>
      </c>
      <c r="L135" s="220">
        <v>4.82</v>
      </c>
      <c r="M135" s="220">
        <v>0</v>
      </c>
      <c r="N135" s="220">
        <v>0</v>
      </c>
      <c r="O135" s="220">
        <v>0</v>
      </c>
      <c r="P135" s="220">
        <v>0</v>
      </c>
      <c r="Q135" s="220">
        <v>14.49</v>
      </c>
      <c r="R135" s="220">
        <v>0</v>
      </c>
      <c r="S135" s="220">
        <f>10.73+0.51</f>
        <v>11.24</v>
      </c>
      <c r="T135" s="220">
        <v>32.29</v>
      </c>
      <c r="U135" s="220">
        <v>0</v>
      </c>
      <c r="V135" s="220">
        <v>2.99</v>
      </c>
      <c r="W135" s="220">
        <v>0</v>
      </c>
      <c r="X135" s="220">
        <v>0</v>
      </c>
      <c r="Y135" s="220">
        <v>0.61</v>
      </c>
      <c r="Z135" s="220">
        <v>0</v>
      </c>
      <c r="AA135" s="220">
        <v>0</v>
      </c>
      <c r="AB135" s="220">
        <v>0</v>
      </c>
      <c r="AC135" s="220">
        <v>0</v>
      </c>
      <c r="AD135" s="220">
        <v>0</v>
      </c>
      <c r="AE135" s="243">
        <f t="shared" si="435"/>
        <v>100</v>
      </c>
      <c r="AF135" s="238">
        <f t="shared" si="477"/>
        <v>0.10686612139474819</v>
      </c>
      <c r="AG135" s="238">
        <f t="shared" si="478"/>
        <v>0</v>
      </c>
      <c r="AH135" s="238">
        <f t="shared" si="479"/>
        <v>0.1692046922083513</v>
      </c>
      <c r="AI135" s="238">
        <f t="shared" si="480"/>
        <v>8.9055101162290162E-3</v>
      </c>
      <c r="AJ135" s="238">
        <f t="shared" si="481"/>
        <v>0</v>
      </c>
      <c r="AK135" s="238">
        <f t="shared" si="482"/>
        <v>5.1872578562204057E-2</v>
      </c>
      <c r="AL135" s="238">
        <f t="shared" si="483"/>
        <v>0</v>
      </c>
      <c r="AM135" s="238">
        <f t="shared" si="484"/>
        <v>0</v>
      </c>
      <c r="AN135" s="238">
        <f t="shared" si="485"/>
        <v>0</v>
      </c>
      <c r="AO135" s="238">
        <f t="shared" si="486"/>
        <v>0</v>
      </c>
      <c r="AP135" s="238">
        <f t="shared" si="487"/>
        <v>0.15594059405940597</v>
      </c>
      <c r="AQ135" s="238">
        <f t="shared" si="488"/>
        <v>0</v>
      </c>
      <c r="AR135" s="238">
        <f t="shared" si="489"/>
        <v>0.12096427034007751</v>
      </c>
      <c r="AS135" s="238">
        <f t="shared" si="490"/>
        <v>0.34750322858372795</v>
      </c>
      <c r="AT135" s="238">
        <f t="shared" si="491"/>
        <v>0</v>
      </c>
      <c r="AU135" s="238">
        <f t="shared" si="492"/>
        <v>3.2178217821782186E-2</v>
      </c>
      <c r="AV135" s="238">
        <f t="shared" si="493"/>
        <v>0</v>
      </c>
      <c r="AW135" s="238">
        <f t="shared" si="494"/>
        <v>0</v>
      </c>
      <c r="AX135" s="238">
        <f t="shared" si="495"/>
        <v>6.5647869134739566E-3</v>
      </c>
      <c r="AY135" s="238">
        <f t="shared" si="496"/>
        <v>0</v>
      </c>
      <c r="AZ135" s="238">
        <f t="shared" si="497"/>
        <v>0</v>
      </c>
      <c r="BA135" s="238">
        <f t="shared" si="498"/>
        <v>0</v>
      </c>
      <c r="BB135" s="238">
        <f t="shared" si="499"/>
        <v>0</v>
      </c>
      <c r="BC135" s="238">
        <f t="shared" si="500"/>
        <v>0</v>
      </c>
      <c r="BD135" s="245">
        <f t="shared" si="501"/>
        <v>1.0000000000000002</v>
      </c>
      <c r="BE135" s="238">
        <f t="shared" si="502"/>
        <v>0.55642359158854393</v>
      </c>
      <c r="BF135" s="238">
        <f t="shared" si="503"/>
        <v>0.25970901317238121</v>
      </c>
      <c r="BG135" s="238">
        <f t="shared" si="504"/>
        <v>7.1304253512674007E-3</v>
      </c>
      <c r="BH135" s="238">
        <f t="shared" si="505"/>
        <v>3.2635678030206415E-2</v>
      </c>
      <c r="BI135" s="238">
        <v>0</v>
      </c>
      <c r="BJ135" s="238">
        <f t="shared" si="506"/>
        <v>1.504477886523735E-2</v>
      </c>
      <c r="BK135" s="238">
        <f t="shared" si="507"/>
        <v>9.9320071165344224E-3</v>
      </c>
      <c r="BL135" s="238">
        <f t="shared" si="508"/>
        <v>2.0004018660728672E-2</v>
      </c>
      <c r="BM135" s="238">
        <f t="shared" si="509"/>
        <v>4.621357870529031E-2</v>
      </c>
      <c r="BN135" s="238">
        <f t="shared" si="510"/>
        <v>1.8629763707822028E-3</v>
      </c>
      <c r="BO135" s="238">
        <v>0</v>
      </c>
      <c r="BP135" s="238">
        <f t="shared" si="511"/>
        <v>5.1043932139028192E-2</v>
      </c>
      <c r="BQ135" s="238">
        <f t="shared" si="512"/>
        <v>0</v>
      </c>
      <c r="BR135" s="238">
        <f t="shared" si="474"/>
        <v>1.0000000000000002</v>
      </c>
      <c r="BS135" s="249">
        <f t="shared" si="475"/>
        <v>77.326886826887844</v>
      </c>
      <c r="BT135" s="247" t="str">
        <f t="shared" si="476"/>
        <v xml:space="preserve">R8H1EA12 </v>
      </c>
      <c r="BU135" s="261">
        <f t="shared" si="363"/>
        <v>4.2703314404192394E-2</v>
      </c>
    </row>
    <row r="136" spans="1:73" s="306" customFormat="1" ht="16" thickBot="1" x14ac:dyDescent="0.25">
      <c r="A136" s="299" t="s">
        <v>176</v>
      </c>
      <c r="B136" s="154">
        <v>900</v>
      </c>
      <c r="C136" s="154">
        <v>1000</v>
      </c>
      <c r="D136" s="155">
        <f t="shared" si="399"/>
        <v>950</v>
      </c>
      <c r="E136" s="134">
        <v>7.5</v>
      </c>
      <c r="F136" s="134">
        <v>0</v>
      </c>
      <c r="G136" s="221">
        <v>7.57</v>
      </c>
      <c r="H136" s="221">
        <v>0</v>
      </c>
      <c r="I136" s="221">
        <v>22.020999999999997</v>
      </c>
      <c r="J136" s="221">
        <v>1.159</v>
      </c>
      <c r="K136" s="221">
        <v>0</v>
      </c>
      <c r="L136" s="221">
        <v>3.88</v>
      </c>
      <c r="M136" s="221">
        <v>0</v>
      </c>
      <c r="N136" s="221">
        <v>0</v>
      </c>
      <c r="O136" s="221">
        <v>0</v>
      </c>
      <c r="P136" s="221">
        <v>0</v>
      </c>
      <c r="Q136" s="259">
        <v>14.39</v>
      </c>
      <c r="R136" s="259">
        <v>0</v>
      </c>
      <c r="S136" s="221">
        <f>14.44+0.51</f>
        <v>14.95</v>
      </c>
      <c r="T136" s="221">
        <v>24.97</v>
      </c>
      <c r="U136" s="221">
        <v>0</v>
      </c>
      <c r="V136" s="221">
        <v>2.97</v>
      </c>
      <c r="W136" s="221">
        <v>0</v>
      </c>
      <c r="X136" s="221">
        <v>0</v>
      </c>
      <c r="Y136" s="221">
        <v>0.6</v>
      </c>
      <c r="Z136" s="221">
        <v>0</v>
      </c>
      <c r="AA136" s="221">
        <v>0</v>
      </c>
      <c r="AB136" s="221">
        <v>0</v>
      </c>
      <c r="AC136" s="221">
        <v>0</v>
      </c>
      <c r="AD136" s="221">
        <v>0</v>
      </c>
      <c r="AE136" s="244">
        <f t="shared" ref="AE136:AE137" si="515">SUM(E136:AD136)</f>
        <v>100.00999999999999</v>
      </c>
      <c r="AF136" s="250">
        <f t="shared" si="477"/>
        <v>8.1828991460382666E-2</v>
      </c>
      <c r="AG136" s="250">
        <f t="shared" si="478"/>
        <v>0</v>
      </c>
      <c r="AH136" s="250">
        <f t="shared" si="479"/>
        <v>0.23803913090476705</v>
      </c>
      <c r="AI136" s="250">
        <f t="shared" si="480"/>
        <v>1.2528375310777214E-2</v>
      </c>
      <c r="AJ136" s="250">
        <f t="shared" si="481"/>
        <v>0</v>
      </c>
      <c r="AK136" s="250">
        <f t="shared" si="482"/>
        <v>4.1941411739271434E-2</v>
      </c>
      <c r="AL136" s="250">
        <f t="shared" si="483"/>
        <v>0</v>
      </c>
      <c r="AM136" s="250">
        <f t="shared" si="484"/>
        <v>0</v>
      </c>
      <c r="AN136" s="250">
        <f t="shared" si="485"/>
        <v>0</v>
      </c>
      <c r="AO136" s="250">
        <f t="shared" si="486"/>
        <v>0</v>
      </c>
      <c r="AP136" s="250">
        <f t="shared" si="487"/>
        <v>0.15555075127013299</v>
      </c>
      <c r="AQ136" s="250">
        <f t="shared" si="488"/>
        <v>0</v>
      </c>
      <c r="AR136" s="250">
        <f t="shared" si="489"/>
        <v>0.16160415090260513</v>
      </c>
      <c r="AS136" s="250">
        <f t="shared" si="490"/>
        <v>0.26991676575505352</v>
      </c>
      <c r="AT136" s="250">
        <f t="shared" si="491"/>
        <v>0</v>
      </c>
      <c r="AU136" s="250">
        <f t="shared" si="492"/>
        <v>3.210463733650417E-2</v>
      </c>
      <c r="AV136" s="250">
        <f t="shared" si="493"/>
        <v>0</v>
      </c>
      <c r="AW136" s="250">
        <f t="shared" si="494"/>
        <v>0</v>
      </c>
      <c r="AX136" s="250">
        <f t="shared" si="495"/>
        <v>6.4857853205058918E-3</v>
      </c>
      <c r="AY136" s="250">
        <f t="shared" si="496"/>
        <v>0</v>
      </c>
      <c r="AZ136" s="250">
        <f t="shared" si="497"/>
        <v>0</v>
      </c>
      <c r="BA136" s="250">
        <f t="shared" si="498"/>
        <v>0</v>
      </c>
      <c r="BB136" s="250">
        <f t="shared" si="499"/>
        <v>0</v>
      </c>
      <c r="BC136" s="250">
        <f t="shared" si="500"/>
        <v>0</v>
      </c>
      <c r="BD136" s="251">
        <f t="shared" si="501"/>
        <v>1</v>
      </c>
      <c r="BE136" s="250">
        <f t="shared" si="502"/>
        <v>0.55492510241504622</v>
      </c>
      <c r="BF136" s="250">
        <f t="shared" si="503"/>
        <v>0.26639684781680611</v>
      </c>
      <c r="BG136" s="250">
        <f t="shared" si="504"/>
        <v>8.7140597372052393E-3</v>
      </c>
      <c r="BH136" s="250">
        <f t="shared" si="505"/>
        <v>2.5958612819439956E-2</v>
      </c>
      <c r="BI136" s="250">
        <v>0</v>
      </c>
      <c r="BJ136" s="250">
        <f t="shared" si="506"/>
        <v>1.3136039533768597E-2</v>
      </c>
      <c r="BK136" s="250">
        <f t="shared" si="507"/>
        <v>9.6888252522478267E-3</v>
      </c>
      <c r="BL136" s="250">
        <f t="shared" si="508"/>
        <v>2.814188634165769E-2</v>
      </c>
      <c r="BM136" s="250">
        <f t="shared" si="509"/>
        <v>3.9621834077766448E-2</v>
      </c>
      <c r="BN136" s="250">
        <f t="shared" si="510"/>
        <v>1.4470327620523457E-3</v>
      </c>
      <c r="BO136" s="250">
        <v>0</v>
      </c>
      <c r="BP136" s="250">
        <f t="shared" si="511"/>
        <v>5.1969759244009706E-2</v>
      </c>
      <c r="BQ136" s="250">
        <f t="shared" si="512"/>
        <v>0</v>
      </c>
      <c r="BR136" s="250">
        <f t="shared" si="474"/>
        <v>1.0000000000000002</v>
      </c>
      <c r="BS136" s="252">
        <f t="shared" si="475"/>
        <v>77.474863373790626</v>
      </c>
      <c r="BT136" s="248" t="str">
        <f t="shared" si="476"/>
        <v xml:space="preserve">R8H1EA13 </v>
      </c>
      <c r="BU136" s="305">
        <f t="shared" si="363"/>
        <v>3.7008947710394792E-2</v>
      </c>
    </row>
    <row r="137" spans="1:73" s="153" customFormat="1" x14ac:dyDescent="0.2">
      <c r="A137" s="297" t="s">
        <v>479</v>
      </c>
      <c r="B137" s="153">
        <v>0</v>
      </c>
      <c r="C137" s="153">
        <v>20</v>
      </c>
      <c r="D137" s="151">
        <f t="shared" si="399"/>
        <v>10</v>
      </c>
      <c r="E137" s="124">
        <v>8.34</v>
      </c>
      <c r="F137" s="124">
        <v>1.69</v>
      </c>
      <c r="G137" s="152">
        <v>50.1</v>
      </c>
      <c r="H137" s="152">
        <v>0</v>
      </c>
      <c r="I137" s="152">
        <v>8.58</v>
      </c>
      <c r="J137" s="152">
        <v>0</v>
      </c>
      <c r="K137" s="152">
        <v>0</v>
      </c>
      <c r="L137" s="152">
        <v>0</v>
      </c>
      <c r="M137" s="152">
        <v>0</v>
      </c>
      <c r="N137" s="152">
        <v>0</v>
      </c>
      <c r="O137" s="152">
        <v>0</v>
      </c>
      <c r="P137" s="152">
        <v>0</v>
      </c>
      <c r="Q137" s="152">
        <v>0</v>
      </c>
      <c r="R137" s="152">
        <v>16.07</v>
      </c>
      <c r="S137" s="152">
        <v>0</v>
      </c>
      <c r="T137" s="152">
        <v>9.41</v>
      </c>
      <c r="U137" s="152">
        <v>0</v>
      </c>
      <c r="V137" s="219">
        <v>1.35</v>
      </c>
      <c r="W137" s="219">
        <v>0</v>
      </c>
      <c r="X137" s="219">
        <v>0</v>
      </c>
      <c r="Y137" s="219">
        <v>4.47</v>
      </c>
      <c r="Z137" s="219">
        <v>0</v>
      </c>
      <c r="AA137" s="219">
        <v>0</v>
      </c>
      <c r="AB137" s="219">
        <v>0</v>
      </c>
      <c r="AC137" s="219">
        <v>0</v>
      </c>
      <c r="AD137" s="219">
        <v>0</v>
      </c>
      <c r="AE137" s="242">
        <f t="shared" si="515"/>
        <v>100.00999999999999</v>
      </c>
      <c r="AF137" s="253">
        <f t="shared" ref="AF137:AF148" si="516">G137/SUM($G137:$AD137)</f>
        <v>0.55679039786619255</v>
      </c>
      <c r="AG137" s="253">
        <f t="shared" ref="AG137:AG148" si="517">H137/SUM($G137:$AD137)</f>
        <v>0</v>
      </c>
      <c r="AH137" s="253">
        <f>I137/SUM($G137:$AD137)</f>
        <v>9.5354523227383872E-2</v>
      </c>
      <c r="AI137" s="253">
        <f>J137/SUM($G137:$AD137)</f>
        <v>0</v>
      </c>
      <c r="AJ137" s="253">
        <f t="shared" ref="AJ137:AJ148" si="518">K137/SUM($G137:$AD137)</f>
        <v>0</v>
      </c>
      <c r="AK137" s="253">
        <f t="shared" ref="AK137:AK148" si="519">L137/SUM($G137:$AD137)</f>
        <v>0</v>
      </c>
      <c r="AL137" s="253">
        <f t="shared" ref="AL137:AL148" si="520">M137/SUM($G137:$AD137)</f>
        <v>0</v>
      </c>
      <c r="AM137" s="253">
        <f t="shared" ref="AM137:AM148" si="521">N137/SUM($G137:$AD137)</f>
        <v>0</v>
      </c>
      <c r="AN137" s="253">
        <f t="shared" ref="AN137:AN148" si="522">O137/SUM($G137:$AD137)</f>
        <v>0</v>
      </c>
      <c r="AO137" s="253">
        <f t="shared" ref="AO137:AO148" si="523">P137/SUM($G137:$AD137)</f>
        <v>0</v>
      </c>
      <c r="AP137" s="253">
        <f t="shared" ref="AP137:AP148" si="524">Q137/SUM($G137:$AD137)</f>
        <v>0</v>
      </c>
      <c r="AQ137" s="253">
        <f t="shared" ref="AQ137:AQ148" si="525">R137/SUM($G137:$AD137)</f>
        <v>0.17859524338741944</v>
      </c>
      <c r="AR137" s="253">
        <f t="shared" ref="AR137:AR148" si="526">S137/SUM($G137:$AD137)</f>
        <v>0</v>
      </c>
      <c r="AS137" s="253">
        <f t="shared" ref="AS137:AS148" si="527">T137/SUM($G137:$AD137)</f>
        <v>0.10457879528784175</v>
      </c>
      <c r="AT137" s="253">
        <f t="shared" ref="AT137:AT148" si="528">U137/SUM($G137:$AD137)</f>
        <v>0</v>
      </c>
      <c r="AU137" s="253">
        <f t="shared" ref="AU137:AU148" si="529">V137/SUM($G137:$AD137)</f>
        <v>1.5003334074238723E-2</v>
      </c>
      <c r="AV137" s="253">
        <f t="shared" ref="AV137:AV148" si="530">W137/SUM($G137:$AD137)</f>
        <v>0</v>
      </c>
      <c r="AW137" s="253">
        <f t="shared" ref="AW137:AW148" si="531">X137/SUM($G137:$AD137)</f>
        <v>0</v>
      </c>
      <c r="AX137" s="253">
        <f t="shared" ref="AX137:AX148" si="532">Y137/SUM($G137:$AD137)</f>
        <v>4.9677706156923761E-2</v>
      </c>
      <c r="AY137" s="253">
        <f t="shared" ref="AY137:AY148" si="533">Z137/SUM($G137:$AD137)</f>
        <v>0</v>
      </c>
      <c r="AZ137" s="253">
        <f t="shared" ref="AZ137:AZ148" si="534">AA137/SUM($G137:$AD137)</f>
        <v>0</v>
      </c>
      <c r="BA137" s="253">
        <f t="shared" ref="BA137:BA148" si="535">AB137/SUM($G137:$AD137)</f>
        <v>0</v>
      </c>
      <c r="BB137" s="253">
        <f t="shared" ref="BB137:BB148" si="536">AC137/SUM($G137:$AD137)</f>
        <v>0</v>
      </c>
      <c r="BC137" s="253">
        <f t="shared" ref="BC137:BC148" si="537">AD137/SUM($G137:$AD137)</f>
        <v>0</v>
      </c>
      <c r="BD137" s="254">
        <f t="shared" ref="BD137:BD148" si="538">SUM(AF137:BB137)</f>
        <v>1.0000000000000002</v>
      </c>
      <c r="BE137" s="253">
        <f t="shared" si="502"/>
        <v>0.7941137165862856</v>
      </c>
      <c r="BF137" s="253">
        <f t="shared" si="503"/>
        <v>0.13324462677171792</v>
      </c>
      <c r="BG137" s="253">
        <f t="shared" si="504"/>
        <v>0</v>
      </c>
      <c r="BH137" s="253">
        <f t="shared" si="505"/>
        <v>7.314154581110538E-3</v>
      </c>
      <c r="BI137" s="253">
        <v>0</v>
      </c>
      <c r="BJ137" s="253">
        <f t="shared" si="506"/>
        <v>2.5407410483968729E-3</v>
      </c>
      <c r="BK137" s="253">
        <f t="shared" si="507"/>
        <v>0</v>
      </c>
      <c r="BL137" s="253">
        <f t="shared" si="508"/>
        <v>1.1273172375602282E-2</v>
      </c>
      <c r="BM137" s="253">
        <f t="shared" si="509"/>
        <v>2.11642960629571E-2</v>
      </c>
      <c r="BN137" s="253">
        <f t="shared" si="510"/>
        <v>5.6065040114922635E-4</v>
      </c>
      <c r="BO137" s="253">
        <v>0</v>
      </c>
      <c r="BP137" s="253">
        <f t="shared" si="511"/>
        <v>2.978864217278052E-2</v>
      </c>
      <c r="BQ137" s="253">
        <f t="shared" si="512"/>
        <v>0</v>
      </c>
      <c r="BR137" s="253">
        <f t="shared" si="474"/>
        <v>1</v>
      </c>
      <c r="BS137" s="255">
        <f t="shared" si="475"/>
        <v>80.421862484663166</v>
      </c>
      <c r="BT137" s="246" t="str">
        <f t="shared" si="476"/>
        <v>R8P1EA01</v>
      </c>
      <c r="BU137" s="304">
        <f t="shared" ref="BU137:BU148" si="539">BG137+BH137*1.09</f>
        <v>7.9724284934104862E-3</v>
      </c>
    </row>
    <row r="138" spans="1:73" x14ac:dyDescent="0.2">
      <c r="A138" s="30" t="s">
        <v>480</v>
      </c>
      <c r="B138" s="32">
        <v>20</v>
      </c>
      <c r="C138" s="32">
        <v>35</v>
      </c>
      <c r="D138" s="33">
        <f t="shared" si="399"/>
        <v>27.5</v>
      </c>
      <c r="E138" s="106">
        <v>8.58</v>
      </c>
      <c r="F138" s="106">
        <v>0.96</v>
      </c>
      <c r="G138" s="34">
        <v>35.15</v>
      </c>
      <c r="H138" s="34">
        <v>0</v>
      </c>
      <c r="I138" s="34">
        <v>6.3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14.81</v>
      </c>
      <c r="R138" s="34">
        <v>14.95</v>
      </c>
      <c r="S138" s="34">
        <v>0</v>
      </c>
      <c r="T138" s="34">
        <v>13.05</v>
      </c>
      <c r="U138" s="34">
        <v>0</v>
      </c>
      <c r="V138" s="220">
        <v>2.17</v>
      </c>
      <c r="W138" s="220">
        <v>0</v>
      </c>
      <c r="X138" s="220">
        <v>0</v>
      </c>
      <c r="Y138" s="220">
        <v>4.03</v>
      </c>
      <c r="Z138" s="220">
        <v>0</v>
      </c>
      <c r="AA138" s="220">
        <v>0</v>
      </c>
      <c r="AB138" s="220">
        <v>0</v>
      </c>
      <c r="AC138" s="220">
        <v>0</v>
      </c>
      <c r="AD138" s="220">
        <v>0</v>
      </c>
      <c r="AE138" s="243">
        <f>SUM(E138:AD138)</f>
        <v>100</v>
      </c>
      <c r="AF138" s="238">
        <f t="shared" si="516"/>
        <v>0.38856953349546763</v>
      </c>
      <c r="AG138" s="238">
        <f t="shared" si="517"/>
        <v>0</v>
      </c>
      <c r="AH138" s="253">
        <f t="shared" ref="AH138:AH148" si="540">I138/SUM($G138:$AD138)</f>
        <v>6.9644041565332743E-2</v>
      </c>
      <c r="AI138" s="253">
        <f t="shared" ref="AI138:AI148" si="541">J138/SUM($G138:$AD138)</f>
        <v>0</v>
      </c>
      <c r="AJ138" s="238">
        <f t="shared" si="518"/>
        <v>0</v>
      </c>
      <c r="AK138" s="238">
        <f t="shared" si="519"/>
        <v>0</v>
      </c>
      <c r="AL138" s="238">
        <f t="shared" si="520"/>
        <v>0</v>
      </c>
      <c r="AM138" s="238">
        <f t="shared" si="521"/>
        <v>0</v>
      </c>
      <c r="AN138" s="238">
        <f t="shared" si="522"/>
        <v>0</v>
      </c>
      <c r="AO138" s="238">
        <f t="shared" si="523"/>
        <v>0</v>
      </c>
      <c r="AP138" s="238">
        <f t="shared" si="524"/>
        <v>0.16371877072739335</v>
      </c>
      <c r="AQ138" s="238">
        <f t="shared" si="525"/>
        <v>0.16526641609551182</v>
      </c>
      <c r="AR138" s="238">
        <f t="shared" si="526"/>
        <v>0</v>
      </c>
      <c r="AS138" s="238">
        <f t="shared" si="527"/>
        <v>0.14426265752818929</v>
      </c>
      <c r="AT138" s="238">
        <f t="shared" si="528"/>
        <v>0</v>
      </c>
      <c r="AU138" s="238">
        <f t="shared" si="529"/>
        <v>2.3988503205836835E-2</v>
      </c>
      <c r="AV138" s="238">
        <f t="shared" si="530"/>
        <v>0</v>
      </c>
      <c r="AW138" s="238">
        <f t="shared" si="531"/>
        <v>0</v>
      </c>
      <c r="AX138" s="238">
        <f t="shared" si="532"/>
        <v>4.4550077382268412E-2</v>
      </c>
      <c r="AY138" s="238">
        <f t="shared" si="533"/>
        <v>0</v>
      </c>
      <c r="AZ138" s="238">
        <f t="shared" si="534"/>
        <v>0</v>
      </c>
      <c r="BA138" s="238">
        <f t="shared" si="535"/>
        <v>0</v>
      </c>
      <c r="BB138" s="238">
        <f t="shared" si="536"/>
        <v>0</v>
      </c>
      <c r="BC138" s="238">
        <f t="shared" si="537"/>
        <v>0</v>
      </c>
      <c r="BD138" s="245">
        <f t="shared" si="538"/>
        <v>1</v>
      </c>
      <c r="BE138" s="238">
        <f t="shared" si="502"/>
        <v>0.69761610307438515</v>
      </c>
      <c r="BF138" s="238">
        <f t="shared" si="503"/>
        <v>0.19887880044061956</v>
      </c>
      <c r="BG138" s="238">
        <f t="shared" si="504"/>
        <v>2.5185552421049212E-3</v>
      </c>
      <c r="BH138" s="238">
        <f t="shared" si="505"/>
        <v>1.0237355876423104E-2</v>
      </c>
      <c r="BI138" s="238">
        <v>0</v>
      </c>
      <c r="BJ138" s="238">
        <f t="shared" si="506"/>
        <v>3.5866474518176082E-3</v>
      </c>
      <c r="BK138" s="238">
        <f t="shared" si="507"/>
        <v>0</v>
      </c>
      <c r="BL138" s="238">
        <f>$BL$3*(0.5*AH138/$AH$2)</f>
        <v>8.2335819940856127E-3</v>
      </c>
      <c r="BM138" s="238">
        <f t="shared" si="509"/>
        <v>2.5519321251904644E-2</v>
      </c>
      <c r="BN138" s="238">
        <f t="shared" si="510"/>
        <v>7.7339690700602213E-4</v>
      </c>
      <c r="BO138" s="238">
        <v>0</v>
      </c>
      <c r="BP138" s="238">
        <f t="shared" si="511"/>
        <v>5.2636237761653645E-2</v>
      </c>
      <c r="BQ138" s="238">
        <f t="shared" si="512"/>
        <v>0</v>
      </c>
      <c r="BR138" s="238">
        <f t="shared" si="474"/>
        <v>1.0000000000000002</v>
      </c>
      <c r="BS138" s="249">
        <f t="shared" si="475"/>
        <v>85.490841226241216</v>
      </c>
      <c r="BT138" s="247" t="str">
        <f t="shared" si="476"/>
        <v xml:space="preserve">R8P1EA02 </v>
      </c>
      <c r="BU138" s="261">
        <f t="shared" si="539"/>
        <v>1.3677273147406107E-2</v>
      </c>
    </row>
    <row r="139" spans="1:73" x14ac:dyDescent="0.2">
      <c r="A139" s="30" t="s">
        <v>474</v>
      </c>
      <c r="B139" s="32">
        <v>35</v>
      </c>
      <c r="C139" s="32">
        <v>68</v>
      </c>
      <c r="D139" s="33">
        <f t="shared" si="399"/>
        <v>51.5</v>
      </c>
      <c r="E139" s="106">
        <v>9.16</v>
      </c>
      <c r="F139" s="106">
        <v>1.38</v>
      </c>
      <c r="G139" s="34">
        <v>17.579999999999998</v>
      </c>
      <c r="H139" s="34">
        <v>0</v>
      </c>
      <c r="I139" s="34">
        <v>4.97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5.05</v>
      </c>
      <c r="R139" s="34">
        <v>24.24</v>
      </c>
      <c r="S139" s="34">
        <v>0.03</v>
      </c>
      <c r="T139" s="34">
        <v>28.3</v>
      </c>
      <c r="U139" s="34">
        <v>0</v>
      </c>
      <c r="V139" s="220">
        <v>4.75</v>
      </c>
      <c r="W139" s="220">
        <v>0</v>
      </c>
      <c r="X139" s="220">
        <v>0</v>
      </c>
      <c r="Y139" s="220">
        <v>3.54</v>
      </c>
      <c r="Z139" s="220">
        <v>0</v>
      </c>
      <c r="AA139" s="220">
        <v>0</v>
      </c>
      <c r="AB139" s="220">
        <v>0</v>
      </c>
      <c r="AC139" s="220">
        <v>0</v>
      </c>
      <c r="AD139" s="220">
        <v>0</v>
      </c>
      <c r="AE139" s="243">
        <f t="shared" ref="AE139:AE147" si="542">SUM(E139:AD139)</f>
        <v>99</v>
      </c>
      <c r="AF139" s="238">
        <f t="shared" si="516"/>
        <v>0.1987338910241917</v>
      </c>
      <c r="AG139" s="238">
        <f t="shared" si="517"/>
        <v>0</v>
      </c>
      <c r="AH139" s="253">
        <f t="shared" si="540"/>
        <v>5.6183585801492193E-2</v>
      </c>
      <c r="AI139" s="253">
        <f t="shared" si="541"/>
        <v>0</v>
      </c>
      <c r="AJ139" s="238">
        <f t="shared" si="518"/>
        <v>0</v>
      </c>
      <c r="AK139" s="238">
        <f t="shared" si="519"/>
        <v>0</v>
      </c>
      <c r="AL139" s="238">
        <f t="shared" si="520"/>
        <v>0</v>
      </c>
      <c r="AM139" s="238">
        <f t="shared" si="521"/>
        <v>0</v>
      </c>
      <c r="AN139" s="238">
        <f t="shared" si="522"/>
        <v>0</v>
      </c>
      <c r="AO139" s="238">
        <f t="shared" si="523"/>
        <v>0</v>
      </c>
      <c r="AP139" s="238">
        <f t="shared" si="524"/>
        <v>5.708794935564096E-2</v>
      </c>
      <c r="AQ139" s="238">
        <f t="shared" si="525"/>
        <v>0.2740221569070766</v>
      </c>
      <c r="AR139" s="238">
        <f t="shared" si="526"/>
        <v>3.3913633280578789E-4</v>
      </c>
      <c r="AS139" s="238">
        <f t="shared" si="527"/>
        <v>0.31991860728012661</v>
      </c>
      <c r="AT139" s="238">
        <f t="shared" si="528"/>
        <v>0</v>
      </c>
      <c r="AU139" s="238">
        <f t="shared" si="529"/>
        <v>5.3696586027583086E-2</v>
      </c>
      <c r="AV139" s="238">
        <f t="shared" si="530"/>
        <v>0</v>
      </c>
      <c r="AW139" s="238">
        <f t="shared" si="531"/>
        <v>0</v>
      </c>
      <c r="AX139" s="238">
        <f t="shared" si="532"/>
        <v>4.0018087271082969E-2</v>
      </c>
      <c r="AY139" s="238">
        <f t="shared" si="533"/>
        <v>0</v>
      </c>
      <c r="AZ139" s="238">
        <f t="shared" si="534"/>
        <v>0</v>
      </c>
      <c r="BA139" s="238">
        <f t="shared" si="535"/>
        <v>0</v>
      </c>
      <c r="BB139" s="238">
        <f t="shared" si="536"/>
        <v>0</v>
      </c>
      <c r="BC139" s="238">
        <f t="shared" si="537"/>
        <v>0</v>
      </c>
      <c r="BD139" s="245">
        <f t="shared" si="538"/>
        <v>0.99999999999999978</v>
      </c>
      <c r="BE139" s="238">
        <f t="shared" si="502"/>
        <v>0.59425462637998627</v>
      </c>
      <c r="BF139" s="238">
        <f t="shared" si="503"/>
        <v>0.25763969637571249</v>
      </c>
      <c r="BG139" s="238">
        <f t="shared" si="504"/>
        <v>8.9147346073945911E-4</v>
      </c>
      <c r="BH139" s="238">
        <f t="shared" si="505"/>
        <v>2.2724896772691183E-2</v>
      </c>
      <c r="BI139" s="238">
        <v>0</v>
      </c>
      <c r="BJ139" s="238">
        <f t="shared" si="506"/>
        <v>7.9717791716859918E-3</v>
      </c>
      <c r="BK139" s="238">
        <f t="shared" si="507"/>
        <v>3.1054962968021396E-6</v>
      </c>
      <c r="BL139" s="238">
        <f t="shared" si="508"/>
        <v>6.6422360049908178E-3</v>
      </c>
      <c r="BM139" s="238">
        <f t="shared" si="509"/>
        <v>4.6715443349620855E-2</v>
      </c>
      <c r="BN139" s="238">
        <f t="shared" si="510"/>
        <v>1.7150942981608178E-3</v>
      </c>
      <c r="BO139" s="238">
        <v>0</v>
      </c>
      <c r="BP139" s="238">
        <f t="shared" si="511"/>
        <v>6.1441648690115126E-2</v>
      </c>
      <c r="BQ139" s="238">
        <f t="shared" si="512"/>
        <v>0</v>
      </c>
      <c r="BR139" s="238">
        <f t="shared" si="474"/>
        <v>0.99999999999999989</v>
      </c>
      <c r="BS139" s="249">
        <f t="shared" si="475"/>
        <v>82.842217915404021</v>
      </c>
      <c r="BT139" s="247" t="str">
        <f t="shared" si="476"/>
        <v xml:space="preserve">R8P1EA03 </v>
      </c>
      <c r="BU139" s="261">
        <f t="shared" si="539"/>
        <v>2.5661610942972854E-2</v>
      </c>
    </row>
    <row r="140" spans="1:73" x14ac:dyDescent="0.2">
      <c r="A140" s="30" t="s">
        <v>475</v>
      </c>
      <c r="B140" s="32">
        <v>68</v>
      </c>
      <c r="C140" s="32">
        <v>116</v>
      </c>
      <c r="D140" s="33">
        <f t="shared" si="399"/>
        <v>92</v>
      </c>
      <c r="E140" s="106">
        <v>9.7799999999999994</v>
      </c>
      <c r="F140" s="106">
        <v>1.07</v>
      </c>
      <c r="G140" s="34">
        <v>24.09</v>
      </c>
      <c r="H140" s="34">
        <v>0</v>
      </c>
      <c r="I140" s="34">
        <v>8.68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4.58</v>
      </c>
      <c r="R140" s="34">
        <v>20.46</v>
      </c>
      <c r="S140" s="34">
        <v>0.03</v>
      </c>
      <c r="T140" s="34">
        <v>25.72</v>
      </c>
      <c r="U140" s="34">
        <v>0</v>
      </c>
      <c r="V140" s="220">
        <v>3.8</v>
      </c>
      <c r="W140" s="220">
        <v>0</v>
      </c>
      <c r="X140" s="220">
        <v>0</v>
      </c>
      <c r="Y140" s="220">
        <v>1.81</v>
      </c>
      <c r="Z140" s="220">
        <v>0</v>
      </c>
      <c r="AA140" s="220">
        <v>0</v>
      </c>
      <c r="AB140" s="220">
        <v>0</v>
      </c>
      <c r="AC140" s="220">
        <v>0</v>
      </c>
      <c r="AD140" s="220">
        <v>0</v>
      </c>
      <c r="AE140" s="243">
        <f t="shared" si="542"/>
        <v>100.02</v>
      </c>
      <c r="AF140" s="238">
        <f t="shared" si="516"/>
        <v>0.27015812492990915</v>
      </c>
      <c r="AG140" s="238">
        <f t="shared" si="517"/>
        <v>0</v>
      </c>
      <c r="AH140" s="253">
        <f t="shared" si="540"/>
        <v>9.734215543344174E-2</v>
      </c>
      <c r="AI140" s="253">
        <f t="shared" si="541"/>
        <v>0</v>
      </c>
      <c r="AJ140" s="238">
        <f t="shared" si="518"/>
        <v>0</v>
      </c>
      <c r="AK140" s="238">
        <f t="shared" si="519"/>
        <v>0</v>
      </c>
      <c r="AL140" s="238">
        <f t="shared" si="520"/>
        <v>0</v>
      </c>
      <c r="AM140" s="238">
        <f t="shared" si="521"/>
        <v>0</v>
      </c>
      <c r="AN140" s="238">
        <f t="shared" si="522"/>
        <v>0</v>
      </c>
      <c r="AO140" s="238">
        <f t="shared" si="523"/>
        <v>0</v>
      </c>
      <c r="AP140" s="238">
        <f t="shared" si="524"/>
        <v>5.1362565885387464E-2</v>
      </c>
      <c r="AQ140" s="238">
        <f t="shared" si="525"/>
        <v>0.22944936637882696</v>
      </c>
      <c r="AR140" s="238">
        <f t="shared" si="526"/>
        <v>3.3643602108332396E-4</v>
      </c>
      <c r="AS140" s="238">
        <f t="shared" si="527"/>
        <v>0.28843781540876973</v>
      </c>
      <c r="AT140" s="238">
        <f t="shared" si="528"/>
        <v>0</v>
      </c>
      <c r="AU140" s="238">
        <f t="shared" si="529"/>
        <v>4.2615229337221033E-2</v>
      </c>
      <c r="AV140" s="238">
        <f t="shared" si="530"/>
        <v>0</v>
      </c>
      <c r="AW140" s="238">
        <f t="shared" si="531"/>
        <v>0</v>
      </c>
      <c r="AX140" s="238">
        <f t="shared" si="532"/>
        <v>2.0298306605360548E-2</v>
      </c>
      <c r="AY140" s="238">
        <f t="shared" si="533"/>
        <v>0</v>
      </c>
      <c r="AZ140" s="238">
        <f t="shared" si="534"/>
        <v>0</v>
      </c>
      <c r="BA140" s="238">
        <f t="shared" si="535"/>
        <v>0</v>
      </c>
      <c r="BB140" s="238">
        <f t="shared" si="536"/>
        <v>0</v>
      </c>
      <c r="BC140" s="238">
        <f t="shared" si="537"/>
        <v>0</v>
      </c>
      <c r="BD140" s="245">
        <f t="shared" si="538"/>
        <v>1</v>
      </c>
      <c r="BE140" s="238">
        <f t="shared" si="502"/>
        <v>0.63738938968740166</v>
      </c>
      <c r="BF140" s="238">
        <f t="shared" si="503"/>
        <v>0.23003158182153785</v>
      </c>
      <c r="BG140" s="238">
        <f t="shared" si="504"/>
        <v>8.0329183725551137E-4</v>
      </c>
      <c r="BH140" s="238">
        <f t="shared" si="505"/>
        <v>2.0228515465751887E-2</v>
      </c>
      <c r="BI140" s="238">
        <v>0</v>
      </c>
      <c r="BJ140" s="238">
        <f t="shared" si="506"/>
        <v>7.0438044598759453E-3</v>
      </c>
      <c r="BK140" s="238">
        <f t="shared" si="507"/>
        <v>3.0807693441192923E-6</v>
      </c>
      <c r="BL140" s="238">
        <f t="shared" si="508"/>
        <v>1.1508157772412007E-2</v>
      </c>
      <c r="BM140" s="238">
        <f t="shared" si="509"/>
        <v>3.8775455323563239E-2</v>
      </c>
      <c r="BN140" s="238">
        <f t="shared" si="510"/>
        <v>1.5463247254898704E-3</v>
      </c>
      <c r="BO140" s="238">
        <v>0</v>
      </c>
      <c r="BP140" s="238">
        <f t="shared" si="511"/>
        <v>5.2670398137367833E-2</v>
      </c>
      <c r="BQ140" s="238">
        <f t="shared" si="512"/>
        <v>0</v>
      </c>
      <c r="BR140" s="238">
        <f t="shared" si="474"/>
        <v>0.99999999999999978</v>
      </c>
      <c r="BS140" s="249">
        <f t="shared" si="475"/>
        <v>82.060857879457529</v>
      </c>
      <c r="BT140" s="247" t="str">
        <f t="shared" si="476"/>
        <v xml:space="preserve">R8P1EA04 </v>
      </c>
      <c r="BU140" s="261">
        <f t="shared" si="539"/>
        <v>2.2852373694925071E-2</v>
      </c>
    </row>
    <row r="141" spans="1:73" x14ac:dyDescent="0.2">
      <c r="A141" s="30" t="s">
        <v>481</v>
      </c>
      <c r="B141" s="32">
        <v>116</v>
      </c>
      <c r="C141" s="32">
        <v>164</v>
      </c>
      <c r="D141" s="33">
        <f t="shared" si="399"/>
        <v>140</v>
      </c>
      <c r="E141" s="106">
        <v>11.47</v>
      </c>
      <c r="F141" s="106">
        <v>1.46</v>
      </c>
      <c r="G141" s="34">
        <v>27.44</v>
      </c>
      <c r="H141" s="34">
        <v>0</v>
      </c>
      <c r="I141" s="34">
        <v>15.22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1.41</v>
      </c>
      <c r="R141" s="34">
        <v>14.66</v>
      </c>
      <c r="S141" s="34">
        <v>0.09</v>
      </c>
      <c r="T141" s="34">
        <v>19.600000000000001</v>
      </c>
      <c r="U141" s="34">
        <v>0</v>
      </c>
      <c r="V141" s="220">
        <v>6.5</v>
      </c>
      <c r="W141" s="220">
        <v>0</v>
      </c>
      <c r="X141" s="220">
        <v>0</v>
      </c>
      <c r="Y141" s="220">
        <v>2.12</v>
      </c>
      <c r="Z141" s="220">
        <v>0</v>
      </c>
      <c r="AA141" s="220">
        <v>0</v>
      </c>
      <c r="AB141" s="220">
        <v>0</v>
      </c>
      <c r="AC141" s="220">
        <v>0</v>
      </c>
      <c r="AD141" s="220">
        <v>0</v>
      </c>
      <c r="AE141" s="243">
        <f t="shared" si="542"/>
        <v>99.97</v>
      </c>
      <c r="AF141" s="238">
        <f t="shared" si="516"/>
        <v>0.31525735294117641</v>
      </c>
      <c r="AG141" s="238">
        <f t="shared" si="517"/>
        <v>0</v>
      </c>
      <c r="AH141" s="253">
        <f t="shared" si="540"/>
        <v>0.17486213235294115</v>
      </c>
      <c r="AI141" s="253">
        <f t="shared" si="541"/>
        <v>0</v>
      </c>
      <c r="AJ141" s="238">
        <f t="shared" si="518"/>
        <v>0</v>
      </c>
      <c r="AK141" s="238">
        <f t="shared" si="519"/>
        <v>0</v>
      </c>
      <c r="AL141" s="238">
        <f t="shared" si="520"/>
        <v>0</v>
      </c>
      <c r="AM141" s="238">
        <f t="shared" si="521"/>
        <v>0</v>
      </c>
      <c r="AN141" s="238">
        <f t="shared" si="522"/>
        <v>0</v>
      </c>
      <c r="AO141" s="238">
        <f t="shared" si="523"/>
        <v>0</v>
      </c>
      <c r="AP141" s="238">
        <f t="shared" si="524"/>
        <v>1.6199448529411759E-2</v>
      </c>
      <c r="AQ141" s="238">
        <f t="shared" si="525"/>
        <v>0.16842830882352938</v>
      </c>
      <c r="AR141" s="238">
        <f t="shared" si="526"/>
        <v>1.0340073529411763E-3</v>
      </c>
      <c r="AS141" s="238">
        <f t="shared" si="527"/>
        <v>0.22518382352941174</v>
      </c>
      <c r="AT141" s="238">
        <f t="shared" si="528"/>
        <v>0</v>
      </c>
      <c r="AU141" s="238">
        <f t="shared" si="529"/>
        <v>7.4678308823529396E-2</v>
      </c>
      <c r="AV141" s="238">
        <f t="shared" si="530"/>
        <v>0</v>
      </c>
      <c r="AW141" s="238">
        <f t="shared" si="531"/>
        <v>0</v>
      </c>
      <c r="AX141" s="238">
        <f t="shared" si="532"/>
        <v>2.435661764705882E-2</v>
      </c>
      <c r="AY141" s="238">
        <f t="shared" si="533"/>
        <v>0</v>
      </c>
      <c r="AZ141" s="238">
        <f t="shared" si="534"/>
        <v>0</v>
      </c>
      <c r="BA141" s="238">
        <f t="shared" si="535"/>
        <v>0</v>
      </c>
      <c r="BB141" s="238">
        <f t="shared" si="536"/>
        <v>0</v>
      </c>
      <c r="BC141" s="238">
        <f t="shared" si="537"/>
        <v>0</v>
      </c>
      <c r="BD141" s="245">
        <f t="shared" si="538"/>
        <v>0.99999999999999978</v>
      </c>
      <c r="BE141" s="238">
        <f t="shared" si="502"/>
        <v>0.68113898155076935</v>
      </c>
      <c r="BF141" s="238">
        <f t="shared" si="503"/>
        <v>0.19770750806501153</v>
      </c>
      <c r="BG141" s="238">
        <f t="shared" si="504"/>
        <v>2.8964824596103641E-4</v>
      </c>
      <c r="BH141" s="238">
        <f t="shared" si="505"/>
        <v>1.7650873490271612E-2</v>
      </c>
      <c r="BI141" s="238">
        <v>0</v>
      </c>
      <c r="BJ141" s="238">
        <f t="shared" si="506"/>
        <v>6.5405787767553996E-3</v>
      </c>
      <c r="BK141" s="238">
        <f t="shared" si="507"/>
        <v>9.4684812413298703E-6</v>
      </c>
      <c r="BL141" s="238">
        <f t="shared" si="508"/>
        <v>2.067286263158603E-2</v>
      </c>
      <c r="BM141" s="238">
        <f t="shared" si="509"/>
        <v>3.6551169039928527E-2</v>
      </c>
      <c r="BN141" s="238">
        <f t="shared" si="510"/>
        <v>1.2072179703982394E-3</v>
      </c>
      <c r="BO141" s="238">
        <v>0</v>
      </c>
      <c r="BP141" s="238">
        <f t="shared" si="511"/>
        <v>3.8231691748076675E-2</v>
      </c>
      <c r="BQ141" s="238">
        <f t="shared" si="512"/>
        <v>0</v>
      </c>
      <c r="BR141" s="238">
        <f t="shared" si="474"/>
        <v>0.99999999999999967</v>
      </c>
      <c r="BS141" s="249">
        <f t="shared" si="475"/>
        <v>77.550296614553361</v>
      </c>
      <c r="BT141" s="247" t="str">
        <f t="shared" si="476"/>
        <v>R8P1EA05</v>
      </c>
      <c r="BU141" s="261">
        <f t="shared" si="539"/>
        <v>1.9529100350357095E-2</v>
      </c>
    </row>
    <row r="142" spans="1:73" x14ac:dyDescent="0.2">
      <c r="A142" s="30" t="s">
        <v>477</v>
      </c>
      <c r="B142" s="32">
        <v>164</v>
      </c>
      <c r="C142" s="32">
        <v>215</v>
      </c>
      <c r="D142" s="33">
        <f t="shared" si="399"/>
        <v>189.5</v>
      </c>
      <c r="E142" s="106">
        <v>10.72</v>
      </c>
      <c r="F142" s="106">
        <v>1.87</v>
      </c>
      <c r="G142" s="34">
        <v>33.26</v>
      </c>
      <c r="H142" s="34">
        <v>0</v>
      </c>
      <c r="I142" s="34">
        <v>21.88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0.36</v>
      </c>
      <c r="R142" s="34">
        <v>3.62</v>
      </c>
      <c r="S142" s="34">
        <v>0.05</v>
      </c>
      <c r="T142" s="34">
        <v>13.82</v>
      </c>
      <c r="U142" s="34">
        <v>0</v>
      </c>
      <c r="V142" s="220">
        <v>10.01</v>
      </c>
      <c r="W142" s="220">
        <v>0</v>
      </c>
      <c r="X142" s="220">
        <v>0</v>
      </c>
      <c r="Y142" s="220">
        <v>4.4000000000000004</v>
      </c>
      <c r="Z142" s="220">
        <v>0</v>
      </c>
      <c r="AA142" s="220">
        <v>0</v>
      </c>
      <c r="AB142" s="220">
        <v>0</v>
      </c>
      <c r="AC142" s="220">
        <v>0</v>
      </c>
      <c r="AD142" s="220">
        <v>0</v>
      </c>
      <c r="AE142" s="243">
        <f t="shared" si="542"/>
        <v>99.99</v>
      </c>
      <c r="AF142" s="238">
        <f t="shared" si="516"/>
        <v>0.38054919908466817</v>
      </c>
      <c r="AG142" s="238">
        <f t="shared" si="517"/>
        <v>0</v>
      </c>
      <c r="AH142" s="253">
        <f t="shared" si="540"/>
        <v>0.25034324942791758</v>
      </c>
      <c r="AI142" s="253">
        <f t="shared" si="541"/>
        <v>0</v>
      </c>
      <c r="AJ142" s="238">
        <f t="shared" si="518"/>
        <v>0</v>
      </c>
      <c r="AK142" s="238">
        <f t="shared" si="519"/>
        <v>0</v>
      </c>
      <c r="AL142" s="238">
        <f t="shared" si="520"/>
        <v>0</v>
      </c>
      <c r="AM142" s="238">
        <f t="shared" si="521"/>
        <v>0</v>
      </c>
      <c r="AN142" s="238">
        <f t="shared" si="522"/>
        <v>0</v>
      </c>
      <c r="AO142" s="238">
        <f t="shared" si="523"/>
        <v>0</v>
      </c>
      <c r="AP142" s="238">
        <f t="shared" si="524"/>
        <v>4.1189931350114409E-3</v>
      </c>
      <c r="AQ142" s="238">
        <f t="shared" si="525"/>
        <v>4.1418764302059492E-2</v>
      </c>
      <c r="AR142" s="238">
        <f t="shared" si="526"/>
        <v>5.7208237986270023E-4</v>
      </c>
      <c r="AS142" s="238">
        <f t="shared" si="527"/>
        <v>0.15812356979405034</v>
      </c>
      <c r="AT142" s="238">
        <f t="shared" si="528"/>
        <v>0</v>
      </c>
      <c r="AU142" s="238">
        <f t="shared" si="529"/>
        <v>0.11453089244851257</v>
      </c>
      <c r="AV142" s="238">
        <f t="shared" si="530"/>
        <v>0</v>
      </c>
      <c r="AW142" s="238">
        <f t="shared" si="531"/>
        <v>0</v>
      </c>
      <c r="AX142" s="238">
        <f t="shared" si="532"/>
        <v>5.0343249427917618E-2</v>
      </c>
      <c r="AY142" s="238">
        <f t="shared" si="533"/>
        <v>0</v>
      </c>
      <c r="AZ142" s="238">
        <f t="shared" si="534"/>
        <v>0</v>
      </c>
      <c r="BA142" s="238">
        <f t="shared" si="535"/>
        <v>0</v>
      </c>
      <c r="BB142" s="238">
        <f t="shared" si="536"/>
        <v>0</v>
      </c>
      <c r="BC142" s="238">
        <f t="shared" si="537"/>
        <v>0</v>
      </c>
      <c r="BD142" s="245">
        <f t="shared" si="538"/>
        <v>0.99999999999999978</v>
      </c>
      <c r="BE142" s="238">
        <f t="shared" si="502"/>
        <v>0.73965474264520581</v>
      </c>
      <c r="BF142" s="238">
        <f t="shared" si="503"/>
        <v>0.1521405551600177</v>
      </c>
      <c r="BG142" s="238">
        <f t="shared" si="504"/>
        <v>8.5741255756793407E-5</v>
      </c>
      <c r="BH142" s="238">
        <f t="shared" si="505"/>
        <v>1.5181130353904025E-2</v>
      </c>
      <c r="BI142" s="238">
        <v>0</v>
      </c>
      <c r="BJ142" s="238">
        <f t="shared" si="506"/>
        <v>6.1328985720973395E-3</v>
      </c>
      <c r="BK142" s="238">
        <f t="shared" si="507"/>
        <v>5.2386003511654715E-6</v>
      </c>
      <c r="BL142" s="238">
        <f t="shared" si="508"/>
        <v>2.9596525768783296E-2</v>
      </c>
      <c r="BM142" s="238">
        <f t="shared" si="509"/>
        <v>3.8496186501310529E-2</v>
      </c>
      <c r="BN142" s="238">
        <f t="shared" si="510"/>
        <v>8.4770571885224826E-4</v>
      </c>
      <c r="BO142" s="238">
        <v>0</v>
      </c>
      <c r="BP142" s="238">
        <f t="shared" si="511"/>
        <v>1.7859275423720948E-2</v>
      </c>
      <c r="BQ142" s="238">
        <f t="shared" si="512"/>
        <v>0</v>
      </c>
      <c r="BR142" s="238">
        <f t="shared" si="474"/>
        <v>0.99999999999999967</v>
      </c>
      <c r="BS142" s="249">
        <f t="shared" si="475"/>
        <v>69.079907007257887</v>
      </c>
      <c r="BT142" s="247" t="str">
        <f t="shared" si="476"/>
        <v>R8P1EA06</v>
      </c>
      <c r="BU142" s="261">
        <f t="shared" si="539"/>
        <v>1.6633173341512184E-2</v>
      </c>
    </row>
    <row r="143" spans="1:73" x14ac:dyDescent="0.2">
      <c r="A143" s="30" t="s">
        <v>478</v>
      </c>
      <c r="B143" s="32">
        <v>215</v>
      </c>
      <c r="C143" s="32">
        <v>275</v>
      </c>
      <c r="D143" s="33">
        <f t="shared" si="399"/>
        <v>245</v>
      </c>
      <c r="E143" s="106">
        <v>12.57</v>
      </c>
      <c r="F143" s="106">
        <v>2.2400000000000002</v>
      </c>
      <c r="G143" s="34">
        <v>31.99</v>
      </c>
      <c r="H143" s="34">
        <v>0</v>
      </c>
      <c r="I143" s="34">
        <v>21.65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0.45</v>
      </c>
      <c r="R143" s="34">
        <v>7.89</v>
      </c>
      <c r="S143" s="34">
        <v>3.13</v>
      </c>
      <c r="T143" s="34">
        <v>12.03</v>
      </c>
      <c r="U143" s="34">
        <v>0</v>
      </c>
      <c r="V143" s="220">
        <v>3.7</v>
      </c>
      <c r="W143" s="220">
        <v>0</v>
      </c>
      <c r="X143" s="220">
        <v>0</v>
      </c>
      <c r="Y143" s="220">
        <v>4.29</v>
      </c>
      <c r="Z143" s="220">
        <v>0</v>
      </c>
      <c r="AA143" s="220">
        <v>0</v>
      </c>
      <c r="AB143" s="220">
        <v>0</v>
      </c>
      <c r="AC143" s="220">
        <v>0</v>
      </c>
      <c r="AD143" s="220">
        <v>0</v>
      </c>
      <c r="AE143" s="243">
        <f t="shared" si="542"/>
        <v>99.94</v>
      </c>
      <c r="AF143" s="238">
        <f t="shared" si="516"/>
        <v>0.37577822154352158</v>
      </c>
      <c r="AG143" s="238">
        <f t="shared" si="517"/>
        <v>0</v>
      </c>
      <c r="AH143" s="253">
        <f t="shared" si="540"/>
        <v>0.25431692705274284</v>
      </c>
      <c r="AI143" s="253">
        <f t="shared" si="541"/>
        <v>0</v>
      </c>
      <c r="AJ143" s="238">
        <f t="shared" si="518"/>
        <v>0</v>
      </c>
      <c r="AK143" s="238">
        <f t="shared" si="519"/>
        <v>0</v>
      </c>
      <c r="AL143" s="238">
        <f t="shared" si="520"/>
        <v>0</v>
      </c>
      <c r="AM143" s="238">
        <f t="shared" si="521"/>
        <v>0</v>
      </c>
      <c r="AN143" s="238">
        <f t="shared" si="522"/>
        <v>0</v>
      </c>
      <c r="AO143" s="238">
        <f t="shared" si="523"/>
        <v>0</v>
      </c>
      <c r="AP143" s="238">
        <f t="shared" si="524"/>
        <v>5.2860331258075882E-3</v>
      </c>
      <c r="AQ143" s="238">
        <f t="shared" si="525"/>
        <v>9.2681780805826369E-2</v>
      </c>
      <c r="AR143" s="238">
        <f t="shared" si="526"/>
        <v>3.6767297075061663E-2</v>
      </c>
      <c r="AS143" s="238">
        <f t="shared" si="527"/>
        <v>0.14131328556325617</v>
      </c>
      <c r="AT143" s="238">
        <f t="shared" si="528"/>
        <v>0</v>
      </c>
      <c r="AU143" s="238">
        <f t="shared" si="529"/>
        <v>4.3462939034417947E-2</v>
      </c>
      <c r="AV143" s="238">
        <f t="shared" si="530"/>
        <v>0</v>
      </c>
      <c r="AW143" s="238">
        <f t="shared" si="531"/>
        <v>0</v>
      </c>
      <c r="AX143" s="238">
        <f t="shared" si="532"/>
        <v>5.0393515799365671E-2</v>
      </c>
      <c r="AY143" s="238">
        <f t="shared" si="533"/>
        <v>0</v>
      </c>
      <c r="AZ143" s="238">
        <f t="shared" si="534"/>
        <v>0</v>
      </c>
      <c r="BA143" s="238">
        <f t="shared" si="535"/>
        <v>0</v>
      </c>
      <c r="BB143" s="238">
        <f t="shared" si="536"/>
        <v>0</v>
      </c>
      <c r="BC143" s="238">
        <f t="shared" si="537"/>
        <v>0</v>
      </c>
      <c r="BD143" s="245">
        <f t="shared" si="538"/>
        <v>0.99999999999999989</v>
      </c>
      <c r="BE143" s="238">
        <f t="shared" si="502"/>
        <v>0.73174951214165862</v>
      </c>
      <c r="BF143" s="238">
        <f t="shared" si="503"/>
        <v>0.16493355880141877</v>
      </c>
      <c r="BG143" s="238">
        <f t="shared" si="504"/>
        <v>1.5194724424066452E-3</v>
      </c>
      <c r="BH143" s="238">
        <f t="shared" si="505"/>
        <v>1.09240948608323E-2</v>
      </c>
      <c r="BI143" s="238">
        <v>0</v>
      </c>
      <c r="BJ143" s="238">
        <f t="shared" si="506"/>
        <v>4.6142228034883629E-3</v>
      </c>
      <c r="BK143" s="238">
        <f t="shared" si="507"/>
        <v>3.3668083854470303E-4</v>
      </c>
      <c r="BL143" s="238">
        <f t="shared" si="508"/>
        <v>3.0066308966407891E-2</v>
      </c>
      <c r="BM143" s="238">
        <f t="shared" si="509"/>
        <v>2.9908041405020482E-2</v>
      </c>
      <c r="BN143" s="238">
        <f t="shared" si="510"/>
        <v>7.5758522576866653E-4</v>
      </c>
      <c r="BO143" s="238">
        <v>0</v>
      </c>
      <c r="BP143" s="238">
        <f t="shared" si="511"/>
        <v>2.5190522514453473E-2</v>
      </c>
      <c r="BQ143" s="238">
        <f t="shared" si="512"/>
        <v>0</v>
      </c>
      <c r="BR143" s="238">
        <f t="shared" si="474"/>
        <v>1</v>
      </c>
      <c r="BS143" s="249">
        <f t="shared" si="475"/>
        <v>73.224204316328823</v>
      </c>
      <c r="BT143" s="247" t="str">
        <f t="shared" si="476"/>
        <v>R8P1EA07</v>
      </c>
      <c r="BU143" s="261">
        <f t="shared" si="539"/>
        <v>1.3426735840713853E-2</v>
      </c>
    </row>
    <row r="144" spans="1:73" x14ac:dyDescent="0.2">
      <c r="A144" s="30" t="s">
        <v>177</v>
      </c>
      <c r="B144" s="36">
        <v>300</v>
      </c>
      <c r="C144" s="36">
        <v>400</v>
      </c>
      <c r="D144" s="33">
        <f t="shared" si="399"/>
        <v>350</v>
      </c>
      <c r="E144" s="106">
        <v>11.16</v>
      </c>
      <c r="F144" s="106">
        <v>1.21</v>
      </c>
      <c r="G144" s="34">
        <v>31.38</v>
      </c>
      <c r="H144" s="34">
        <v>0</v>
      </c>
      <c r="I144" s="34">
        <v>23.9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0.27</v>
      </c>
      <c r="R144" s="34">
        <v>2.95</v>
      </c>
      <c r="S144" s="34">
        <v>0</v>
      </c>
      <c r="T144" s="34">
        <v>25.64</v>
      </c>
      <c r="U144" s="34">
        <v>0</v>
      </c>
      <c r="V144" s="220">
        <v>0.95</v>
      </c>
      <c r="W144" s="220">
        <v>0</v>
      </c>
      <c r="X144" s="220">
        <v>0</v>
      </c>
      <c r="Y144" s="220">
        <v>2.5</v>
      </c>
      <c r="Z144" s="220">
        <v>0</v>
      </c>
      <c r="AA144" s="220">
        <v>0</v>
      </c>
      <c r="AB144" s="220">
        <v>0</v>
      </c>
      <c r="AC144" s="220">
        <v>0</v>
      </c>
      <c r="AD144" s="220">
        <v>0</v>
      </c>
      <c r="AE144" s="243">
        <f t="shared" si="542"/>
        <v>99.960000000000008</v>
      </c>
      <c r="AF144" s="238">
        <f t="shared" si="516"/>
        <v>0.35826007535106741</v>
      </c>
      <c r="AG144" s="238">
        <f t="shared" si="517"/>
        <v>0</v>
      </c>
      <c r="AH144" s="253">
        <f t="shared" si="540"/>
        <v>0.27286219888115076</v>
      </c>
      <c r="AI144" s="253">
        <f t="shared" si="541"/>
        <v>0</v>
      </c>
      <c r="AJ144" s="238">
        <f t="shared" si="518"/>
        <v>0</v>
      </c>
      <c r="AK144" s="238">
        <f t="shared" si="519"/>
        <v>0</v>
      </c>
      <c r="AL144" s="238">
        <f t="shared" si="520"/>
        <v>0</v>
      </c>
      <c r="AM144" s="238">
        <f t="shared" si="521"/>
        <v>0</v>
      </c>
      <c r="AN144" s="238">
        <f t="shared" si="522"/>
        <v>0</v>
      </c>
      <c r="AO144" s="238">
        <f t="shared" si="523"/>
        <v>0</v>
      </c>
      <c r="AP144" s="238">
        <f t="shared" si="524"/>
        <v>3.0825436693686491E-3</v>
      </c>
      <c r="AQ144" s="238">
        <f t="shared" si="525"/>
        <v>3.3679643794953758E-2</v>
      </c>
      <c r="AR144" s="238">
        <f t="shared" si="526"/>
        <v>0</v>
      </c>
      <c r="AS144" s="238">
        <f t="shared" si="527"/>
        <v>0.29272748030597096</v>
      </c>
      <c r="AT144" s="238">
        <f t="shared" si="528"/>
        <v>0</v>
      </c>
      <c r="AU144" s="238">
        <f t="shared" si="529"/>
        <v>1.0845986984815616E-2</v>
      </c>
      <c r="AV144" s="238">
        <f t="shared" si="530"/>
        <v>0</v>
      </c>
      <c r="AW144" s="238">
        <f t="shared" si="531"/>
        <v>0</v>
      </c>
      <c r="AX144" s="238">
        <f t="shared" si="532"/>
        <v>2.8542071012672674E-2</v>
      </c>
      <c r="AY144" s="238">
        <f t="shared" si="533"/>
        <v>0</v>
      </c>
      <c r="AZ144" s="238">
        <f t="shared" si="534"/>
        <v>0</v>
      </c>
      <c r="BA144" s="238">
        <f t="shared" si="535"/>
        <v>0</v>
      </c>
      <c r="BB144" s="238">
        <f t="shared" si="536"/>
        <v>0</v>
      </c>
      <c r="BC144" s="238">
        <f t="shared" si="537"/>
        <v>0</v>
      </c>
      <c r="BD144" s="245">
        <f t="shared" si="538"/>
        <v>1</v>
      </c>
      <c r="BE144" s="238">
        <f t="shared" si="502"/>
        <v>0.72341002975220314</v>
      </c>
      <c r="BF144" s="238">
        <f t="shared" si="503"/>
        <v>0.16298963917751572</v>
      </c>
      <c r="BG144" s="238">
        <f t="shared" si="504"/>
        <v>4.7420075798350442E-5</v>
      </c>
      <c r="BH144" s="238">
        <f t="shared" si="505"/>
        <v>1.9075086745076509E-2</v>
      </c>
      <c r="BI144" s="238">
        <v>0</v>
      </c>
      <c r="BJ144" s="238">
        <f t="shared" si="506"/>
        <v>6.3379016513651779E-3</v>
      </c>
      <c r="BK144" s="238">
        <f t="shared" si="507"/>
        <v>0</v>
      </c>
      <c r="BL144" s="238">
        <f t="shared" si="508"/>
        <v>3.2258801141902348E-2</v>
      </c>
      <c r="BM144" s="238">
        <f t="shared" si="509"/>
        <v>3.6920103045337008E-2</v>
      </c>
      <c r="BN144" s="238">
        <f t="shared" si="510"/>
        <v>1.5693217617321804E-3</v>
      </c>
      <c r="BO144" s="238">
        <v>0</v>
      </c>
      <c r="BP144" s="238">
        <f t="shared" si="511"/>
        <v>1.7391696649069175E-2</v>
      </c>
      <c r="BQ144" s="238">
        <f t="shared" si="512"/>
        <v>0</v>
      </c>
      <c r="BR144" s="238">
        <f t="shared" si="474"/>
        <v>0.99999999999999967</v>
      </c>
      <c r="BS144" s="249">
        <f t="shared" si="475"/>
        <v>70.203153629407126</v>
      </c>
      <c r="BT144" s="247" t="str">
        <f t="shared" si="476"/>
        <v xml:space="preserve">R8P1EA08 </v>
      </c>
      <c r="BU144" s="261">
        <f t="shared" si="539"/>
        <v>2.0839264627931745E-2</v>
      </c>
    </row>
    <row r="145" spans="1:73" x14ac:dyDescent="0.2">
      <c r="A145" s="30" t="s">
        <v>178</v>
      </c>
      <c r="B145" s="36">
        <v>400</v>
      </c>
      <c r="C145" s="36">
        <v>500</v>
      </c>
      <c r="D145" s="33">
        <f t="shared" si="399"/>
        <v>450</v>
      </c>
      <c r="E145" s="106">
        <v>10.48</v>
      </c>
      <c r="F145" s="106">
        <v>0.01</v>
      </c>
      <c r="G145" s="34">
        <v>31.54</v>
      </c>
      <c r="H145" s="34">
        <v>0</v>
      </c>
      <c r="I145" s="34">
        <v>25.5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0.65</v>
      </c>
      <c r="S145" s="34">
        <v>0</v>
      </c>
      <c r="T145" s="34">
        <v>25.84</v>
      </c>
      <c r="U145" s="34">
        <v>0</v>
      </c>
      <c r="V145" s="220">
        <v>3.33</v>
      </c>
      <c r="W145" s="220">
        <v>0</v>
      </c>
      <c r="X145" s="220">
        <v>0</v>
      </c>
      <c r="Y145" s="220">
        <v>2.56</v>
      </c>
      <c r="Z145" s="220">
        <v>0</v>
      </c>
      <c r="AA145" s="220">
        <v>0</v>
      </c>
      <c r="AB145" s="220">
        <v>0</v>
      </c>
      <c r="AC145" s="220">
        <v>0</v>
      </c>
      <c r="AD145" s="220">
        <v>0</v>
      </c>
      <c r="AE145" s="243">
        <f t="shared" si="542"/>
        <v>99.910000000000011</v>
      </c>
      <c r="AF145" s="238">
        <f t="shared" si="516"/>
        <v>0.35271751286065756</v>
      </c>
      <c r="AG145" s="238">
        <f t="shared" si="517"/>
        <v>0</v>
      </c>
      <c r="AH145" s="253">
        <f t="shared" si="540"/>
        <v>0.28517110266159695</v>
      </c>
      <c r="AI145" s="253">
        <f t="shared" si="541"/>
        <v>0</v>
      </c>
      <c r="AJ145" s="238">
        <f t="shared" si="518"/>
        <v>0</v>
      </c>
      <c r="AK145" s="238">
        <f t="shared" si="519"/>
        <v>0</v>
      </c>
      <c r="AL145" s="238">
        <f t="shared" si="520"/>
        <v>0</v>
      </c>
      <c r="AM145" s="238">
        <f t="shared" si="521"/>
        <v>0</v>
      </c>
      <c r="AN145" s="238">
        <f t="shared" si="522"/>
        <v>0</v>
      </c>
      <c r="AO145" s="238">
        <f t="shared" si="523"/>
        <v>0</v>
      </c>
      <c r="AP145" s="238">
        <f t="shared" si="524"/>
        <v>0</v>
      </c>
      <c r="AQ145" s="238">
        <f t="shared" si="525"/>
        <v>7.2690673227465896E-3</v>
      </c>
      <c r="AR145" s="238">
        <f t="shared" si="526"/>
        <v>0</v>
      </c>
      <c r="AS145" s="238">
        <f t="shared" si="527"/>
        <v>0.28897338403041822</v>
      </c>
      <c r="AT145" s="238">
        <f t="shared" si="528"/>
        <v>0</v>
      </c>
      <c r="AU145" s="238">
        <f t="shared" si="529"/>
        <v>3.7239991053455601E-2</v>
      </c>
      <c r="AV145" s="238">
        <f t="shared" si="530"/>
        <v>0</v>
      </c>
      <c r="AW145" s="238">
        <f t="shared" si="531"/>
        <v>0</v>
      </c>
      <c r="AX145" s="238">
        <f t="shared" si="532"/>
        <v>2.8628942071125027E-2</v>
      </c>
      <c r="AY145" s="238">
        <f t="shared" si="533"/>
        <v>0</v>
      </c>
      <c r="AZ145" s="238">
        <f t="shared" si="534"/>
        <v>0</v>
      </c>
      <c r="BA145" s="238">
        <f t="shared" si="535"/>
        <v>0</v>
      </c>
      <c r="BB145" s="238">
        <f t="shared" si="536"/>
        <v>0</v>
      </c>
      <c r="BC145" s="238">
        <f t="shared" si="537"/>
        <v>0</v>
      </c>
      <c r="BD145" s="245">
        <f t="shared" si="538"/>
        <v>0.99999999999999978</v>
      </c>
      <c r="BE145" s="238">
        <f t="shared" si="502"/>
        <v>0.72459619548091736</v>
      </c>
      <c r="BF145" s="238">
        <f t="shared" si="503"/>
        <v>0.15929865813295019</v>
      </c>
      <c r="BG145" s="238">
        <f t="shared" si="504"/>
        <v>0</v>
      </c>
      <c r="BH145" s="238">
        <f t="shared" si="505"/>
        <v>2.0021280114646406E-2</v>
      </c>
      <c r="BI145" s="238">
        <v>0</v>
      </c>
      <c r="BJ145" s="238">
        <f t="shared" si="506"/>
        <v>6.9158263506636456E-3</v>
      </c>
      <c r="BK145" s="238">
        <f t="shared" si="507"/>
        <v>0</v>
      </c>
      <c r="BL145" s="238">
        <f t="shared" si="508"/>
        <v>3.371400630024373E-2</v>
      </c>
      <c r="BM145" s="238">
        <f t="shared" si="509"/>
        <v>3.9604363943392618E-2</v>
      </c>
      <c r="BN145" s="238">
        <f t="shared" si="510"/>
        <v>1.5491959266903021E-3</v>
      </c>
      <c r="BO145" s="238">
        <v>0</v>
      </c>
      <c r="BP145" s="238">
        <f t="shared" si="511"/>
        <v>1.4300473750495634E-2</v>
      </c>
      <c r="BQ145" s="238">
        <f t="shared" si="512"/>
        <v>0</v>
      </c>
      <c r="BR145" s="238">
        <f t="shared" si="474"/>
        <v>0.99999999999999989</v>
      </c>
      <c r="BS145" s="249">
        <f t="shared" si="475"/>
        <v>68.481082079279105</v>
      </c>
      <c r="BT145" s="247" t="str">
        <f t="shared" si="476"/>
        <v xml:space="preserve">R8P1EA09 </v>
      </c>
      <c r="BU145" s="261">
        <f t="shared" si="539"/>
        <v>2.1823195324964583E-2</v>
      </c>
    </row>
    <row r="146" spans="1:73" x14ac:dyDescent="0.2">
      <c r="A146" s="30" t="s">
        <v>179</v>
      </c>
      <c r="B146" s="36">
        <v>500</v>
      </c>
      <c r="C146" s="36">
        <v>600</v>
      </c>
      <c r="D146" s="33">
        <f t="shared" si="399"/>
        <v>550</v>
      </c>
      <c r="E146" s="106">
        <v>10.09</v>
      </c>
      <c r="F146" s="106">
        <v>1.3</v>
      </c>
      <c r="G146" s="34">
        <v>23.66</v>
      </c>
      <c r="H146" s="34">
        <v>0</v>
      </c>
      <c r="I146" s="34">
        <v>29.16</v>
      </c>
      <c r="J146" s="34">
        <v>4.4800000000000004</v>
      </c>
      <c r="K146" s="34">
        <v>0</v>
      </c>
      <c r="L146" s="34">
        <v>3.99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1.24</v>
      </c>
      <c r="S146" s="34">
        <v>0</v>
      </c>
      <c r="T146" s="34">
        <v>24.03</v>
      </c>
      <c r="U146" s="34">
        <v>0</v>
      </c>
      <c r="V146" s="34">
        <v>0.54</v>
      </c>
      <c r="W146" s="34">
        <v>0</v>
      </c>
      <c r="X146" s="34">
        <v>0</v>
      </c>
      <c r="Y146" s="34">
        <v>1.5</v>
      </c>
      <c r="Z146" s="220">
        <v>0</v>
      </c>
      <c r="AA146" s="220">
        <v>0</v>
      </c>
      <c r="AB146" s="220">
        <v>0</v>
      </c>
      <c r="AC146" s="220">
        <v>0</v>
      </c>
      <c r="AD146" s="220">
        <v>0</v>
      </c>
      <c r="AE146" s="243">
        <f t="shared" si="542"/>
        <v>99.99</v>
      </c>
      <c r="AF146" s="238">
        <f t="shared" si="516"/>
        <v>0.26704288939051918</v>
      </c>
      <c r="AG146" s="238">
        <f t="shared" si="517"/>
        <v>0</v>
      </c>
      <c r="AH146" s="253">
        <f t="shared" si="540"/>
        <v>0.32911963882618506</v>
      </c>
      <c r="AI146" s="253">
        <f t="shared" si="541"/>
        <v>5.0564334085778782E-2</v>
      </c>
      <c r="AJ146" s="238">
        <f t="shared" si="518"/>
        <v>0</v>
      </c>
      <c r="AK146" s="238">
        <f t="shared" si="519"/>
        <v>4.5033860045146722E-2</v>
      </c>
      <c r="AL146" s="238">
        <f t="shared" si="520"/>
        <v>0</v>
      </c>
      <c r="AM146" s="238">
        <f t="shared" si="521"/>
        <v>0</v>
      </c>
      <c r="AN146" s="238">
        <f t="shared" si="522"/>
        <v>0</v>
      </c>
      <c r="AO146" s="238">
        <f t="shared" si="523"/>
        <v>0</v>
      </c>
      <c r="AP146" s="238">
        <f t="shared" si="524"/>
        <v>0</v>
      </c>
      <c r="AQ146" s="238">
        <f t="shared" si="525"/>
        <v>1.3995485327313768E-2</v>
      </c>
      <c r="AR146" s="238">
        <f t="shared" si="526"/>
        <v>0</v>
      </c>
      <c r="AS146" s="238">
        <f t="shared" si="527"/>
        <v>0.27121896162528214</v>
      </c>
      <c r="AT146" s="238">
        <f t="shared" si="528"/>
        <v>0</v>
      </c>
      <c r="AU146" s="238">
        <f t="shared" si="529"/>
        <v>6.0948081264108351E-3</v>
      </c>
      <c r="AV146" s="238">
        <f t="shared" si="530"/>
        <v>0</v>
      </c>
      <c r="AW146" s="238">
        <f t="shared" si="531"/>
        <v>0</v>
      </c>
      <c r="AX146" s="238">
        <f t="shared" si="532"/>
        <v>1.6930022573363429E-2</v>
      </c>
      <c r="AY146" s="238">
        <f t="shared" si="533"/>
        <v>0</v>
      </c>
      <c r="AZ146" s="238">
        <f t="shared" si="534"/>
        <v>0</v>
      </c>
      <c r="BA146" s="238">
        <f t="shared" si="535"/>
        <v>0</v>
      </c>
      <c r="BB146" s="238">
        <f t="shared" si="536"/>
        <v>0</v>
      </c>
      <c r="BC146" s="238">
        <f t="shared" si="537"/>
        <v>0</v>
      </c>
      <c r="BD146" s="245">
        <f t="shared" si="538"/>
        <v>0.99999999999999989</v>
      </c>
      <c r="BE146" s="238">
        <f t="shared" si="502"/>
        <v>0.68496716958122161</v>
      </c>
      <c r="BF146" s="238">
        <f t="shared" si="503"/>
        <v>0.17653680951315073</v>
      </c>
      <c r="BG146" s="238">
        <f t="shared" si="504"/>
        <v>0</v>
      </c>
      <c r="BH146" s="238">
        <f t="shared" si="505"/>
        <v>2.5417957380716682E-2</v>
      </c>
      <c r="BI146" s="238">
        <v>0</v>
      </c>
      <c r="BJ146" s="238">
        <f t="shared" si="506"/>
        <v>1.0159315186481744E-2</v>
      </c>
      <c r="BK146" s="238">
        <f t="shared" si="507"/>
        <v>1.6296276358127137E-2</v>
      </c>
      <c r="BL146" s="238">
        <f t="shared" si="508"/>
        <v>3.8909768463065937E-2</v>
      </c>
      <c r="BM146" s="238">
        <f t="shared" si="509"/>
        <v>3.2137794512202639E-2</v>
      </c>
      <c r="BN146" s="238">
        <f t="shared" si="510"/>
        <v>1.454013877440117E-3</v>
      </c>
      <c r="BO146" s="238">
        <v>0</v>
      </c>
      <c r="BP146" s="238">
        <f t="shared" si="511"/>
        <v>1.4120895127593217E-2</v>
      </c>
      <c r="BQ146" s="238">
        <f t="shared" si="512"/>
        <v>0</v>
      </c>
      <c r="BR146" s="238">
        <f t="shared" si="474"/>
        <v>0.99999999999999989</v>
      </c>
      <c r="BS146" s="249">
        <f t="shared" si="475"/>
        <v>66.900248383052727</v>
      </c>
      <c r="BT146" s="247" t="str">
        <f t="shared" si="476"/>
        <v xml:space="preserve">R8P1EA10 </v>
      </c>
      <c r="BU146" s="261">
        <f t="shared" si="539"/>
        <v>2.7705573544981186E-2</v>
      </c>
    </row>
    <row r="147" spans="1:73" x14ac:dyDescent="0.2">
      <c r="A147" s="30" t="s">
        <v>180</v>
      </c>
      <c r="B147" s="36">
        <v>600</v>
      </c>
      <c r="C147" s="36">
        <v>700</v>
      </c>
      <c r="D147" s="33">
        <f t="shared" si="399"/>
        <v>650</v>
      </c>
      <c r="E147" s="106">
        <v>9.74</v>
      </c>
      <c r="F147" s="106">
        <v>1.7</v>
      </c>
      <c r="G147" s="34">
        <v>30.14</v>
      </c>
      <c r="H147" s="34">
        <v>0</v>
      </c>
      <c r="I147" s="34">
        <v>26.09</v>
      </c>
      <c r="J147" s="34">
        <v>6.19</v>
      </c>
      <c r="K147" s="34">
        <v>0</v>
      </c>
      <c r="L147" s="34">
        <v>1.38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0.67</v>
      </c>
      <c r="S147" s="34">
        <v>0</v>
      </c>
      <c r="T147" s="34">
        <v>21.72</v>
      </c>
      <c r="U147" s="34">
        <v>0</v>
      </c>
      <c r="V147" s="220">
        <v>0.5</v>
      </c>
      <c r="W147" s="220">
        <v>0</v>
      </c>
      <c r="X147" s="220">
        <v>0</v>
      </c>
      <c r="Y147" s="220">
        <v>1.84</v>
      </c>
      <c r="Z147" s="220">
        <v>0</v>
      </c>
      <c r="AA147" s="220">
        <v>0</v>
      </c>
      <c r="AB147" s="220">
        <v>0</v>
      </c>
      <c r="AC147" s="220">
        <v>0</v>
      </c>
      <c r="AD147" s="220">
        <v>0</v>
      </c>
      <c r="AE147" s="243">
        <f t="shared" si="542"/>
        <v>99.97</v>
      </c>
      <c r="AF147" s="238">
        <f t="shared" si="516"/>
        <v>0.34044956511916863</v>
      </c>
      <c r="AG147" s="238">
        <f t="shared" si="517"/>
        <v>0</v>
      </c>
      <c r="AH147" s="253">
        <f t="shared" si="540"/>
        <v>0.2947023607816559</v>
      </c>
      <c r="AI147" s="253">
        <f t="shared" si="541"/>
        <v>6.9919801197334236E-2</v>
      </c>
      <c r="AJ147" s="238">
        <f t="shared" si="518"/>
        <v>0</v>
      </c>
      <c r="AK147" s="238">
        <f t="shared" si="519"/>
        <v>1.5587936292782106E-2</v>
      </c>
      <c r="AL147" s="238">
        <f t="shared" si="520"/>
        <v>0</v>
      </c>
      <c r="AM147" s="238">
        <f t="shared" si="521"/>
        <v>0</v>
      </c>
      <c r="AN147" s="238">
        <f t="shared" si="522"/>
        <v>0</v>
      </c>
      <c r="AO147" s="238">
        <f t="shared" si="523"/>
        <v>0</v>
      </c>
      <c r="AP147" s="238">
        <f t="shared" si="524"/>
        <v>0</v>
      </c>
      <c r="AQ147" s="238">
        <f t="shared" si="525"/>
        <v>7.5680560262058067E-3</v>
      </c>
      <c r="AR147" s="238">
        <f t="shared" si="526"/>
        <v>0</v>
      </c>
      <c r="AS147" s="238">
        <f t="shared" si="527"/>
        <v>0.24534056252117925</v>
      </c>
      <c r="AT147" s="238">
        <f t="shared" si="528"/>
        <v>0</v>
      </c>
      <c r="AU147" s="238">
        <f t="shared" si="529"/>
        <v>5.6478030046311981E-3</v>
      </c>
      <c r="AV147" s="238">
        <f t="shared" si="530"/>
        <v>0</v>
      </c>
      <c r="AW147" s="238">
        <f t="shared" si="531"/>
        <v>0</v>
      </c>
      <c r="AX147" s="238">
        <f t="shared" si="532"/>
        <v>2.0783915057042811E-2</v>
      </c>
      <c r="AY147" s="238">
        <f t="shared" si="533"/>
        <v>0</v>
      </c>
      <c r="AZ147" s="238">
        <f t="shared" si="534"/>
        <v>0</v>
      </c>
      <c r="BA147" s="238">
        <f t="shared" si="535"/>
        <v>0</v>
      </c>
      <c r="BB147" s="238">
        <f t="shared" si="536"/>
        <v>0</v>
      </c>
      <c r="BC147" s="238">
        <f t="shared" si="537"/>
        <v>0</v>
      </c>
      <c r="BD147" s="245">
        <f t="shared" si="538"/>
        <v>0.99999999999999978</v>
      </c>
      <c r="BE147" s="238">
        <f t="shared" si="502"/>
        <v>0.71533547063478331</v>
      </c>
      <c r="BF147" s="238">
        <f t="shared" si="503"/>
        <v>0.1654459735311993</v>
      </c>
      <c r="BG147" s="238">
        <f t="shared" si="504"/>
        <v>0</v>
      </c>
      <c r="BH147" s="238">
        <f t="shared" si="505"/>
        <v>1.8574774502320236E-2</v>
      </c>
      <c r="BI147" s="238">
        <v>0</v>
      </c>
      <c r="BJ147" s="238">
        <f t="shared" si="506"/>
        <v>6.7443257547528876E-3</v>
      </c>
      <c r="BK147" s="238">
        <f t="shared" si="507"/>
        <v>1.62083960456588E-2</v>
      </c>
      <c r="BL147" s="238">
        <f t="shared" si="508"/>
        <v>3.4840827683300331E-2</v>
      </c>
      <c r="BM147" s="238">
        <f t="shared" si="509"/>
        <v>3.0012650158178566E-2</v>
      </c>
      <c r="BN147" s="238">
        <f t="shared" si="510"/>
        <v>1.3152789188007356E-3</v>
      </c>
      <c r="BO147" s="238">
        <v>0</v>
      </c>
      <c r="BP147" s="238">
        <f t="shared" si="511"/>
        <v>1.1522302771005645E-2</v>
      </c>
      <c r="BQ147" s="238">
        <f t="shared" si="512"/>
        <v>0</v>
      </c>
      <c r="BR147" s="238">
        <f t="shared" si="474"/>
        <v>0.99999999999999989</v>
      </c>
      <c r="BS147" s="249">
        <f t="shared" si="475"/>
        <v>67.115905340907318</v>
      </c>
      <c r="BT147" s="247" t="str">
        <f t="shared" si="476"/>
        <v xml:space="preserve">R8P1EA11 </v>
      </c>
      <c r="BU147" s="261">
        <f t="shared" si="539"/>
        <v>2.0246504207529058E-2</v>
      </c>
    </row>
    <row r="148" spans="1:73" s="157" customFormat="1" ht="16" thickBot="1" x14ac:dyDescent="0.25">
      <c r="A148" s="30" t="s">
        <v>181</v>
      </c>
      <c r="B148" s="163">
        <v>700</v>
      </c>
      <c r="C148" s="163">
        <v>800</v>
      </c>
      <c r="D148" s="155">
        <f t="shared" si="399"/>
        <v>750</v>
      </c>
      <c r="E148" s="134">
        <v>10.6</v>
      </c>
      <c r="F148" s="134">
        <v>1.5</v>
      </c>
      <c r="G148" s="156">
        <v>27.63</v>
      </c>
      <c r="H148" s="156">
        <v>0</v>
      </c>
      <c r="I148" s="156">
        <v>25.33</v>
      </c>
      <c r="J148" s="156">
        <v>7.66</v>
      </c>
      <c r="K148" s="156">
        <v>0</v>
      </c>
      <c r="L148" s="156">
        <v>0</v>
      </c>
      <c r="M148" s="156">
        <v>0</v>
      </c>
      <c r="N148" s="156">
        <v>0</v>
      </c>
      <c r="O148" s="156">
        <v>0</v>
      </c>
      <c r="P148" s="156">
        <v>0</v>
      </c>
      <c r="Q148" s="156">
        <v>0</v>
      </c>
      <c r="R148" s="156">
        <v>0.7</v>
      </c>
      <c r="S148" s="156">
        <v>0</v>
      </c>
      <c r="T148" s="156">
        <v>23.8</v>
      </c>
      <c r="U148" s="156">
        <v>0</v>
      </c>
      <c r="V148" s="221">
        <v>0.4</v>
      </c>
      <c r="W148" s="221">
        <v>0</v>
      </c>
      <c r="X148" s="221">
        <v>0</v>
      </c>
      <c r="Y148" s="221">
        <v>2.36</v>
      </c>
      <c r="Z148" s="221">
        <v>0</v>
      </c>
      <c r="AA148" s="221">
        <v>0</v>
      </c>
      <c r="AB148" s="221">
        <v>0</v>
      </c>
      <c r="AC148" s="221">
        <v>0</v>
      </c>
      <c r="AD148" s="221">
        <v>0</v>
      </c>
      <c r="AE148" s="244">
        <f t="shared" ref="AE148" si="543">SUM(E148:AD148)</f>
        <v>99.98</v>
      </c>
      <c r="AF148" s="250">
        <f t="shared" si="516"/>
        <v>0.31440600819299047</v>
      </c>
      <c r="AG148" s="250">
        <f t="shared" si="517"/>
        <v>0</v>
      </c>
      <c r="AH148" s="253">
        <f t="shared" si="540"/>
        <v>0.28823395539371871</v>
      </c>
      <c r="AI148" s="253">
        <f t="shared" si="541"/>
        <v>8.7164314974965865E-2</v>
      </c>
      <c r="AJ148" s="250">
        <f t="shared" si="518"/>
        <v>0</v>
      </c>
      <c r="AK148" s="250">
        <f t="shared" si="519"/>
        <v>0</v>
      </c>
      <c r="AL148" s="250">
        <f t="shared" si="520"/>
        <v>0</v>
      </c>
      <c r="AM148" s="250">
        <f t="shared" si="521"/>
        <v>0</v>
      </c>
      <c r="AN148" s="250">
        <f t="shared" si="522"/>
        <v>0</v>
      </c>
      <c r="AO148" s="250">
        <f t="shared" si="523"/>
        <v>0</v>
      </c>
      <c r="AP148" s="250">
        <f t="shared" si="524"/>
        <v>0</v>
      </c>
      <c r="AQ148" s="250">
        <f t="shared" si="525"/>
        <v>7.965407373691398E-3</v>
      </c>
      <c r="AR148" s="250">
        <f t="shared" si="526"/>
        <v>0</v>
      </c>
      <c r="AS148" s="250">
        <f t="shared" si="527"/>
        <v>0.27082385070550752</v>
      </c>
      <c r="AT148" s="250">
        <f t="shared" si="528"/>
        <v>0</v>
      </c>
      <c r="AU148" s="250">
        <f t="shared" si="529"/>
        <v>4.5516613563950847E-3</v>
      </c>
      <c r="AV148" s="250">
        <f t="shared" si="530"/>
        <v>0</v>
      </c>
      <c r="AW148" s="250">
        <f t="shared" si="531"/>
        <v>0</v>
      </c>
      <c r="AX148" s="250">
        <f t="shared" si="532"/>
        <v>2.6854802002730997E-2</v>
      </c>
      <c r="AY148" s="250">
        <f t="shared" si="533"/>
        <v>0</v>
      </c>
      <c r="AZ148" s="250">
        <f t="shared" si="534"/>
        <v>0</v>
      </c>
      <c r="BA148" s="250">
        <f t="shared" si="535"/>
        <v>0</v>
      </c>
      <c r="BB148" s="250">
        <f t="shared" si="536"/>
        <v>0</v>
      </c>
      <c r="BC148" s="250">
        <f t="shared" si="537"/>
        <v>0</v>
      </c>
      <c r="BD148" s="251">
        <f t="shared" si="538"/>
        <v>1.0000000000000002</v>
      </c>
      <c r="BE148" s="250">
        <f t="shared" si="502"/>
        <v>0.69979953615790413</v>
      </c>
      <c r="BF148" s="250">
        <f t="shared" si="503"/>
        <v>0.17815783159250304</v>
      </c>
      <c r="BG148" s="250">
        <f t="shared" si="504"/>
        <v>0</v>
      </c>
      <c r="BH148" s="250">
        <f t="shared" si="505"/>
        <v>1.7401704116325179E-2</v>
      </c>
      <c r="BI148" s="250">
        <v>0</v>
      </c>
      <c r="BJ148" s="250">
        <f t="shared" si="506"/>
        <v>5.7274444424782085E-3</v>
      </c>
      <c r="BK148" s="250">
        <f t="shared" si="507"/>
        <v>1.7572748061052121E-2</v>
      </c>
      <c r="BL148" s="250">
        <f t="shared" si="508"/>
        <v>3.4076108334228597E-2</v>
      </c>
      <c r="BM148" s="250">
        <f t="shared" si="509"/>
        <v>3.359674118594648E-2</v>
      </c>
      <c r="BN148" s="250">
        <f t="shared" si="510"/>
        <v>1.4518956746528277E-3</v>
      </c>
      <c r="BO148" s="250">
        <v>0</v>
      </c>
      <c r="BP148" s="250">
        <f t="shared" si="511"/>
        <v>1.2215990434909429E-2</v>
      </c>
      <c r="BQ148" s="250">
        <f t="shared" si="512"/>
        <v>0</v>
      </c>
      <c r="BR148" s="250">
        <f t="shared" si="474"/>
        <v>0.99999999999999989</v>
      </c>
      <c r="BS148" s="252">
        <f t="shared" si="475"/>
        <v>67.636868719350417</v>
      </c>
      <c r="BT148" s="248" t="str">
        <f t="shared" si="476"/>
        <v xml:space="preserve">R8P1EA12 </v>
      </c>
      <c r="BU148" s="261">
        <f t="shared" si="539"/>
        <v>1.8967857486794446E-2</v>
      </c>
    </row>
    <row r="149" spans="1:73" s="161" customFormat="1" x14ac:dyDescent="0.2">
      <c r="A149" s="158" t="s">
        <v>532</v>
      </c>
      <c r="B149" s="159">
        <v>20</v>
      </c>
      <c r="C149" s="159">
        <v>20</v>
      </c>
      <c r="D149" s="159">
        <v>20</v>
      </c>
      <c r="E149" s="124"/>
      <c r="F149" s="124"/>
      <c r="G149" s="160"/>
      <c r="H149" s="160"/>
      <c r="I149" s="219"/>
      <c r="J149" s="219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29"/>
      <c r="W149" s="129"/>
      <c r="X149" s="129"/>
      <c r="Y149" s="129"/>
      <c r="Z149" s="129">
        <v>0</v>
      </c>
      <c r="AA149" s="129">
        <v>0</v>
      </c>
      <c r="AB149" s="129">
        <v>0</v>
      </c>
      <c r="AC149" s="129">
        <v>0</v>
      </c>
      <c r="AD149" s="129">
        <v>0</v>
      </c>
      <c r="AE149" s="189">
        <f t="shared" ref="AE149" si="544">SUM(E149:AD149)</f>
        <v>0</v>
      </c>
      <c r="BD149" s="162"/>
      <c r="BE149" s="161">
        <f t="shared" ref="BE149:BE164" si="545">$BE$3*(AF149/$AF$2+3*AG149/$AG$2+3*AH149/$AH$2+2*AI149/$AI$2+3*AJ149/$AJ$2+AK149*7/$AK$2+AP149*2/$AP$2+2*AQ149/$AQ$2+3.24*AR149/$AR$2+3.47*AS149/$AS$2+2.8*AT149/$AT$2+3.5*AU149/$AU$2+3*AV149/$AV$2+AW149/$AW$2+3*AX149/$AX$2)</f>
        <v>0</v>
      </c>
      <c r="BF149" s="161">
        <f t="shared" ref="BF149:BF164" si="546">$BF$3*(AG149*0.5/$AG$2+AH149*0.5/$AH$2+AI149/$AI$2+AJ149*0.75*0.5/$AJ$2+AK149*0.5/$AK$2+AM149*0.1*0.5/$AM$2+AN149*0.5/$AN$2+AP149*1.95*0.5/$AP$2+AQ149/$AQ$2+AR149*(0.76+1.56+1.45)*0.5/$AR$2+AS149*2.62*0.5/$AS$2+AT149*2.03*0.5/$AT$2+AU149/$AU$2+AV149*1.4*0.5/$AV$2+AW149/$AW$2+0.5*AX149/$AX$2)</f>
        <v>0</v>
      </c>
      <c r="BM149" s="161">
        <f t="shared" ref="BM149:BM164" si="547">$BM$3*(AG149*0.5/$AG$2+AR149*0.41*0.5/$AR$2+AS149*0.5/$AS$2+AT149*0.47*0.5/$AT$2+AU149*0.5/$AU$2+AV149*0.35*0.5/$AV$2+0.5*AX149/$AX$2)</f>
        <v>0</v>
      </c>
      <c r="BU149" s="270"/>
    </row>
    <row r="150" spans="1:73" s="95" customFormat="1" x14ac:dyDescent="0.2">
      <c r="A150" s="92" t="s">
        <v>533</v>
      </c>
      <c r="B150" s="93">
        <v>70</v>
      </c>
      <c r="C150" s="93">
        <v>70</v>
      </c>
      <c r="D150" s="93">
        <v>70</v>
      </c>
      <c r="E150" s="106"/>
      <c r="F150" s="106"/>
      <c r="G150" s="94"/>
      <c r="H150" s="94"/>
      <c r="I150" s="219"/>
      <c r="J150" s="219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69"/>
      <c r="W150" s="69"/>
      <c r="X150" s="69"/>
      <c r="Y150" s="69"/>
      <c r="Z150" s="69">
        <v>0</v>
      </c>
      <c r="AA150" s="69">
        <v>0</v>
      </c>
      <c r="AB150" s="69">
        <v>0</v>
      </c>
      <c r="AC150" s="69">
        <v>0</v>
      </c>
      <c r="AD150" s="69">
        <v>0</v>
      </c>
      <c r="AE150" s="190">
        <f>SUM(E147:AD147)</f>
        <v>99.97</v>
      </c>
      <c r="BD150" s="113"/>
      <c r="BE150" s="95">
        <f t="shared" si="545"/>
        <v>0</v>
      </c>
      <c r="BF150" s="95">
        <f t="shared" si="546"/>
        <v>0</v>
      </c>
      <c r="BM150" s="95">
        <f t="shared" si="547"/>
        <v>0</v>
      </c>
      <c r="BU150" s="271"/>
    </row>
    <row r="151" spans="1:73" s="95" customFormat="1" x14ac:dyDescent="0.2">
      <c r="A151" s="92" t="s">
        <v>534</v>
      </c>
      <c r="B151" s="93">
        <v>120</v>
      </c>
      <c r="C151" s="93">
        <v>120</v>
      </c>
      <c r="D151" s="93">
        <v>120</v>
      </c>
      <c r="E151" s="106"/>
      <c r="F151" s="106"/>
      <c r="G151" s="94"/>
      <c r="H151" s="94"/>
      <c r="I151" s="219"/>
      <c r="J151" s="219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69"/>
      <c r="W151" s="69"/>
      <c r="X151" s="69"/>
      <c r="Y151" s="69"/>
      <c r="Z151" s="69">
        <v>0</v>
      </c>
      <c r="AA151" s="69">
        <v>0</v>
      </c>
      <c r="AB151" s="69">
        <v>0</v>
      </c>
      <c r="AC151" s="69">
        <v>0</v>
      </c>
      <c r="AD151" s="69">
        <v>0</v>
      </c>
      <c r="AE151" s="190">
        <f t="shared" ref="AE151:AE155" si="548">SUM(E148:AD148)</f>
        <v>99.98</v>
      </c>
      <c r="BD151" s="113"/>
      <c r="BE151" s="95">
        <f t="shared" si="545"/>
        <v>0</v>
      </c>
      <c r="BF151" s="95">
        <f t="shared" si="546"/>
        <v>0</v>
      </c>
      <c r="BM151" s="95">
        <f t="shared" si="547"/>
        <v>0</v>
      </c>
      <c r="BU151" s="271"/>
    </row>
    <row r="152" spans="1:73" s="95" customFormat="1" x14ac:dyDescent="0.2">
      <c r="A152" s="92" t="s">
        <v>535</v>
      </c>
      <c r="B152" s="93">
        <v>170</v>
      </c>
      <c r="C152" s="93">
        <v>170</v>
      </c>
      <c r="D152" s="93">
        <v>170</v>
      </c>
      <c r="E152" s="106"/>
      <c r="F152" s="106"/>
      <c r="G152" s="94"/>
      <c r="H152" s="94"/>
      <c r="I152" s="219"/>
      <c r="J152" s="219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69"/>
      <c r="W152" s="69"/>
      <c r="X152" s="69"/>
      <c r="Y152" s="69"/>
      <c r="Z152" s="69">
        <v>0</v>
      </c>
      <c r="AA152" s="69">
        <v>0</v>
      </c>
      <c r="AB152" s="69">
        <v>0</v>
      </c>
      <c r="AC152" s="69">
        <v>0</v>
      </c>
      <c r="AD152" s="69">
        <v>0</v>
      </c>
      <c r="AE152" s="190">
        <f t="shared" si="548"/>
        <v>0</v>
      </c>
      <c r="BD152" s="113"/>
      <c r="BE152" s="95">
        <f t="shared" si="545"/>
        <v>0</v>
      </c>
      <c r="BF152" s="95">
        <f t="shared" si="546"/>
        <v>0</v>
      </c>
      <c r="BM152" s="95">
        <f t="shared" si="547"/>
        <v>0</v>
      </c>
      <c r="BU152" s="271"/>
    </row>
    <row r="153" spans="1:73" s="95" customFormat="1" x14ac:dyDescent="0.2">
      <c r="A153" s="92" t="s">
        <v>535</v>
      </c>
      <c r="B153" s="93">
        <v>170</v>
      </c>
      <c r="C153" s="93">
        <v>170</v>
      </c>
      <c r="D153" s="93">
        <v>170</v>
      </c>
      <c r="E153" s="106"/>
      <c r="F153" s="106"/>
      <c r="G153" s="94"/>
      <c r="H153" s="94"/>
      <c r="I153" s="219"/>
      <c r="J153" s="219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69"/>
      <c r="W153" s="69"/>
      <c r="X153" s="69"/>
      <c r="Y153" s="69"/>
      <c r="Z153" s="69">
        <v>0</v>
      </c>
      <c r="AA153" s="69">
        <v>0</v>
      </c>
      <c r="AB153" s="69">
        <v>0</v>
      </c>
      <c r="AC153" s="69">
        <v>0</v>
      </c>
      <c r="AD153" s="69">
        <v>0</v>
      </c>
      <c r="AE153" s="190">
        <f t="shared" si="548"/>
        <v>0</v>
      </c>
      <c r="BD153" s="113"/>
      <c r="BE153" s="95">
        <f t="shared" si="545"/>
        <v>0</v>
      </c>
      <c r="BF153" s="95">
        <f t="shared" si="546"/>
        <v>0</v>
      </c>
      <c r="BM153" s="95">
        <f t="shared" si="547"/>
        <v>0</v>
      </c>
      <c r="BU153" s="271"/>
    </row>
    <row r="154" spans="1:73" s="95" customFormat="1" x14ac:dyDescent="0.2">
      <c r="A154" s="92" t="s">
        <v>536</v>
      </c>
      <c r="B154" s="93">
        <v>230</v>
      </c>
      <c r="C154" s="93">
        <v>230</v>
      </c>
      <c r="D154" s="93">
        <v>230</v>
      </c>
      <c r="E154" s="106"/>
      <c r="F154" s="106"/>
      <c r="G154" s="94"/>
      <c r="H154" s="94"/>
      <c r="I154" s="219"/>
      <c r="J154" s="219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69"/>
      <c r="W154" s="69"/>
      <c r="X154" s="69"/>
      <c r="Y154" s="69"/>
      <c r="Z154" s="69">
        <v>0</v>
      </c>
      <c r="AA154" s="69">
        <v>0</v>
      </c>
      <c r="AB154" s="69">
        <v>0</v>
      </c>
      <c r="AC154" s="69">
        <v>0</v>
      </c>
      <c r="AD154" s="69">
        <v>0</v>
      </c>
      <c r="AE154" s="190">
        <f t="shared" si="548"/>
        <v>0</v>
      </c>
      <c r="BD154" s="113"/>
      <c r="BE154" s="95">
        <f t="shared" si="545"/>
        <v>0</v>
      </c>
      <c r="BF154" s="95">
        <f t="shared" si="546"/>
        <v>0</v>
      </c>
      <c r="BM154" s="95">
        <f t="shared" si="547"/>
        <v>0</v>
      </c>
      <c r="BU154" s="271"/>
    </row>
    <row r="155" spans="1:73" s="95" customFormat="1" x14ac:dyDescent="0.2">
      <c r="A155" s="92" t="s">
        <v>537</v>
      </c>
      <c r="B155" s="93">
        <v>280</v>
      </c>
      <c r="C155" s="93">
        <v>280</v>
      </c>
      <c r="D155" s="93">
        <v>280</v>
      </c>
      <c r="E155" s="106"/>
      <c r="F155" s="106"/>
      <c r="G155" s="94"/>
      <c r="H155" s="94"/>
      <c r="I155" s="219"/>
      <c r="J155" s="219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69"/>
      <c r="W155" s="69"/>
      <c r="X155" s="69"/>
      <c r="Y155" s="69"/>
      <c r="Z155" s="69">
        <v>0</v>
      </c>
      <c r="AA155" s="69">
        <v>0</v>
      </c>
      <c r="AB155" s="69">
        <v>0</v>
      </c>
      <c r="AC155" s="69">
        <v>0</v>
      </c>
      <c r="AD155" s="69">
        <v>0</v>
      </c>
      <c r="AE155" s="190">
        <f t="shared" si="548"/>
        <v>0</v>
      </c>
      <c r="BD155" s="113"/>
      <c r="BE155" s="95">
        <f t="shared" si="545"/>
        <v>0</v>
      </c>
      <c r="BF155" s="95">
        <f t="shared" si="546"/>
        <v>0</v>
      </c>
      <c r="BM155" s="95">
        <f t="shared" si="547"/>
        <v>0</v>
      </c>
      <c r="BU155" s="271"/>
    </row>
    <row r="156" spans="1:73" s="167" customFormat="1" ht="16" thickBot="1" x14ac:dyDescent="0.25">
      <c r="A156" s="164" t="s">
        <v>538</v>
      </c>
      <c r="B156" s="165">
        <v>340</v>
      </c>
      <c r="C156" s="165">
        <v>340</v>
      </c>
      <c r="D156" s="165">
        <v>340</v>
      </c>
      <c r="E156" s="134"/>
      <c r="F156" s="134"/>
      <c r="G156" s="166"/>
      <c r="H156" s="166"/>
      <c r="I156" s="219"/>
      <c r="J156" s="219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35"/>
      <c r="W156" s="135"/>
      <c r="X156" s="135"/>
      <c r="Y156" s="135"/>
      <c r="Z156" s="135">
        <v>0</v>
      </c>
      <c r="AA156" s="135">
        <v>0</v>
      </c>
      <c r="AB156" s="135">
        <v>0</v>
      </c>
      <c r="AC156" s="135">
        <v>0</v>
      </c>
      <c r="AD156" s="135">
        <v>0</v>
      </c>
      <c r="AE156" s="191">
        <f t="shared" ref="AE156" si="549">SUM(E156:AD156)</f>
        <v>0</v>
      </c>
      <c r="BD156" s="168"/>
      <c r="BE156" s="167">
        <f t="shared" si="545"/>
        <v>0</v>
      </c>
      <c r="BF156" s="167">
        <f t="shared" si="546"/>
        <v>0</v>
      </c>
      <c r="BM156" s="167">
        <f t="shared" si="547"/>
        <v>0</v>
      </c>
      <c r="BU156" s="272"/>
    </row>
    <row r="157" spans="1:73" s="161" customFormat="1" x14ac:dyDescent="0.2">
      <c r="A157" s="158" t="s">
        <v>539</v>
      </c>
      <c r="B157" s="159">
        <v>20</v>
      </c>
      <c r="C157" s="159">
        <v>20</v>
      </c>
      <c r="D157" s="159">
        <v>20</v>
      </c>
      <c r="E157" s="124"/>
      <c r="F157" s="124"/>
      <c r="G157" s="160"/>
      <c r="H157" s="160"/>
      <c r="I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29"/>
      <c r="W157" s="129"/>
      <c r="X157" s="129"/>
      <c r="Y157" s="129"/>
      <c r="Z157" s="129">
        <v>0</v>
      </c>
      <c r="AA157" s="129">
        <v>0</v>
      </c>
      <c r="AB157" s="129">
        <v>0</v>
      </c>
      <c r="AC157" s="129">
        <v>0</v>
      </c>
      <c r="AD157" s="129">
        <v>0</v>
      </c>
      <c r="AE157" s="189">
        <f t="shared" ref="AE157" si="550">SUM(E157:AD157)</f>
        <v>0</v>
      </c>
      <c r="BD157" s="162"/>
      <c r="BE157" s="161">
        <f t="shared" si="545"/>
        <v>0</v>
      </c>
      <c r="BF157" s="161">
        <f t="shared" si="546"/>
        <v>0</v>
      </c>
      <c r="BM157" s="161">
        <f t="shared" si="547"/>
        <v>0</v>
      </c>
      <c r="BU157" s="270"/>
    </row>
    <row r="158" spans="1:73" s="95" customFormat="1" x14ac:dyDescent="0.2">
      <c r="A158" s="92" t="s">
        <v>540</v>
      </c>
      <c r="B158" s="93">
        <v>70</v>
      </c>
      <c r="C158" s="93">
        <v>70</v>
      </c>
      <c r="D158" s="93">
        <v>70</v>
      </c>
      <c r="E158" s="106"/>
      <c r="F158" s="106"/>
      <c r="G158" s="94"/>
      <c r="H158" s="94"/>
      <c r="I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69"/>
      <c r="W158" s="69"/>
      <c r="X158" s="69"/>
      <c r="Y158" s="69"/>
      <c r="Z158" s="69">
        <v>0</v>
      </c>
      <c r="AA158" s="69">
        <v>0</v>
      </c>
      <c r="AB158" s="69">
        <v>0</v>
      </c>
      <c r="AC158" s="69">
        <v>0</v>
      </c>
      <c r="AD158" s="69">
        <v>0</v>
      </c>
      <c r="AE158" s="190">
        <f t="shared" ref="AE158:AE163" si="551">SUM(E155:AD155)</f>
        <v>0</v>
      </c>
      <c r="BD158" s="113"/>
      <c r="BE158" s="95">
        <f t="shared" si="545"/>
        <v>0</v>
      </c>
      <c r="BF158" s="95">
        <f t="shared" si="546"/>
        <v>0</v>
      </c>
      <c r="BM158" s="95">
        <f t="shared" si="547"/>
        <v>0</v>
      </c>
      <c r="BU158" s="271"/>
    </row>
    <row r="159" spans="1:73" s="95" customFormat="1" x14ac:dyDescent="0.2">
      <c r="A159" s="92" t="s">
        <v>541</v>
      </c>
      <c r="B159" s="93">
        <v>120</v>
      </c>
      <c r="C159" s="93">
        <v>120</v>
      </c>
      <c r="D159" s="93">
        <v>120</v>
      </c>
      <c r="E159" s="106"/>
      <c r="F159" s="106"/>
      <c r="G159" s="94"/>
      <c r="H159" s="94"/>
      <c r="I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69"/>
      <c r="W159" s="69"/>
      <c r="X159" s="69"/>
      <c r="Y159" s="69"/>
      <c r="Z159" s="69">
        <v>0</v>
      </c>
      <c r="AA159" s="69">
        <v>0</v>
      </c>
      <c r="AB159" s="69">
        <v>0</v>
      </c>
      <c r="AC159" s="69">
        <v>0</v>
      </c>
      <c r="AD159" s="69">
        <v>0</v>
      </c>
      <c r="AE159" s="190">
        <f t="shared" si="551"/>
        <v>0</v>
      </c>
      <c r="BD159" s="113"/>
      <c r="BE159" s="95">
        <f t="shared" si="545"/>
        <v>0</v>
      </c>
      <c r="BF159" s="95">
        <f t="shared" si="546"/>
        <v>0</v>
      </c>
      <c r="BM159" s="95">
        <f t="shared" si="547"/>
        <v>0</v>
      </c>
      <c r="BU159" s="271"/>
    </row>
    <row r="160" spans="1:73" s="95" customFormat="1" x14ac:dyDescent="0.2">
      <c r="A160" s="92" t="s">
        <v>542</v>
      </c>
      <c r="B160" s="93">
        <v>170</v>
      </c>
      <c r="C160" s="93">
        <v>170</v>
      </c>
      <c r="D160" s="93">
        <v>170</v>
      </c>
      <c r="E160" s="106"/>
      <c r="F160" s="106"/>
      <c r="G160" s="94"/>
      <c r="H160" s="94"/>
      <c r="I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69"/>
      <c r="W160" s="69"/>
      <c r="X160" s="69"/>
      <c r="Y160" s="69"/>
      <c r="Z160" s="69">
        <v>0</v>
      </c>
      <c r="AA160" s="69">
        <v>0</v>
      </c>
      <c r="AB160" s="69">
        <v>0</v>
      </c>
      <c r="AC160" s="69">
        <v>0</v>
      </c>
      <c r="AD160" s="69">
        <v>0</v>
      </c>
      <c r="AE160" s="190">
        <f t="shared" si="551"/>
        <v>0</v>
      </c>
      <c r="BD160" s="113"/>
      <c r="BE160" s="95">
        <f t="shared" si="545"/>
        <v>0</v>
      </c>
      <c r="BF160" s="95">
        <f t="shared" si="546"/>
        <v>0</v>
      </c>
      <c r="BM160" s="95">
        <f t="shared" si="547"/>
        <v>0</v>
      </c>
      <c r="BU160" s="271"/>
    </row>
    <row r="161" spans="1:73" s="95" customFormat="1" x14ac:dyDescent="0.2">
      <c r="A161" s="92" t="s">
        <v>542</v>
      </c>
      <c r="B161" s="93">
        <v>170</v>
      </c>
      <c r="C161" s="93">
        <v>170</v>
      </c>
      <c r="D161" s="93">
        <v>170</v>
      </c>
      <c r="E161" s="106"/>
      <c r="F161" s="106"/>
      <c r="G161" s="94"/>
      <c r="H161" s="94"/>
      <c r="I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69"/>
      <c r="W161" s="69"/>
      <c r="X161" s="69"/>
      <c r="Y161" s="69"/>
      <c r="Z161" s="69">
        <v>0</v>
      </c>
      <c r="AA161" s="69">
        <v>0</v>
      </c>
      <c r="AB161" s="69">
        <v>0</v>
      </c>
      <c r="AC161" s="69">
        <v>0</v>
      </c>
      <c r="AD161" s="69">
        <v>0</v>
      </c>
      <c r="AE161" s="190">
        <f t="shared" si="551"/>
        <v>0</v>
      </c>
      <c r="BD161" s="113"/>
      <c r="BE161" s="95">
        <f t="shared" si="545"/>
        <v>0</v>
      </c>
      <c r="BF161" s="95">
        <f t="shared" si="546"/>
        <v>0</v>
      </c>
      <c r="BM161" s="95">
        <f t="shared" si="547"/>
        <v>0</v>
      </c>
      <c r="BU161" s="271"/>
    </row>
    <row r="162" spans="1:73" s="95" customFormat="1" x14ac:dyDescent="0.2">
      <c r="A162" s="92" t="s">
        <v>543</v>
      </c>
      <c r="B162" s="93">
        <v>230</v>
      </c>
      <c r="C162" s="93">
        <v>230</v>
      </c>
      <c r="D162" s="93">
        <v>230</v>
      </c>
      <c r="E162" s="106"/>
      <c r="F162" s="106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69"/>
      <c r="W162" s="69"/>
      <c r="X162" s="69"/>
      <c r="Y162" s="69"/>
      <c r="Z162" s="69">
        <v>0</v>
      </c>
      <c r="AA162" s="69">
        <v>0</v>
      </c>
      <c r="AB162" s="69">
        <v>0</v>
      </c>
      <c r="AC162" s="69">
        <v>0</v>
      </c>
      <c r="AD162" s="69">
        <v>0</v>
      </c>
      <c r="AE162" s="190">
        <f t="shared" si="551"/>
        <v>0</v>
      </c>
      <c r="BD162" s="113"/>
      <c r="BE162" s="95">
        <f t="shared" si="545"/>
        <v>0</v>
      </c>
      <c r="BF162" s="95">
        <f t="shared" si="546"/>
        <v>0</v>
      </c>
      <c r="BM162" s="95">
        <f t="shared" si="547"/>
        <v>0</v>
      </c>
      <c r="BU162" s="271"/>
    </row>
    <row r="163" spans="1:73" s="95" customFormat="1" x14ac:dyDescent="0.2">
      <c r="A163" s="92" t="s">
        <v>544</v>
      </c>
      <c r="B163" s="93">
        <v>280</v>
      </c>
      <c r="C163" s="93">
        <v>280</v>
      </c>
      <c r="D163" s="93">
        <v>280</v>
      </c>
      <c r="E163" s="106"/>
      <c r="F163" s="106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69"/>
      <c r="W163" s="69"/>
      <c r="X163" s="69"/>
      <c r="Y163" s="69"/>
      <c r="Z163" s="69">
        <v>0</v>
      </c>
      <c r="AA163" s="69">
        <v>0</v>
      </c>
      <c r="AB163" s="69">
        <v>0</v>
      </c>
      <c r="AC163" s="69">
        <v>0</v>
      </c>
      <c r="AD163" s="69">
        <v>0</v>
      </c>
      <c r="AE163" s="190">
        <f t="shared" si="551"/>
        <v>0</v>
      </c>
      <c r="BD163" s="113"/>
      <c r="BE163" s="95">
        <f t="shared" si="545"/>
        <v>0</v>
      </c>
      <c r="BF163" s="95">
        <f t="shared" si="546"/>
        <v>0</v>
      </c>
      <c r="BM163" s="95">
        <f t="shared" si="547"/>
        <v>0</v>
      </c>
      <c r="BU163" s="271"/>
    </row>
    <row r="164" spans="1:73" s="167" customFormat="1" ht="16" thickBot="1" x14ac:dyDescent="0.25">
      <c r="A164" s="164" t="s">
        <v>545</v>
      </c>
      <c r="B164" s="165">
        <v>350</v>
      </c>
      <c r="C164" s="165">
        <v>350</v>
      </c>
      <c r="D164" s="165">
        <v>350</v>
      </c>
      <c r="E164" s="134"/>
      <c r="F164" s="134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35"/>
      <c r="W164" s="135"/>
      <c r="X164" s="135"/>
      <c r="Y164" s="135"/>
      <c r="Z164" s="135">
        <v>0</v>
      </c>
      <c r="AA164" s="135">
        <v>0</v>
      </c>
      <c r="AB164" s="135">
        <v>0</v>
      </c>
      <c r="AC164" s="135">
        <v>0</v>
      </c>
      <c r="AD164" s="135">
        <v>0</v>
      </c>
      <c r="AE164" s="191">
        <f t="shared" ref="AE164" si="552">SUM(E164:AD164)</f>
        <v>0</v>
      </c>
      <c r="BD164" s="168"/>
      <c r="BE164" s="167">
        <f t="shared" si="545"/>
        <v>0</v>
      </c>
      <c r="BF164" s="167">
        <f t="shared" si="546"/>
        <v>0</v>
      </c>
      <c r="BM164" s="167">
        <f t="shared" si="547"/>
        <v>0</v>
      </c>
      <c r="BU164" s="272"/>
    </row>
    <row r="165" spans="1:73" s="172" customFormat="1" x14ac:dyDescent="0.2">
      <c r="A165" s="169" t="s">
        <v>564</v>
      </c>
      <c r="B165" s="170">
        <v>1000</v>
      </c>
      <c r="C165" s="170">
        <v>10000</v>
      </c>
      <c r="D165" s="170">
        <v>1000</v>
      </c>
      <c r="E165" s="124"/>
      <c r="F165" s="124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29"/>
      <c r="W165" s="129"/>
      <c r="X165" s="129"/>
      <c r="Y165" s="129"/>
      <c r="Z165" s="129">
        <v>0</v>
      </c>
      <c r="AA165" s="129">
        <v>0</v>
      </c>
      <c r="AB165" s="129">
        <v>0</v>
      </c>
      <c r="AC165" s="129">
        <v>0</v>
      </c>
      <c r="AD165" s="129">
        <v>0</v>
      </c>
      <c r="AE165" s="192"/>
      <c r="BD165" s="173"/>
      <c r="BU165" s="273"/>
    </row>
    <row r="166" spans="1:73" s="61" customFormat="1" x14ac:dyDescent="0.2">
      <c r="A166" s="57" t="s">
        <v>565</v>
      </c>
      <c r="B166" s="59">
        <v>1000</v>
      </c>
      <c r="C166" s="59">
        <v>10000</v>
      </c>
      <c r="D166" s="59">
        <v>1000</v>
      </c>
      <c r="E166" s="106"/>
      <c r="F166" s="106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9"/>
      <c r="W166" s="69"/>
      <c r="X166" s="69"/>
      <c r="Y166" s="69"/>
      <c r="Z166" s="69">
        <v>0</v>
      </c>
      <c r="AA166" s="69">
        <v>0</v>
      </c>
      <c r="AB166" s="69">
        <v>0</v>
      </c>
      <c r="AC166" s="69">
        <v>0</v>
      </c>
      <c r="AD166" s="69">
        <v>0</v>
      </c>
      <c r="AE166" s="190">
        <f t="shared" ref="AE166:AE169" si="553">SUM(E163:AD163)</f>
        <v>0</v>
      </c>
      <c r="BD166" s="114"/>
      <c r="BU166" s="266"/>
    </row>
    <row r="167" spans="1:73" s="61" customFormat="1" x14ac:dyDescent="0.2">
      <c r="A167" s="57" t="s">
        <v>456</v>
      </c>
      <c r="B167" s="59">
        <v>1000</v>
      </c>
      <c r="C167" s="59">
        <v>10000</v>
      </c>
      <c r="D167" s="59">
        <v>1000</v>
      </c>
      <c r="E167" s="106"/>
      <c r="F167" s="106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9"/>
      <c r="W167" s="69"/>
      <c r="X167" s="69"/>
      <c r="Y167" s="69"/>
      <c r="Z167" s="69">
        <v>0</v>
      </c>
      <c r="AA167" s="69">
        <v>0</v>
      </c>
      <c r="AB167" s="69">
        <v>0</v>
      </c>
      <c r="AC167" s="69">
        <v>0</v>
      </c>
      <c r="AD167" s="69">
        <v>0</v>
      </c>
      <c r="AE167" s="190">
        <f t="shared" si="553"/>
        <v>0</v>
      </c>
      <c r="BD167" s="114"/>
      <c r="BU167" s="266"/>
    </row>
    <row r="168" spans="1:73" s="61" customFormat="1" x14ac:dyDescent="0.2">
      <c r="A168" s="57" t="s">
        <v>465</v>
      </c>
      <c r="B168" s="59">
        <v>1000</v>
      </c>
      <c r="C168" s="59">
        <v>10000</v>
      </c>
      <c r="D168" s="59">
        <v>1000</v>
      </c>
      <c r="E168" s="106"/>
      <c r="F168" s="106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9"/>
      <c r="W168" s="69"/>
      <c r="X168" s="69"/>
      <c r="Y168" s="69"/>
      <c r="Z168" s="69">
        <v>0</v>
      </c>
      <c r="AA168" s="69">
        <v>0</v>
      </c>
      <c r="AB168" s="69">
        <v>0</v>
      </c>
      <c r="AC168" s="69">
        <v>0</v>
      </c>
      <c r="AD168" s="69">
        <v>0</v>
      </c>
      <c r="AE168" s="190">
        <f t="shared" si="553"/>
        <v>0</v>
      </c>
      <c r="BD168" s="114"/>
      <c r="BU168" s="266"/>
    </row>
    <row r="169" spans="1:73" s="61" customFormat="1" x14ac:dyDescent="0.2">
      <c r="A169" s="63" t="s">
        <v>488</v>
      </c>
      <c r="B169" s="59">
        <v>1000</v>
      </c>
      <c r="C169" s="59">
        <v>10000</v>
      </c>
      <c r="D169" s="59">
        <v>1000</v>
      </c>
      <c r="E169" s="106"/>
      <c r="F169" s="106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9"/>
      <c r="W169" s="69"/>
      <c r="X169" s="69"/>
      <c r="Y169" s="69"/>
      <c r="Z169" s="69">
        <v>0</v>
      </c>
      <c r="AA169" s="69">
        <v>0</v>
      </c>
      <c r="AB169" s="69">
        <v>0</v>
      </c>
      <c r="AC169" s="69">
        <v>0</v>
      </c>
      <c r="AD169" s="69">
        <v>0</v>
      </c>
      <c r="AE169" s="190">
        <f t="shared" si="553"/>
        <v>0</v>
      </c>
      <c r="BD169" s="114"/>
      <c r="BU169" s="266"/>
    </row>
    <row r="170" spans="1:73" x14ac:dyDescent="0.2">
      <c r="E170" s="106"/>
      <c r="F170" s="106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69"/>
      <c r="W170" s="69"/>
      <c r="X170" s="69"/>
      <c r="Y170" s="69"/>
      <c r="Z170" s="69">
        <v>0</v>
      </c>
      <c r="AA170" s="69">
        <v>0</v>
      </c>
      <c r="AB170" s="69">
        <v>0</v>
      </c>
      <c r="AC170" s="69">
        <v>0</v>
      </c>
      <c r="AD170" s="69">
        <v>0</v>
      </c>
    </row>
    <row r="171" spans="1:73" x14ac:dyDescent="0.2">
      <c r="E171" s="106"/>
      <c r="F171" s="106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69"/>
      <c r="W171" s="69"/>
      <c r="X171" s="69"/>
      <c r="Y171" s="69"/>
      <c r="Z171" s="69">
        <v>0</v>
      </c>
      <c r="AA171" s="69">
        <v>0</v>
      </c>
      <c r="AB171" s="69">
        <v>0</v>
      </c>
      <c r="AC171" s="69">
        <v>0</v>
      </c>
      <c r="AD171" s="69">
        <v>0</v>
      </c>
    </row>
    <row r="172" spans="1:73" x14ac:dyDescent="0.2">
      <c r="E172" s="106"/>
      <c r="F172" s="106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69"/>
      <c r="W172" s="69"/>
      <c r="X172" s="69"/>
      <c r="Y172" s="69"/>
      <c r="Z172" s="69">
        <v>0</v>
      </c>
      <c r="AA172" s="69">
        <v>0</v>
      </c>
      <c r="AB172" s="69">
        <v>0</v>
      </c>
      <c r="AC172" s="69">
        <v>0</v>
      </c>
      <c r="AD172" s="69">
        <v>0</v>
      </c>
    </row>
    <row r="173" spans="1:73" x14ac:dyDescent="0.2">
      <c r="E173" s="106"/>
      <c r="F173" s="106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69"/>
      <c r="W173" s="69"/>
      <c r="X173" s="69"/>
      <c r="Y173" s="69"/>
      <c r="Z173" s="69">
        <v>0</v>
      </c>
      <c r="AA173" s="69">
        <v>0</v>
      </c>
      <c r="AB173" s="69">
        <v>0</v>
      </c>
      <c r="AC173" s="69">
        <v>0</v>
      </c>
      <c r="AD173" s="69">
        <v>0</v>
      </c>
    </row>
    <row r="174" spans="1:73" x14ac:dyDescent="0.2">
      <c r="E174" s="106"/>
      <c r="F174" s="106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69"/>
      <c r="W174" s="69"/>
      <c r="X174" s="69"/>
      <c r="Y174" s="69"/>
      <c r="Z174" s="69">
        <v>0</v>
      </c>
      <c r="AA174" s="69">
        <v>0</v>
      </c>
      <c r="AB174" s="69">
        <v>0</v>
      </c>
      <c r="AC174" s="69">
        <v>0</v>
      </c>
      <c r="AD174" s="69">
        <v>0</v>
      </c>
    </row>
    <row r="175" spans="1:73" x14ac:dyDescent="0.2">
      <c r="E175" s="106"/>
      <c r="F175" s="106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69"/>
      <c r="W175" s="69"/>
      <c r="X175" s="69"/>
      <c r="Y175" s="69"/>
      <c r="Z175" s="69">
        <v>0</v>
      </c>
      <c r="AA175" s="69">
        <v>0</v>
      </c>
      <c r="AB175" s="69">
        <v>0</v>
      </c>
      <c r="AC175" s="69">
        <v>0</v>
      </c>
      <c r="AD175" s="69">
        <v>0</v>
      </c>
    </row>
    <row r="176" spans="1:73" x14ac:dyDescent="0.2">
      <c r="E176" s="106"/>
      <c r="F176" s="106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69"/>
      <c r="W176" s="69"/>
      <c r="X176" s="69"/>
      <c r="Y176" s="69"/>
      <c r="Z176" s="69">
        <v>0</v>
      </c>
      <c r="AA176" s="69">
        <v>0</v>
      </c>
      <c r="AB176" s="69">
        <v>0</v>
      </c>
      <c r="AC176" s="69">
        <v>0</v>
      </c>
      <c r="AD176" s="69">
        <v>0</v>
      </c>
    </row>
    <row r="177" spans="5:30" x14ac:dyDescent="0.2">
      <c r="E177" s="106"/>
      <c r="F177" s="106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69"/>
      <c r="W177" s="69"/>
      <c r="X177" s="69"/>
      <c r="Y177" s="69"/>
      <c r="Z177" s="69">
        <v>0</v>
      </c>
      <c r="AA177" s="69">
        <v>0</v>
      </c>
      <c r="AB177" s="69">
        <v>0</v>
      </c>
      <c r="AC177" s="69">
        <v>0</v>
      </c>
      <c r="AD177" s="69">
        <v>0</v>
      </c>
    </row>
    <row r="178" spans="5:30" x14ac:dyDescent="0.2">
      <c r="E178" s="106"/>
      <c r="F178" s="106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69"/>
      <c r="W178" s="69"/>
      <c r="X178" s="69"/>
      <c r="Y178" s="69"/>
      <c r="Z178" s="69">
        <v>0</v>
      </c>
      <c r="AA178" s="69">
        <v>0</v>
      </c>
      <c r="AB178" s="69">
        <v>0</v>
      </c>
      <c r="AC178" s="69">
        <v>0</v>
      </c>
      <c r="AD178" s="69">
        <v>0</v>
      </c>
    </row>
    <row r="179" spans="5:30" x14ac:dyDescent="0.2">
      <c r="E179" s="106"/>
      <c r="F179" s="106"/>
      <c r="G179" s="34"/>
      <c r="H179"/>
      <c r="I179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69"/>
      <c r="W179" s="69"/>
      <c r="X179" s="69"/>
      <c r="Y179" s="69"/>
      <c r="Z179" s="69">
        <v>0</v>
      </c>
      <c r="AA179" s="69">
        <v>0</v>
      </c>
      <c r="AB179" s="69">
        <v>0</v>
      </c>
      <c r="AC179" s="69">
        <v>0</v>
      </c>
      <c r="AD179" s="69">
        <v>0</v>
      </c>
    </row>
    <row r="180" spans="5:30" x14ac:dyDescent="0.2">
      <c r="E180" s="106"/>
      <c r="F180" s="106"/>
      <c r="G180" s="34"/>
      <c r="H180"/>
      <c r="I180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69"/>
      <c r="W180" s="69"/>
      <c r="X180" s="69"/>
      <c r="Y180" s="69"/>
      <c r="Z180" s="69">
        <v>0</v>
      </c>
      <c r="AA180" s="69">
        <v>0</v>
      </c>
      <c r="AB180" s="69">
        <v>0</v>
      </c>
      <c r="AC180" s="69">
        <v>0</v>
      </c>
      <c r="AD180" s="69">
        <v>0</v>
      </c>
    </row>
    <row r="181" spans="5:30" x14ac:dyDescent="0.2">
      <c r="E181" s="106"/>
      <c r="F181" s="106"/>
      <c r="G181" s="34"/>
      <c r="H181"/>
      <c r="I181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69"/>
      <c r="W181" s="69"/>
      <c r="X181" s="69"/>
      <c r="Y181" s="69"/>
      <c r="Z181" s="69">
        <v>0</v>
      </c>
      <c r="AA181" s="69">
        <v>0</v>
      </c>
      <c r="AB181" s="69">
        <v>0</v>
      </c>
      <c r="AC181" s="69">
        <v>0</v>
      </c>
      <c r="AD181" s="69">
        <v>0</v>
      </c>
    </row>
    <row r="182" spans="5:30" x14ac:dyDescent="0.2">
      <c r="E182" s="106"/>
      <c r="F182" s="106"/>
      <c r="G182" s="34"/>
      <c r="H182"/>
      <c r="I182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69"/>
      <c r="W182" s="69"/>
      <c r="X182" s="69"/>
      <c r="Y182" s="69"/>
      <c r="Z182" s="69">
        <v>0</v>
      </c>
      <c r="AA182" s="69">
        <v>0</v>
      </c>
      <c r="AB182" s="69">
        <v>0</v>
      </c>
      <c r="AC182" s="69">
        <v>0</v>
      </c>
      <c r="AD182" s="69">
        <v>0</v>
      </c>
    </row>
    <row r="183" spans="5:30" x14ac:dyDescent="0.2">
      <c r="E183" s="106"/>
      <c r="F183" s="106"/>
      <c r="G183" s="34"/>
      <c r="H183"/>
      <c r="I183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69"/>
      <c r="W183" s="69"/>
      <c r="X183" s="69"/>
      <c r="Y183" s="69"/>
      <c r="Z183" s="69">
        <v>0</v>
      </c>
      <c r="AA183" s="69">
        <v>0</v>
      </c>
      <c r="AB183" s="69">
        <v>0</v>
      </c>
      <c r="AC183" s="69">
        <v>0</v>
      </c>
      <c r="AD183" s="69">
        <v>0</v>
      </c>
    </row>
    <row r="184" spans="5:30" x14ac:dyDescent="0.2">
      <c r="E184" s="106"/>
      <c r="F184" s="106"/>
      <c r="G184" s="34"/>
      <c r="H184"/>
      <c r="I18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69"/>
      <c r="W184" s="69"/>
      <c r="X184" s="69"/>
      <c r="Y184" s="69"/>
      <c r="Z184" s="69">
        <v>0</v>
      </c>
      <c r="AA184" s="69">
        <v>0</v>
      </c>
      <c r="AB184" s="69">
        <v>0</v>
      </c>
      <c r="AC184" s="69">
        <v>0</v>
      </c>
      <c r="AD184" s="69">
        <v>0</v>
      </c>
    </row>
    <row r="185" spans="5:30" x14ac:dyDescent="0.2">
      <c r="E185" s="106"/>
      <c r="F185" s="106"/>
      <c r="G185" s="34"/>
      <c r="H185"/>
      <c r="I185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69"/>
      <c r="W185" s="69"/>
      <c r="X185" s="69"/>
      <c r="Y185" s="69"/>
      <c r="Z185" s="69">
        <v>0</v>
      </c>
      <c r="AA185" s="69">
        <v>0</v>
      </c>
      <c r="AB185" s="69">
        <v>0</v>
      </c>
      <c r="AC185" s="69">
        <v>0</v>
      </c>
      <c r="AD185" s="69">
        <v>0</v>
      </c>
    </row>
    <row r="186" spans="5:30" x14ac:dyDescent="0.2">
      <c r="E186" s="106"/>
      <c r="F186" s="106"/>
      <c r="G186" s="34"/>
      <c r="H186"/>
      <c r="I186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69"/>
      <c r="W186" s="69"/>
      <c r="X186" s="69"/>
      <c r="Y186" s="69"/>
      <c r="Z186" s="69">
        <v>0</v>
      </c>
      <c r="AA186" s="69">
        <v>0</v>
      </c>
      <c r="AB186" s="69">
        <v>0</v>
      </c>
      <c r="AC186" s="69">
        <v>0</v>
      </c>
      <c r="AD186" s="69">
        <v>0</v>
      </c>
    </row>
    <row r="187" spans="5:30" x14ac:dyDescent="0.2">
      <c r="E187" s="106"/>
      <c r="F187" s="106"/>
      <c r="G187" s="34"/>
      <c r="H187"/>
      <c r="I187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69"/>
      <c r="W187" s="69"/>
      <c r="X187" s="69"/>
      <c r="Y187" s="69"/>
      <c r="Z187" s="69">
        <v>0</v>
      </c>
      <c r="AA187" s="69">
        <v>0</v>
      </c>
      <c r="AB187" s="69">
        <v>0</v>
      </c>
      <c r="AC187" s="69">
        <v>0</v>
      </c>
      <c r="AD187" s="69">
        <v>0</v>
      </c>
    </row>
    <row r="188" spans="5:30" x14ac:dyDescent="0.2">
      <c r="E188" s="106"/>
      <c r="F188" s="106"/>
      <c r="G188" s="34"/>
      <c r="H188"/>
      <c r="I188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69"/>
      <c r="W188" s="69"/>
      <c r="X188" s="69"/>
      <c r="Y188" s="69"/>
      <c r="Z188" s="69">
        <v>0</v>
      </c>
      <c r="AA188" s="69">
        <v>0</v>
      </c>
      <c r="AB188" s="69">
        <v>0</v>
      </c>
      <c r="AC188" s="69">
        <v>0</v>
      </c>
      <c r="AD188" s="69">
        <v>0</v>
      </c>
    </row>
    <row r="189" spans="5:30" x14ac:dyDescent="0.2">
      <c r="E189" s="106"/>
      <c r="F189" s="106"/>
      <c r="G189" s="34"/>
      <c r="H189"/>
      <c r="I189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69"/>
      <c r="W189" s="69"/>
      <c r="X189" s="69"/>
      <c r="Y189" s="69"/>
      <c r="Z189" s="69">
        <v>0</v>
      </c>
      <c r="AA189" s="69">
        <v>0</v>
      </c>
      <c r="AB189" s="69">
        <v>0</v>
      </c>
      <c r="AC189" s="69">
        <v>0</v>
      </c>
      <c r="AD189" s="69">
        <v>0</v>
      </c>
    </row>
    <row r="190" spans="5:30" x14ac:dyDescent="0.2">
      <c r="E190" s="106"/>
      <c r="F190" s="106"/>
      <c r="G190" s="34"/>
      <c r="H190"/>
      <c r="I190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69"/>
      <c r="W190" s="69"/>
      <c r="X190" s="69"/>
      <c r="Y190" s="69"/>
      <c r="Z190" s="69">
        <v>0</v>
      </c>
      <c r="AA190" s="69">
        <v>0</v>
      </c>
      <c r="AB190" s="69">
        <v>0</v>
      </c>
      <c r="AC190" s="69">
        <v>0</v>
      </c>
      <c r="AD190" s="69">
        <v>0</v>
      </c>
    </row>
    <row r="191" spans="5:30" x14ac:dyDescent="0.2">
      <c r="E191" s="106"/>
      <c r="F191" s="106"/>
      <c r="G191" s="34"/>
      <c r="H191"/>
      <c r="I191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69"/>
      <c r="W191" s="69"/>
      <c r="X191" s="69"/>
      <c r="Y191" s="69"/>
      <c r="Z191" s="69">
        <v>0</v>
      </c>
      <c r="AA191" s="69">
        <v>0</v>
      </c>
      <c r="AB191" s="69">
        <v>0</v>
      </c>
      <c r="AC191" s="69">
        <v>0</v>
      </c>
      <c r="AD191" s="69">
        <v>0</v>
      </c>
    </row>
    <row r="192" spans="5:30" x14ac:dyDescent="0.2">
      <c r="E192" s="106"/>
      <c r="F192" s="106"/>
      <c r="G192" s="34"/>
      <c r="H192"/>
      <c r="I192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69"/>
      <c r="W192" s="69"/>
      <c r="X192" s="69"/>
      <c r="Y192" s="69"/>
      <c r="Z192" s="69">
        <v>0</v>
      </c>
      <c r="AA192" s="69">
        <v>0</v>
      </c>
      <c r="AB192" s="69">
        <v>0</v>
      </c>
      <c r="AC192" s="69">
        <v>0</v>
      </c>
      <c r="AD192" s="69">
        <v>0</v>
      </c>
    </row>
    <row r="193" spans="5:30" x14ac:dyDescent="0.2">
      <c r="E193" s="106"/>
      <c r="F193" s="106"/>
      <c r="G193" s="34"/>
      <c r="H193"/>
      <c r="I193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69"/>
      <c r="W193" s="69"/>
      <c r="X193" s="69"/>
      <c r="Y193" s="69"/>
      <c r="Z193" s="69">
        <v>0</v>
      </c>
      <c r="AA193" s="69">
        <v>0</v>
      </c>
      <c r="AB193" s="69">
        <v>0</v>
      </c>
      <c r="AC193" s="69">
        <v>0</v>
      </c>
      <c r="AD193" s="69">
        <v>0</v>
      </c>
    </row>
    <row r="194" spans="5:30" x14ac:dyDescent="0.2">
      <c r="E194" s="106"/>
      <c r="F194" s="106"/>
      <c r="G194" s="34"/>
      <c r="H194"/>
      <c r="I19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69"/>
      <c r="W194" s="69"/>
      <c r="X194" s="69"/>
      <c r="Y194" s="69"/>
      <c r="Z194" s="69">
        <v>0</v>
      </c>
      <c r="AA194" s="69">
        <v>0</v>
      </c>
      <c r="AB194" s="69">
        <v>0</v>
      </c>
      <c r="AC194" s="69">
        <v>0</v>
      </c>
      <c r="AD194" s="69">
        <v>0</v>
      </c>
    </row>
    <row r="195" spans="5:30" x14ac:dyDescent="0.2">
      <c r="E195" s="106"/>
      <c r="F195" s="106"/>
      <c r="G195" s="34"/>
      <c r="H195"/>
      <c r="I195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</row>
    <row r="196" spans="5:30" x14ac:dyDescent="0.2">
      <c r="E196" s="106"/>
      <c r="F196" s="106"/>
      <c r="G196" s="34"/>
      <c r="H196"/>
      <c r="I196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</row>
    <row r="197" spans="5:30" x14ac:dyDescent="0.2">
      <c r="E197" s="106"/>
      <c r="F197" s="106"/>
      <c r="G197" s="34"/>
      <c r="H197"/>
      <c r="I197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</row>
    <row r="198" spans="5:30" x14ac:dyDescent="0.2">
      <c r="E198" s="106"/>
      <c r="F198" s="106"/>
      <c r="G198" s="34"/>
      <c r="H198"/>
      <c r="I198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</row>
    <row r="199" spans="5:30" x14ac:dyDescent="0.2">
      <c r="E199" s="106"/>
      <c r="F199" s="106"/>
      <c r="G199" s="34"/>
      <c r="H199"/>
      <c r="I199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</row>
    <row r="200" spans="5:30" x14ac:dyDescent="0.2">
      <c r="E200" s="106"/>
      <c r="F200" s="106"/>
      <c r="G200" s="34"/>
      <c r="H200"/>
      <c r="I200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</row>
    <row r="201" spans="5:30" x14ac:dyDescent="0.2">
      <c r="E201" s="106"/>
      <c r="F201" s="106"/>
      <c r="G201" s="34"/>
      <c r="H201"/>
      <c r="I201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</row>
    <row r="202" spans="5:30" x14ac:dyDescent="0.2">
      <c r="E202" s="106"/>
      <c r="F202" s="106"/>
      <c r="G202" s="34"/>
      <c r="H202"/>
      <c r="I202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</row>
    <row r="203" spans="5:30" x14ac:dyDescent="0.2">
      <c r="E203" s="106"/>
      <c r="F203" s="106"/>
      <c r="G203" s="34"/>
      <c r="H203"/>
      <c r="I203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</row>
    <row r="204" spans="5:30" x14ac:dyDescent="0.2">
      <c r="E204" s="106"/>
      <c r="F204" s="106"/>
      <c r="G204" s="34"/>
      <c r="H204"/>
      <c r="I20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</row>
    <row r="205" spans="5:30" x14ac:dyDescent="0.2">
      <c r="E205" s="106"/>
      <c r="F205" s="106"/>
      <c r="G205" s="34"/>
      <c r="H205"/>
      <c r="I205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</row>
    <row r="206" spans="5:30" x14ac:dyDescent="0.2">
      <c r="E206" s="106"/>
      <c r="F206" s="106"/>
      <c r="G206" s="34"/>
      <c r="H206"/>
      <c r="I206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</row>
    <row r="207" spans="5:30" x14ac:dyDescent="0.2">
      <c r="E207" s="106"/>
      <c r="F207" s="106"/>
      <c r="G207" s="34"/>
      <c r="H207"/>
      <c r="I207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</row>
    <row r="208" spans="5:30" x14ac:dyDescent="0.2">
      <c r="E208" s="106"/>
      <c r="F208" s="106"/>
      <c r="G208" s="34"/>
      <c r="H208"/>
      <c r="I208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</row>
    <row r="209" spans="5:30" x14ac:dyDescent="0.2">
      <c r="E209" s="106"/>
      <c r="F209" s="106"/>
      <c r="G209" s="34"/>
      <c r="H209"/>
      <c r="I209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</row>
    <row r="210" spans="5:30" x14ac:dyDescent="0.2">
      <c r="E210" s="106"/>
      <c r="F210" s="106"/>
      <c r="G210" s="34"/>
      <c r="H210"/>
      <c r="I210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</row>
    <row r="211" spans="5:30" x14ac:dyDescent="0.2">
      <c r="E211" s="106"/>
      <c r="F211" s="106"/>
      <c r="G211" s="34"/>
      <c r="H211"/>
      <c r="I211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</row>
    <row r="212" spans="5:30" x14ac:dyDescent="0.2">
      <c r="E212" s="106"/>
      <c r="F212" s="106"/>
      <c r="G212" s="34"/>
      <c r="H212"/>
      <c r="I212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</row>
    <row r="213" spans="5:30" x14ac:dyDescent="0.2">
      <c r="E213" s="106"/>
      <c r="F213" s="106"/>
      <c r="G213" s="34"/>
      <c r="H213"/>
      <c r="I213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</row>
    <row r="214" spans="5:30" x14ac:dyDescent="0.2">
      <c r="E214" s="106"/>
      <c r="F214" s="106"/>
      <c r="G214" s="34"/>
      <c r="H214"/>
      <c r="I21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</row>
    <row r="215" spans="5:30" x14ac:dyDescent="0.2">
      <c r="H215"/>
      <c r="I215"/>
    </row>
    <row r="216" spans="5:30" x14ac:dyDescent="0.2">
      <c r="H216"/>
      <c r="I216"/>
    </row>
    <row r="217" spans="5:30" x14ac:dyDescent="0.2">
      <c r="H217"/>
      <c r="I217"/>
    </row>
    <row r="218" spans="5:30" x14ac:dyDescent="0.2">
      <c r="H218"/>
      <c r="I218"/>
    </row>
    <row r="219" spans="5:30" x14ac:dyDescent="0.2">
      <c r="H219"/>
      <c r="I219"/>
    </row>
    <row r="220" spans="5:30" x14ac:dyDescent="0.2">
      <c r="H220"/>
      <c r="I220"/>
    </row>
    <row r="221" spans="5:30" x14ac:dyDescent="0.2">
      <c r="H221"/>
      <c r="I221"/>
    </row>
    <row r="222" spans="5:30" x14ac:dyDescent="0.2">
      <c r="H222"/>
      <c r="I222"/>
    </row>
    <row r="223" spans="5:30" x14ac:dyDescent="0.2">
      <c r="H223"/>
      <c r="I223"/>
    </row>
    <row r="224" spans="5:30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</sheetData>
  <sheetProtection formatCells="0" formatColumns="0" formatRows="0" insertColumns="0" insertRows="0" insertHyperlinks="0" deleteColumns="0" deleteRows="0" sort="0" autoFilter="0" pivotTables="0"/>
  <pageMargins left="0.51" right="0.51" top="0.51" bottom="0.51" header="0.3" footer="0.3"/>
  <pageSetup orientation="landscape"/>
  <headerFooter>
    <oddHeader>&amp;12&amp;BFinal Report
Activation Laboratories</oddHeader>
    <oddFooter>&amp;C&amp;"Arial,Normal"Page &amp;P of &amp;N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44"/>
  <sheetViews>
    <sheetView topLeftCell="S2" zoomScale="80" zoomScaleNormal="80" zoomScalePageLayoutView="150" workbookViewId="0">
      <selection activeCell="AM25" sqref="AM25:AM36"/>
    </sheetView>
  </sheetViews>
  <sheetFormatPr baseColWidth="10" defaultRowHeight="15" x14ac:dyDescent="0.2"/>
  <cols>
    <col min="1" max="1" width="13.33203125" customWidth="1"/>
    <col min="2" max="2" width="6.5" bestFit="1" customWidth="1"/>
    <col min="3" max="3" width="9.1640625" bestFit="1" customWidth="1"/>
    <col min="4" max="4" width="8.83203125" bestFit="1" customWidth="1"/>
    <col min="5" max="5" width="10.33203125" style="3" bestFit="1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9.1640625" customWidth="1"/>
    <col min="42" max="42" width="8.6640625" customWidth="1"/>
    <col min="43" max="55" width="7" bestFit="1" customWidth="1"/>
    <col min="56" max="56" width="7.33203125" bestFit="1" customWidth="1"/>
    <col min="57" max="62" width="7" bestFit="1" customWidth="1"/>
    <col min="63" max="63" width="11.6640625" bestFit="1" customWidth="1"/>
  </cols>
  <sheetData>
    <row r="1" spans="1:82" x14ac:dyDescent="0.2">
      <c r="A1" s="2" t="s">
        <v>416</v>
      </c>
      <c r="B1" s="2"/>
      <c r="C1" s="2"/>
      <c r="D1" s="2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82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82" x14ac:dyDescent="0.2">
      <c r="A3" s="2" t="s">
        <v>2</v>
      </c>
      <c r="B3" s="2" t="s">
        <v>422</v>
      </c>
      <c r="C3" s="2" t="s">
        <v>426</v>
      </c>
      <c r="D3" s="2" t="s">
        <v>426</v>
      </c>
      <c r="E3" s="4" t="s">
        <v>426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82" x14ac:dyDescent="0.2">
      <c r="A4" s="2" t="s">
        <v>60</v>
      </c>
      <c r="B4" s="2"/>
      <c r="C4" s="2" t="s">
        <v>425</v>
      </c>
      <c r="D4" s="2" t="s">
        <v>425</v>
      </c>
      <c r="E4" s="4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82" ht="21" customHeight="1" x14ac:dyDescent="0.2">
      <c r="A5" s="2" t="s">
        <v>63</v>
      </c>
      <c r="B5" s="2"/>
      <c r="C5" s="2"/>
      <c r="D5" s="2"/>
      <c r="E5" s="4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82" ht="16" thickBot="1" x14ac:dyDescent="0.25">
      <c r="A6" s="19" t="s">
        <v>64</v>
      </c>
      <c r="B6" s="19"/>
      <c r="C6" s="19" t="s">
        <v>423</v>
      </c>
      <c r="D6" s="19" t="s">
        <v>424</v>
      </c>
      <c r="E6" s="20" t="s">
        <v>427</v>
      </c>
      <c r="F6" s="20" t="s">
        <v>65</v>
      </c>
      <c r="G6" s="20" t="s">
        <v>65</v>
      </c>
      <c r="H6" s="20" t="s">
        <v>65</v>
      </c>
      <c r="I6" s="20" t="s">
        <v>65</v>
      </c>
      <c r="J6" s="20" t="s">
        <v>65</v>
      </c>
      <c r="K6" s="20" t="s">
        <v>65</v>
      </c>
      <c r="L6" s="20" t="s">
        <v>65</v>
      </c>
      <c r="M6" s="20" t="s">
        <v>65</v>
      </c>
      <c r="N6" s="20" t="s">
        <v>65</v>
      </c>
      <c r="O6" s="20" t="s">
        <v>65</v>
      </c>
      <c r="P6" s="20" t="s">
        <v>65</v>
      </c>
      <c r="Q6" s="20" t="s">
        <v>65</v>
      </c>
      <c r="R6" s="20" t="s">
        <v>65</v>
      </c>
      <c r="S6" s="20" t="s">
        <v>65</v>
      </c>
      <c r="T6" s="20" t="s">
        <v>65</v>
      </c>
      <c r="U6" s="20" t="s">
        <v>66</v>
      </c>
      <c r="V6" s="20" t="s">
        <v>66</v>
      </c>
      <c r="W6" s="20" t="s">
        <v>66</v>
      </c>
      <c r="X6" s="20" t="s">
        <v>66</v>
      </c>
      <c r="Y6" s="20" t="s">
        <v>66</v>
      </c>
      <c r="Z6" s="20" t="s">
        <v>66</v>
      </c>
      <c r="AA6" s="20" t="s">
        <v>66</v>
      </c>
      <c r="AB6" s="20" t="s">
        <v>66</v>
      </c>
      <c r="AC6" s="20" t="s">
        <v>66</v>
      </c>
      <c r="AD6" s="20" t="s">
        <v>65</v>
      </c>
      <c r="AE6" s="20" t="s">
        <v>65</v>
      </c>
      <c r="AF6" s="20" t="s">
        <v>65</v>
      </c>
      <c r="AG6" s="20" t="s">
        <v>66</v>
      </c>
      <c r="AH6" s="20" t="s">
        <v>66</v>
      </c>
      <c r="AI6" s="20" t="s">
        <v>66</v>
      </c>
      <c r="AJ6" s="20" t="s">
        <v>66</v>
      </c>
      <c r="AK6" s="20" t="s">
        <v>66</v>
      </c>
      <c r="AL6" s="20" t="s">
        <v>66</v>
      </c>
      <c r="AM6" s="20" t="s">
        <v>66</v>
      </c>
      <c r="AN6" s="20" t="s">
        <v>65</v>
      </c>
      <c r="AO6" s="20" t="s">
        <v>66</v>
      </c>
      <c r="AP6" s="20" t="s">
        <v>66</v>
      </c>
      <c r="AQ6" s="20" t="s">
        <v>66</v>
      </c>
      <c r="AR6" s="20" t="s">
        <v>66</v>
      </c>
      <c r="AS6" s="20" t="s">
        <v>66</v>
      </c>
      <c r="AT6" s="20" t="s">
        <v>66</v>
      </c>
      <c r="AU6" s="20" t="s">
        <v>66</v>
      </c>
      <c r="AV6" s="20" t="s">
        <v>66</v>
      </c>
      <c r="AW6" s="20" t="s">
        <v>66</v>
      </c>
      <c r="AX6" s="20" t="s">
        <v>66</v>
      </c>
      <c r="AY6" s="20" t="s">
        <v>66</v>
      </c>
      <c r="AZ6" s="20" t="s">
        <v>66</v>
      </c>
      <c r="BA6" s="20" t="s">
        <v>66</v>
      </c>
      <c r="BB6" s="20" t="s">
        <v>66</v>
      </c>
      <c r="BC6" s="20" t="s">
        <v>66</v>
      </c>
      <c r="BD6" s="20" t="s">
        <v>66</v>
      </c>
      <c r="BE6" s="20" t="s">
        <v>66</v>
      </c>
      <c r="BF6" s="20" t="s">
        <v>66</v>
      </c>
      <c r="BG6" s="20" t="s">
        <v>66</v>
      </c>
      <c r="BH6" s="20" t="s">
        <v>66</v>
      </c>
      <c r="BI6" s="20" t="s">
        <v>66</v>
      </c>
      <c r="BJ6" s="20" t="s">
        <v>66</v>
      </c>
      <c r="BK6" s="38" t="s">
        <v>467</v>
      </c>
      <c r="BL6" s="10" t="s">
        <v>548</v>
      </c>
      <c r="BM6" s="10" t="s">
        <v>549</v>
      </c>
      <c r="BN6" s="10" t="s">
        <v>551</v>
      </c>
      <c r="BO6" s="10" t="s">
        <v>550</v>
      </c>
      <c r="BP6" s="10" t="s">
        <v>562</v>
      </c>
      <c r="BQ6" s="10" t="s">
        <v>563</v>
      </c>
      <c r="BR6" s="10" t="s">
        <v>552</v>
      </c>
      <c r="BS6" s="10" t="s">
        <v>553</v>
      </c>
      <c r="BT6" s="10" t="s">
        <v>554</v>
      </c>
      <c r="BU6" s="10" t="s">
        <v>555</v>
      </c>
      <c r="BV6" s="10" t="s">
        <v>557</v>
      </c>
      <c r="BW6" s="10" t="s">
        <v>556</v>
      </c>
      <c r="BX6" s="10" t="s">
        <v>558</v>
      </c>
      <c r="BY6" s="10" t="s">
        <v>559</v>
      </c>
      <c r="BZ6" s="10" t="s">
        <v>560</v>
      </c>
      <c r="CA6" s="10" t="s">
        <v>568</v>
      </c>
      <c r="CB6" s="10" t="s">
        <v>561</v>
      </c>
      <c r="CC6" s="10" t="s">
        <v>605</v>
      </c>
      <c r="CD6" s="10" t="s">
        <v>608</v>
      </c>
    </row>
    <row r="7" spans="1:82" s="29" customFormat="1" ht="16" thickTop="1" x14ac:dyDescent="0.2">
      <c r="A7" s="27" t="s">
        <v>472</v>
      </c>
      <c r="B7" s="37" t="s">
        <v>490</v>
      </c>
      <c r="C7" s="35">
        <v>0</v>
      </c>
      <c r="D7" s="35">
        <v>20</v>
      </c>
      <c r="E7" s="33">
        <f t="shared" ref="E7:E13" si="0">AVERAGE(C7:D7)</f>
        <v>10</v>
      </c>
      <c r="F7" s="28">
        <v>76.150000000000006</v>
      </c>
      <c r="G7" s="28">
        <v>9.09</v>
      </c>
      <c r="H7" s="28">
        <v>3.35</v>
      </c>
      <c r="I7" s="28">
        <v>6.5000000000000002E-2</v>
      </c>
      <c r="J7" s="28">
        <v>0.78</v>
      </c>
      <c r="K7" s="28">
        <v>0.96</v>
      </c>
      <c r="L7" s="28">
        <v>1.43</v>
      </c>
      <c r="M7" s="28">
        <v>1.44</v>
      </c>
      <c r="N7" s="28">
        <v>0.51700000000000002</v>
      </c>
      <c r="O7" s="28">
        <v>0.03</v>
      </c>
      <c r="P7" s="28">
        <v>5.38</v>
      </c>
      <c r="Q7" s="28">
        <v>99.18</v>
      </c>
      <c r="R7" s="28">
        <v>6</v>
      </c>
      <c r="S7" s="28" t="s">
        <v>68</v>
      </c>
      <c r="T7" s="28">
        <v>55</v>
      </c>
      <c r="U7" s="28" t="s">
        <v>69</v>
      </c>
      <c r="V7" s="28">
        <v>6</v>
      </c>
      <c r="W7" s="28" t="s">
        <v>69</v>
      </c>
      <c r="X7" s="28">
        <v>10</v>
      </c>
      <c r="Y7" s="28">
        <v>30</v>
      </c>
      <c r="Z7" s="28">
        <v>10</v>
      </c>
      <c r="AA7" s="28" t="s">
        <v>68</v>
      </c>
      <c r="AB7" s="28" t="s">
        <v>71</v>
      </c>
      <c r="AC7" s="28">
        <v>49</v>
      </c>
      <c r="AD7" s="28">
        <v>187</v>
      </c>
      <c r="AE7" s="28">
        <v>3</v>
      </c>
      <c r="AF7" s="28">
        <v>256</v>
      </c>
      <c r="AG7" s="28">
        <v>7</v>
      </c>
      <c r="AH7" s="28" t="s">
        <v>72</v>
      </c>
      <c r="AI7" s="28">
        <v>0.6</v>
      </c>
      <c r="AJ7" s="28" t="s">
        <v>73</v>
      </c>
      <c r="AK7" s="28" t="s">
        <v>68</v>
      </c>
      <c r="AL7" s="28" t="s">
        <v>74</v>
      </c>
      <c r="AM7" s="28">
        <v>1.1000000000000001</v>
      </c>
      <c r="AN7" s="28">
        <v>628</v>
      </c>
      <c r="AO7" s="28" t="s">
        <v>75</v>
      </c>
      <c r="AP7" s="28">
        <v>6</v>
      </c>
      <c r="AQ7" s="28">
        <v>12.7</v>
      </c>
      <c r="AR7" s="28">
        <v>1.49</v>
      </c>
      <c r="AS7" s="28">
        <v>6</v>
      </c>
      <c r="AT7" s="28">
        <v>1.1000000000000001</v>
      </c>
      <c r="AU7" s="28">
        <v>0.3</v>
      </c>
      <c r="AV7" s="28">
        <v>0.8</v>
      </c>
      <c r="AW7" s="28">
        <v>0.1</v>
      </c>
      <c r="AX7" s="28">
        <v>0.6</v>
      </c>
      <c r="AY7" s="28">
        <v>0.1</v>
      </c>
      <c r="AZ7" s="28">
        <v>0.4</v>
      </c>
      <c r="BA7" s="28">
        <v>7.0000000000000007E-2</v>
      </c>
      <c r="BB7" s="28">
        <v>0.6</v>
      </c>
      <c r="BC7" s="28">
        <v>0.1</v>
      </c>
      <c r="BD7" s="28">
        <v>7.6</v>
      </c>
      <c r="BE7" s="28">
        <v>0.5</v>
      </c>
      <c r="BF7" s="28" t="s">
        <v>68</v>
      </c>
      <c r="BG7" s="28">
        <v>0.4</v>
      </c>
      <c r="BH7" s="28">
        <v>17</v>
      </c>
      <c r="BI7" s="28">
        <v>2.8</v>
      </c>
      <c r="BJ7" s="28">
        <v>1.2</v>
      </c>
      <c r="BK7" s="39">
        <f>100*(G7/(G7+J7+K7+L7))</f>
        <v>74.143556280587291</v>
      </c>
      <c r="BL7" s="258">
        <v>0.55679039786619255</v>
      </c>
      <c r="BM7" s="258">
        <v>0</v>
      </c>
      <c r="BN7" s="258">
        <v>9.5354523227383872E-2</v>
      </c>
      <c r="BO7" s="258">
        <v>0</v>
      </c>
      <c r="BP7" s="258">
        <v>0</v>
      </c>
      <c r="BQ7" s="258">
        <v>0</v>
      </c>
      <c r="BR7" s="258">
        <v>0</v>
      </c>
      <c r="BS7" s="258">
        <v>0</v>
      </c>
      <c r="BT7" s="258">
        <v>0</v>
      </c>
      <c r="BU7" s="258">
        <v>0</v>
      </c>
      <c r="BV7" s="258">
        <v>0</v>
      </c>
      <c r="BW7" s="258">
        <v>0.17859524338741944</v>
      </c>
      <c r="BX7" s="258">
        <v>0</v>
      </c>
      <c r="BY7" s="258">
        <v>0.10457879528784175</v>
      </c>
      <c r="BZ7" s="258">
        <v>0</v>
      </c>
      <c r="CA7" s="258">
        <v>1.5003334074238723E-2</v>
      </c>
      <c r="CB7" s="258">
        <v>0</v>
      </c>
      <c r="CC7" s="258">
        <v>0</v>
      </c>
      <c r="CD7" s="258">
        <v>4.9677706156923761E-2</v>
      </c>
    </row>
    <row r="8" spans="1:82" s="29" customFormat="1" x14ac:dyDescent="0.2">
      <c r="A8" s="27" t="s">
        <v>473</v>
      </c>
      <c r="B8" s="37" t="s">
        <v>433</v>
      </c>
      <c r="C8" s="32">
        <v>20</v>
      </c>
      <c r="D8" s="32">
        <v>35</v>
      </c>
      <c r="E8" s="33">
        <f t="shared" si="0"/>
        <v>27.5</v>
      </c>
      <c r="F8" s="28">
        <v>77.87</v>
      </c>
      <c r="G8" s="28">
        <v>8.94</v>
      </c>
      <c r="H8" s="28">
        <v>4.12</v>
      </c>
      <c r="I8" s="28">
        <v>5.1999999999999998E-2</v>
      </c>
      <c r="J8" s="28">
        <v>0.56000000000000005</v>
      </c>
      <c r="K8" s="28">
        <v>0.86</v>
      </c>
      <c r="L8" s="28">
        <v>1.38</v>
      </c>
      <c r="M8" s="28">
        <v>1.54</v>
      </c>
      <c r="N8" s="28">
        <v>0.56499999999999995</v>
      </c>
      <c r="O8" s="28">
        <v>5.0000000000000001E-3</v>
      </c>
      <c r="P8" s="28">
        <v>2.75</v>
      </c>
      <c r="Q8" s="28">
        <v>98.63</v>
      </c>
      <c r="R8" s="28">
        <v>6</v>
      </c>
      <c r="S8" s="28" t="s">
        <v>68</v>
      </c>
      <c r="T8" s="28">
        <v>64</v>
      </c>
      <c r="U8" s="28" t="s">
        <v>69</v>
      </c>
      <c r="V8" s="28">
        <v>6</v>
      </c>
      <c r="W8" s="28" t="s">
        <v>69</v>
      </c>
      <c r="X8" s="28" t="s">
        <v>114</v>
      </c>
      <c r="Y8" s="28">
        <v>30</v>
      </c>
      <c r="Z8" s="28">
        <v>10</v>
      </c>
      <c r="AA8" s="28">
        <v>1</v>
      </c>
      <c r="AB8" s="28" t="s">
        <v>71</v>
      </c>
      <c r="AC8" s="28">
        <v>46</v>
      </c>
      <c r="AD8" s="28">
        <v>185</v>
      </c>
      <c r="AE8" s="28">
        <v>4</v>
      </c>
      <c r="AF8" s="28">
        <v>380</v>
      </c>
      <c r="AG8" s="28">
        <v>8</v>
      </c>
      <c r="AH8" s="28" t="s">
        <v>72</v>
      </c>
      <c r="AI8" s="28">
        <v>1</v>
      </c>
      <c r="AJ8" s="28" t="s">
        <v>73</v>
      </c>
      <c r="AK8" s="28" t="s">
        <v>68</v>
      </c>
      <c r="AL8" s="28" t="s">
        <v>74</v>
      </c>
      <c r="AM8" s="28">
        <v>1</v>
      </c>
      <c r="AN8" s="28">
        <v>712</v>
      </c>
      <c r="AO8" s="28" t="s">
        <v>75</v>
      </c>
      <c r="AP8" s="28">
        <v>8.5</v>
      </c>
      <c r="AQ8" s="28">
        <v>18.5</v>
      </c>
      <c r="AR8" s="28">
        <v>1.92</v>
      </c>
      <c r="AS8" s="28">
        <v>6.9</v>
      </c>
      <c r="AT8" s="28">
        <v>1.3</v>
      </c>
      <c r="AU8" s="28">
        <v>0.35</v>
      </c>
      <c r="AV8" s="28">
        <v>0.9</v>
      </c>
      <c r="AW8" s="28">
        <v>0.1</v>
      </c>
      <c r="AX8" s="28">
        <v>0.9</v>
      </c>
      <c r="AY8" s="28">
        <v>0.2</v>
      </c>
      <c r="AZ8" s="28">
        <v>0.5</v>
      </c>
      <c r="BA8" s="28">
        <v>0.1</v>
      </c>
      <c r="BB8" s="28">
        <v>0.8</v>
      </c>
      <c r="BC8" s="28">
        <v>0.13</v>
      </c>
      <c r="BD8" s="28">
        <v>10.5</v>
      </c>
      <c r="BE8" s="28">
        <v>0.5</v>
      </c>
      <c r="BF8" s="28" t="s">
        <v>68</v>
      </c>
      <c r="BG8" s="28">
        <v>0.3</v>
      </c>
      <c r="BH8" s="28">
        <v>13</v>
      </c>
      <c r="BI8" s="28">
        <v>3.7</v>
      </c>
      <c r="BJ8" s="28">
        <v>1.6</v>
      </c>
      <c r="BK8" s="39">
        <f t="shared" ref="BK8:BK20" si="1">100*(G8/(G8+J8+K8+L8))</f>
        <v>76.149914821124369</v>
      </c>
      <c r="BL8" s="258">
        <v>0.38856953349546763</v>
      </c>
      <c r="BM8" s="258">
        <v>0</v>
      </c>
      <c r="BN8" s="258">
        <v>6.9644041565332743E-2</v>
      </c>
      <c r="BO8" s="258">
        <v>0</v>
      </c>
      <c r="BP8" s="258">
        <v>0</v>
      </c>
      <c r="BQ8" s="258">
        <v>0</v>
      </c>
      <c r="BR8" s="258">
        <v>0</v>
      </c>
      <c r="BS8" s="258">
        <v>0</v>
      </c>
      <c r="BT8" s="258">
        <v>0</v>
      </c>
      <c r="BU8" s="258">
        <v>0</v>
      </c>
      <c r="BV8" s="258">
        <v>0.16371877072739335</v>
      </c>
      <c r="BW8" s="258">
        <v>0.16526641609551182</v>
      </c>
      <c r="BX8" s="258">
        <v>0</v>
      </c>
      <c r="BY8" s="258">
        <v>0.14426265752818929</v>
      </c>
      <c r="BZ8" s="258">
        <v>0</v>
      </c>
      <c r="CA8" s="258">
        <v>2.3988503205836835E-2</v>
      </c>
      <c r="CB8" s="258">
        <v>0</v>
      </c>
      <c r="CC8" s="258">
        <v>0</v>
      </c>
      <c r="CD8" s="258">
        <v>4.4550077382268412E-2</v>
      </c>
    </row>
    <row r="9" spans="1:82" s="29" customFormat="1" x14ac:dyDescent="0.2">
      <c r="A9" s="27" t="s">
        <v>474</v>
      </c>
      <c r="B9" s="37" t="s">
        <v>434</v>
      </c>
      <c r="C9" s="32">
        <v>35</v>
      </c>
      <c r="D9" s="32">
        <v>68</v>
      </c>
      <c r="E9" s="33">
        <f t="shared" si="0"/>
        <v>51.5</v>
      </c>
      <c r="F9" s="28">
        <v>67.319999999999993</v>
      </c>
      <c r="G9" s="28">
        <v>15.14</v>
      </c>
      <c r="H9" s="28">
        <v>5.51</v>
      </c>
      <c r="I9" s="28">
        <v>0.06</v>
      </c>
      <c r="J9" s="28">
        <v>1.1200000000000001</v>
      </c>
      <c r="K9" s="28">
        <v>0.76</v>
      </c>
      <c r="L9" s="28">
        <v>1.29</v>
      </c>
      <c r="M9" s="28">
        <v>1.68</v>
      </c>
      <c r="N9" s="28">
        <v>0.80900000000000005</v>
      </c>
      <c r="O9" s="28">
        <v>0.01</v>
      </c>
      <c r="P9" s="28">
        <v>5.88</v>
      </c>
      <c r="Q9" s="28">
        <v>99.58</v>
      </c>
      <c r="R9" s="28">
        <v>12</v>
      </c>
      <c r="S9" s="28">
        <v>1</v>
      </c>
      <c r="T9" s="28">
        <v>89</v>
      </c>
      <c r="U9" s="28" t="s">
        <v>69</v>
      </c>
      <c r="V9" s="28">
        <v>10</v>
      </c>
      <c r="W9" s="28" t="s">
        <v>69</v>
      </c>
      <c r="X9" s="28">
        <v>20</v>
      </c>
      <c r="Y9" s="28">
        <v>60</v>
      </c>
      <c r="Z9" s="28">
        <v>18</v>
      </c>
      <c r="AA9" s="28">
        <v>1</v>
      </c>
      <c r="AB9" s="28" t="s">
        <v>71</v>
      </c>
      <c r="AC9" s="28">
        <v>80</v>
      </c>
      <c r="AD9" s="28">
        <v>157</v>
      </c>
      <c r="AE9" s="28">
        <v>7</v>
      </c>
      <c r="AF9" s="28">
        <v>318</v>
      </c>
      <c r="AG9" s="28">
        <v>9</v>
      </c>
      <c r="AH9" s="28" t="s">
        <v>72</v>
      </c>
      <c r="AI9" s="28">
        <v>1.1000000000000001</v>
      </c>
      <c r="AJ9" s="28" t="s">
        <v>73</v>
      </c>
      <c r="AK9" s="28">
        <v>2</v>
      </c>
      <c r="AL9" s="28" t="s">
        <v>74</v>
      </c>
      <c r="AM9" s="28">
        <v>2.2000000000000002</v>
      </c>
      <c r="AN9" s="28">
        <v>691</v>
      </c>
      <c r="AO9" s="28" t="s">
        <v>75</v>
      </c>
      <c r="AP9" s="28">
        <v>14.5</v>
      </c>
      <c r="AQ9" s="28">
        <v>30.2</v>
      </c>
      <c r="AR9" s="28">
        <v>3.44</v>
      </c>
      <c r="AS9" s="28">
        <v>13</v>
      </c>
      <c r="AT9" s="28">
        <v>2.4</v>
      </c>
      <c r="AU9" s="28">
        <v>0.65</v>
      </c>
      <c r="AV9" s="28">
        <v>1.5</v>
      </c>
      <c r="AW9" s="28">
        <v>0.2</v>
      </c>
      <c r="AX9" s="28">
        <v>1.4</v>
      </c>
      <c r="AY9" s="28">
        <v>0.3</v>
      </c>
      <c r="AZ9" s="28">
        <v>0.8</v>
      </c>
      <c r="BA9" s="28">
        <v>0.13</v>
      </c>
      <c r="BB9" s="28">
        <v>1</v>
      </c>
      <c r="BC9" s="28">
        <v>0.17</v>
      </c>
      <c r="BD9" s="28">
        <v>8.1</v>
      </c>
      <c r="BE9" s="28">
        <v>0.5</v>
      </c>
      <c r="BF9" s="28" t="s">
        <v>68</v>
      </c>
      <c r="BG9" s="28">
        <v>0.5</v>
      </c>
      <c r="BH9" s="28">
        <v>18</v>
      </c>
      <c r="BI9" s="28">
        <v>6.9</v>
      </c>
      <c r="BJ9" s="28">
        <v>1.7</v>
      </c>
      <c r="BK9" s="39">
        <f t="shared" si="1"/>
        <v>82.687056253413431</v>
      </c>
      <c r="BL9" s="258">
        <v>0.1987338910241917</v>
      </c>
      <c r="BM9" s="258">
        <v>0</v>
      </c>
      <c r="BN9" s="258">
        <v>5.6183585801492193E-2</v>
      </c>
      <c r="BO9" s="258">
        <v>0</v>
      </c>
      <c r="BP9" s="258">
        <v>0</v>
      </c>
      <c r="BQ9" s="258">
        <v>0</v>
      </c>
      <c r="BR9" s="258">
        <v>0</v>
      </c>
      <c r="BS9" s="258">
        <v>0</v>
      </c>
      <c r="BT9" s="258">
        <v>0</v>
      </c>
      <c r="BU9" s="258">
        <v>0</v>
      </c>
      <c r="BV9" s="258">
        <v>5.708794935564096E-2</v>
      </c>
      <c r="BW9" s="258">
        <v>0.2740221569070766</v>
      </c>
      <c r="BX9" s="258">
        <v>3.3913633280578789E-4</v>
      </c>
      <c r="BY9" s="258">
        <v>0.31991860728012661</v>
      </c>
      <c r="BZ9" s="258">
        <v>0</v>
      </c>
      <c r="CA9" s="258">
        <v>5.3696586027583086E-2</v>
      </c>
      <c r="CB9" s="258">
        <v>0</v>
      </c>
      <c r="CC9" s="258">
        <v>0</v>
      </c>
      <c r="CD9" s="258">
        <v>4.0018087271082969E-2</v>
      </c>
    </row>
    <row r="10" spans="1:82" s="29" customFormat="1" x14ac:dyDescent="0.2">
      <c r="A10" s="27" t="s">
        <v>475</v>
      </c>
      <c r="B10" s="37" t="s">
        <v>491</v>
      </c>
      <c r="C10" s="32">
        <v>68</v>
      </c>
      <c r="D10" s="32">
        <v>116</v>
      </c>
      <c r="E10" s="33">
        <f t="shared" si="0"/>
        <v>92</v>
      </c>
      <c r="F10" s="28">
        <v>52.78</v>
      </c>
      <c r="G10" s="28">
        <v>22.83</v>
      </c>
      <c r="H10" s="28">
        <v>6.98</v>
      </c>
      <c r="I10" s="28">
        <v>5.0999999999999997E-2</v>
      </c>
      <c r="J10" s="28">
        <v>1.53</v>
      </c>
      <c r="K10" s="28">
        <v>0.59</v>
      </c>
      <c r="L10" s="28">
        <v>0.99</v>
      </c>
      <c r="M10" s="28">
        <v>1.7</v>
      </c>
      <c r="N10" s="28">
        <v>0.86799999999999999</v>
      </c>
      <c r="O10" s="28">
        <v>0.01</v>
      </c>
      <c r="P10" s="28">
        <v>10.48</v>
      </c>
      <c r="Q10" s="28">
        <v>98.82</v>
      </c>
      <c r="R10" s="28">
        <v>18</v>
      </c>
      <c r="S10" s="28">
        <v>2</v>
      </c>
      <c r="T10" s="28">
        <v>113</v>
      </c>
      <c r="U10" s="28" t="s">
        <v>69</v>
      </c>
      <c r="V10" s="28">
        <v>13</v>
      </c>
      <c r="W10" s="28">
        <v>20</v>
      </c>
      <c r="X10" s="28">
        <v>20</v>
      </c>
      <c r="Y10" s="28">
        <v>80</v>
      </c>
      <c r="Z10" s="28">
        <v>29</v>
      </c>
      <c r="AA10" s="28">
        <v>2</v>
      </c>
      <c r="AB10" s="28" t="s">
        <v>71</v>
      </c>
      <c r="AC10" s="28">
        <v>100</v>
      </c>
      <c r="AD10" s="28">
        <v>131</v>
      </c>
      <c r="AE10" s="28">
        <v>5</v>
      </c>
      <c r="AF10" s="28">
        <v>154</v>
      </c>
      <c r="AG10" s="28">
        <v>10</v>
      </c>
      <c r="AH10" s="28" t="s">
        <v>72</v>
      </c>
      <c r="AI10" s="28" t="s">
        <v>74</v>
      </c>
      <c r="AJ10" s="28" t="s">
        <v>73</v>
      </c>
      <c r="AK10" s="28">
        <v>2</v>
      </c>
      <c r="AL10" s="28" t="s">
        <v>74</v>
      </c>
      <c r="AM10" s="28">
        <v>3.3</v>
      </c>
      <c r="AN10" s="28">
        <v>557</v>
      </c>
      <c r="AO10" s="28" t="s">
        <v>75</v>
      </c>
      <c r="AP10" s="28">
        <v>15.7</v>
      </c>
      <c r="AQ10" s="28">
        <v>40.799999999999997</v>
      </c>
      <c r="AR10" s="28">
        <v>3.87</v>
      </c>
      <c r="AS10" s="28">
        <v>15.6</v>
      </c>
      <c r="AT10" s="28">
        <v>2.8</v>
      </c>
      <c r="AU10" s="28">
        <v>0.71</v>
      </c>
      <c r="AV10" s="28">
        <v>1.8</v>
      </c>
      <c r="AW10" s="28">
        <v>0.2</v>
      </c>
      <c r="AX10" s="28">
        <v>1.3</v>
      </c>
      <c r="AY10" s="28">
        <v>0.2</v>
      </c>
      <c r="AZ10" s="28">
        <v>0.7</v>
      </c>
      <c r="BA10" s="28">
        <v>0.11</v>
      </c>
      <c r="BB10" s="28">
        <v>0.8</v>
      </c>
      <c r="BC10" s="28">
        <v>0.13</v>
      </c>
      <c r="BD10" s="28">
        <v>4</v>
      </c>
      <c r="BE10" s="28">
        <v>0.5</v>
      </c>
      <c r="BF10" s="28" t="s">
        <v>68</v>
      </c>
      <c r="BG10" s="28">
        <v>0.7</v>
      </c>
      <c r="BH10" s="28">
        <v>23</v>
      </c>
      <c r="BI10" s="28">
        <v>13.4</v>
      </c>
      <c r="BJ10" s="28">
        <v>1.4</v>
      </c>
      <c r="BK10" s="39">
        <f t="shared" si="1"/>
        <v>88.010794140323824</v>
      </c>
      <c r="BL10" s="258">
        <v>0.27015812492990915</v>
      </c>
      <c r="BM10" s="258">
        <v>0</v>
      </c>
      <c r="BN10" s="258">
        <v>9.734215543344174E-2</v>
      </c>
      <c r="BO10" s="258">
        <v>0</v>
      </c>
      <c r="BP10" s="258">
        <v>0</v>
      </c>
      <c r="BQ10" s="258">
        <v>0</v>
      </c>
      <c r="BR10" s="258">
        <v>0</v>
      </c>
      <c r="BS10" s="258">
        <v>0</v>
      </c>
      <c r="BT10" s="258">
        <v>0</v>
      </c>
      <c r="BU10" s="258">
        <v>0</v>
      </c>
      <c r="BV10" s="258">
        <v>5.1362565885387464E-2</v>
      </c>
      <c r="BW10" s="258">
        <v>0.22944936637882696</v>
      </c>
      <c r="BX10" s="258">
        <v>3.3643602108332396E-4</v>
      </c>
      <c r="BY10" s="258">
        <v>0.28843781540876973</v>
      </c>
      <c r="BZ10" s="258">
        <v>0</v>
      </c>
      <c r="CA10" s="258">
        <v>4.2615229337221033E-2</v>
      </c>
      <c r="CB10" s="258">
        <v>0</v>
      </c>
      <c r="CC10" s="258">
        <v>0</v>
      </c>
      <c r="CD10" s="258">
        <v>2.0298306605360548E-2</v>
      </c>
    </row>
    <row r="11" spans="1:82" s="29" customFormat="1" x14ac:dyDescent="0.2">
      <c r="A11" s="27" t="s">
        <v>476</v>
      </c>
      <c r="B11" s="37" t="s">
        <v>492</v>
      </c>
      <c r="C11" s="32">
        <v>116</v>
      </c>
      <c r="D11" s="32">
        <v>164</v>
      </c>
      <c r="E11" s="33">
        <f t="shared" si="0"/>
        <v>140</v>
      </c>
      <c r="F11" s="28">
        <v>57.08</v>
      </c>
      <c r="G11" s="28">
        <v>22.35</v>
      </c>
      <c r="H11" s="28">
        <v>5.83</v>
      </c>
      <c r="I11" s="28">
        <v>4.8000000000000001E-2</v>
      </c>
      <c r="J11" s="28">
        <v>1.45</v>
      </c>
      <c r="K11" s="28">
        <v>0.88</v>
      </c>
      <c r="L11" s="28">
        <v>1.58</v>
      </c>
      <c r="M11" s="28">
        <v>1.34</v>
      </c>
      <c r="N11" s="28">
        <v>0.73599999999999999</v>
      </c>
      <c r="O11" s="28">
        <v>0.02</v>
      </c>
      <c r="P11" s="28">
        <v>9.09</v>
      </c>
      <c r="Q11" s="28">
        <v>100.4</v>
      </c>
      <c r="R11" s="28">
        <v>17</v>
      </c>
      <c r="S11" s="28">
        <v>2</v>
      </c>
      <c r="T11" s="28">
        <v>91</v>
      </c>
      <c r="U11" s="28" t="s">
        <v>69</v>
      </c>
      <c r="V11" s="28">
        <v>12</v>
      </c>
      <c r="W11" s="28" t="s">
        <v>69</v>
      </c>
      <c r="X11" s="28">
        <v>20</v>
      </c>
      <c r="Y11" s="28">
        <v>70</v>
      </c>
      <c r="Z11" s="28">
        <v>26</v>
      </c>
      <c r="AA11" s="28">
        <v>2</v>
      </c>
      <c r="AB11" s="28" t="s">
        <v>71</v>
      </c>
      <c r="AC11" s="28">
        <v>79</v>
      </c>
      <c r="AD11" s="28">
        <v>172</v>
      </c>
      <c r="AE11" s="28">
        <v>7</v>
      </c>
      <c r="AF11" s="28">
        <v>134</v>
      </c>
      <c r="AG11" s="28">
        <v>8</v>
      </c>
      <c r="AH11" s="28" t="s">
        <v>72</v>
      </c>
      <c r="AI11" s="28" t="s">
        <v>74</v>
      </c>
      <c r="AJ11" s="28" t="s">
        <v>73</v>
      </c>
      <c r="AK11" s="28">
        <v>1</v>
      </c>
      <c r="AL11" s="28" t="s">
        <v>74</v>
      </c>
      <c r="AM11" s="28">
        <v>2.5</v>
      </c>
      <c r="AN11" s="28">
        <v>345</v>
      </c>
      <c r="AO11" s="28" t="s">
        <v>75</v>
      </c>
      <c r="AP11" s="28">
        <v>21.3</v>
      </c>
      <c r="AQ11" s="28">
        <v>61</v>
      </c>
      <c r="AR11" s="28">
        <v>5.99</v>
      </c>
      <c r="AS11" s="28">
        <v>24</v>
      </c>
      <c r="AT11" s="28">
        <v>4.4000000000000004</v>
      </c>
      <c r="AU11" s="28">
        <v>1.1299999999999999</v>
      </c>
      <c r="AV11" s="28">
        <v>2.6</v>
      </c>
      <c r="AW11" s="28">
        <v>0.3</v>
      </c>
      <c r="AX11" s="28">
        <v>1.7</v>
      </c>
      <c r="AY11" s="28">
        <v>0.3</v>
      </c>
      <c r="AZ11" s="28">
        <v>0.9</v>
      </c>
      <c r="BA11" s="28">
        <v>0.14000000000000001</v>
      </c>
      <c r="BB11" s="28">
        <v>0.9</v>
      </c>
      <c r="BC11" s="28">
        <v>0.15</v>
      </c>
      <c r="BD11" s="28">
        <v>3.4</v>
      </c>
      <c r="BE11" s="28">
        <v>0.4</v>
      </c>
      <c r="BF11" s="28" t="s">
        <v>68</v>
      </c>
      <c r="BG11" s="28">
        <v>0.6</v>
      </c>
      <c r="BH11" s="28">
        <v>23</v>
      </c>
      <c r="BI11" s="28">
        <v>10.9</v>
      </c>
      <c r="BJ11" s="28">
        <v>1.2</v>
      </c>
      <c r="BK11" s="39">
        <f t="shared" si="1"/>
        <v>85.110434120335128</v>
      </c>
      <c r="BL11" s="258">
        <v>0.31525735294117641</v>
      </c>
      <c r="BM11" s="258">
        <v>0</v>
      </c>
      <c r="BN11" s="258">
        <v>0.17486213235294115</v>
      </c>
      <c r="BO11" s="258">
        <v>0</v>
      </c>
      <c r="BP11" s="258">
        <v>0</v>
      </c>
      <c r="BQ11" s="258">
        <v>0</v>
      </c>
      <c r="BR11" s="258">
        <v>0</v>
      </c>
      <c r="BS11" s="258">
        <v>0</v>
      </c>
      <c r="BT11" s="258">
        <v>0</v>
      </c>
      <c r="BU11" s="258">
        <v>0</v>
      </c>
      <c r="BV11" s="258">
        <v>1.6199448529411759E-2</v>
      </c>
      <c r="BW11" s="258">
        <v>0.16842830882352938</v>
      </c>
      <c r="BX11" s="258">
        <v>1.0340073529411763E-3</v>
      </c>
      <c r="BY11" s="258">
        <v>0.22518382352941174</v>
      </c>
      <c r="BZ11" s="258">
        <v>0</v>
      </c>
      <c r="CA11" s="258">
        <v>7.4678308823529396E-2</v>
      </c>
      <c r="CB11" s="258">
        <v>0</v>
      </c>
      <c r="CC11" s="258">
        <v>0</v>
      </c>
      <c r="CD11" s="258">
        <v>2.435661764705882E-2</v>
      </c>
    </row>
    <row r="12" spans="1:82" s="29" customFormat="1" x14ac:dyDescent="0.2">
      <c r="A12" s="27" t="s">
        <v>477</v>
      </c>
      <c r="B12" s="37" t="s">
        <v>493</v>
      </c>
      <c r="C12" s="32">
        <v>164</v>
      </c>
      <c r="D12" s="32">
        <v>215</v>
      </c>
      <c r="E12" s="33">
        <f t="shared" si="0"/>
        <v>189.5</v>
      </c>
      <c r="F12" s="28">
        <v>58.73</v>
      </c>
      <c r="G12" s="28">
        <v>18.68</v>
      </c>
      <c r="H12" s="28">
        <v>6.73</v>
      </c>
      <c r="I12" s="28">
        <v>7.3999999999999996E-2</v>
      </c>
      <c r="J12" s="28">
        <v>2.0299999999999998</v>
      </c>
      <c r="K12" s="28">
        <v>1.05</v>
      </c>
      <c r="L12" s="28">
        <v>1.77</v>
      </c>
      <c r="M12" s="28">
        <v>1.54</v>
      </c>
      <c r="N12" s="28">
        <v>0.81</v>
      </c>
      <c r="O12" s="28">
        <v>0.01</v>
      </c>
      <c r="P12" s="28">
        <v>7.37</v>
      </c>
      <c r="Q12" s="28">
        <v>98.8</v>
      </c>
      <c r="R12" s="28">
        <v>19</v>
      </c>
      <c r="S12" s="28">
        <v>2</v>
      </c>
      <c r="T12" s="28">
        <v>105</v>
      </c>
      <c r="U12" s="28" t="s">
        <v>69</v>
      </c>
      <c r="V12" s="28">
        <v>14</v>
      </c>
      <c r="W12" s="28" t="s">
        <v>69</v>
      </c>
      <c r="X12" s="28">
        <v>30</v>
      </c>
      <c r="Y12" s="28">
        <v>80</v>
      </c>
      <c r="Z12" s="28">
        <v>24</v>
      </c>
      <c r="AA12" s="28">
        <v>2</v>
      </c>
      <c r="AB12" s="28" t="s">
        <v>71</v>
      </c>
      <c r="AC12" s="28">
        <v>91</v>
      </c>
      <c r="AD12" s="28">
        <v>186</v>
      </c>
      <c r="AE12" s="28">
        <v>16</v>
      </c>
      <c r="AF12" s="28">
        <v>160</v>
      </c>
      <c r="AG12" s="28">
        <v>9</v>
      </c>
      <c r="AH12" s="28" t="s">
        <v>72</v>
      </c>
      <c r="AI12" s="28" t="s">
        <v>74</v>
      </c>
      <c r="AJ12" s="28" t="s">
        <v>73</v>
      </c>
      <c r="AK12" s="28">
        <v>1</v>
      </c>
      <c r="AL12" s="28" t="s">
        <v>74</v>
      </c>
      <c r="AM12" s="28">
        <v>2.5</v>
      </c>
      <c r="AN12" s="28">
        <v>367</v>
      </c>
      <c r="AO12" s="28" t="s">
        <v>75</v>
      </c>
      <c r="AP12" s="28">
        <v>36.4</v>
      </c>
      <c r="AQ12" s="28">
        <v>83</v>
      </c>
      <c r="AR12" s="28">
        <v>10.5</v>
      </c>
      <c r="AS12" s="28">
        <v>41.3</v>
      </c>
      <c r="AT12" s="28">
        <v>8.4</v>
      </c>
      <c r="AU12" s="28">
        <v>2.12</v>
      </c>
      <c r="AV12" s="28">
        <v>6</v>
      </c>
      <c r="AW12" s="28">
        <v>0.8</v>
      </c>
      <c r="AX12" s="28">
        <v>4.2</v>
      </c>
      <c r="AY12" s="28">
        <v>0.8</v>
      </c>
      <c r="AZ12" s="28">
        <v>2.2000000000000002</v>
      </c>
      <c r="BA12" s="28">
        <v>0.31</v>
      </c>
      <c r="BB12" s="28">
        <v>2.2000000000000002</v>
      </c>
      <c r="BC12" s="28">
        <v>0.35</v>
      </c>
      <c r="BD12" s="28">
        <v>4.2</v>
      </c>
      <c r="BE12" s="28">
        <v>0.4</v>
      </c>
      <c r="BF12" s="28">
        <v>2</v>
      </c>
      <c r="BG12" s="28">
        <v>0.6</v>
      </c>
      <c r="BH12" s="28">
        <v>21</v>
      </c>
      <c r="BI12" s="28">
        <v>10.7</v>
      </c>
      <c r="BJ12" s="28">
        <v>1.4</v>
      </c>
      <c r="BK12" s="39">
        <f t="shared" si="1"/>
        <v>79.388015299617507</v>
      </c>
      <c r="BL12" s="258">
        <v>0.38054919908466817</v>
      </c>
      <c r="BM12" s="258">
        <v>0</v>
      </c>
      <c r="BN12" s="258">
        <v>0.25034324942791758</v>
      </c>
      <c r="BO12" s="258">
        <v>0</v>
      </c>
      <c r="BP12" s="258">
        <v>0</v>
      </c>
      <c r="BQ12" s="258">
        <v>0</v>
      </c>
      <c r="BR12" s="258">
        <v>0</v>
      </c>
      <c r="BS12" s="258">
        <v>0</v>
      </c>
      <c r="BT12" s="258">
        <v>0</v>
      </c>
      <c r="BU12" s="258">
        <v>0</v>
      </c>
      <c r="BV12" s="258">
        <v>4.1189931350114409E-3</v>
      </c>
      <c r="BW12" s="258">
        <v>4.1418764302059492E-2</v>
      </c>
      <c r="BX12" s="258">
        <v>5.7208237986270023E-4</v>
      </c>
      <c r="BY12" s="258">
        <v>0.15812356979405034</v>
      </c>
      <c r="BZ12" s="258">
        <v>0</v>
      </c>
      <c r="CA12" s="258">
        <v>0.11453089244851257</v>
      </c>
      <c r="CB12" s="258">
        <v>0</v>
      </c>
      <c r="CC12" s="258">
        <v>0</v>
      </c>
      <c r="CD12" s="258">
        <v>5.0343249427917618E-2</v>
      </c>
    </row>
    <row r="13" spans="1:82" s="29" customFormat="1" x14ac:dyDescent="0.2">
      <c r="A13" s="27" t="s">
        <v>478</v>
      </c>
      <c r="B13" s="37" t="s">
        <v>435</v>
      </c>
      <c r="C13" s="32">
        <v>215</v>
      </c>
      <c r="D13" s="32">
        <v>275</v>
      </c>
      <c r="E13" s="33">
        <f t="shared" si="0"/>
        <v>245</v>
      </c>
      <c r="F13" s="28">
        <v>55.77</v>
      </c>
      <c r="G13" s="28">
        <v>19.309999999999999</v>
      </c>
      <c r="H13" s="28">
        <v>7.88</v>
      </c>
      <c r="I13" s="28">
        <v>0.113</v>
      </c>
      <c r="J13" s="28">
        <v>3.08</v>
      </c>
      <c r="K13" s="28">
        <v>1.58</v>
      </c>
      <c r="L13" s="28">
        <v>1.96</v>
      </c>
      <c r="M13" s="28">
        <v>1.71</v>
      </c>
      <c r="N13" s="28">
        <v>0.96899999999999997</v>
      </c>
      <c r="O13" s="28">
        <v>5.0000000000000001E-3</v>
      </c>
      <c r="P13" s="28">
        <v>7.58</v>
      </c>
      <c r="Q13" s="28">
        <v>99.96</v>
      </c>
      <c r="R13" s="28">
        <v>20</v>
      </c>
      <c r="S13" s="28">
        <v>2</v>
      </c>
      <c r="T13" s="28">
        <v>132</v>
      </c>
      <c r="U13" s="28">
        <v>40</v>
      </c>
      <c r="V13" s="28">
        <v>18</v>
      </c>
      <c r="W13" s="28" t="s">
        <v>69</v>
      </c>
      <c r="X13" s="28">
        <v>50</v>
      </c>
      <c r="Y13" s="28">
        <v>90</v>
      </c>
      <c r="Z13" s="28">
        <v>24</v>
      </c>
      <c r="AA13" s="28">
        <v>2</v>
      </c>
      <c r="AB13" s="28" t="s">
        <v>71</v>
      </c>
      <c r="AC13" s="28">
        <v>87</v>
      </c>
      <c r="AD13" s="28">
        <v>232</v>
      </c>
      <c r="AE13" s="28">
        <v>18</v>
      </c>
      <c r="AF13" s="28">
        <v>174</v>
      </c>
      <c r="AG13" s="28">
        <v>8</v>
      </c>
      <c r="AH13" s="28" t="s">
        <v>72</v>
      </c>
      <c r="AI13" s="28">
        <v>0.9</v>
      </c>
      <c r="AJ13" s="28" t="s">
        <v>73</v>
      </c>
      <c r="AK13" s="28">
        <v>2</v>
      </c>
      <c r="AL13" s="28" t="s">
        <v>74</v>
      </c>
      <c r="AM13" s="28">
        <v>2.2000000000000002</v>
      </c>
      <c r="AN13" s="28">
        <v>373</v>
      </c>
      <c r="AO13" s="28" t="s">
        <v>75</v>
      </c>
      <c r="AP13" s="28">
        <v>33.1</v>
      </c>
      <c r="AQ13" s="28">
        <v>80.599999999999994</v>
      </c>
      <c r="AR13" s="28">
        <v>8.69</v>
      </c>
      <c r="AS13" s="28">
        <v>34.299999999999997</v>
      </c>
      <c r="AT13" s="28">
        <v>6.9</v>
      </c>
      <c r="AU13" s="28">
        <v>1.77</v>
      </c>
      <c r="AV13" s="28">
        <v>5.3</v>
      </c>
      <c r="AW13" s="28">
        <v>0.8</v>
      </c>
      <c r="AX13" s="28">
        <v>4.0999999999999996</v>
      </c>
      <c r="AY13" s="28">
        <v>0.8</v>
      </c>
      <c r="AZ13" s="28">
        <v>2.2000000000000002</v>
      </c>
      <c r="BA13" s="28">
        <v>0.31</v>
      </c>
      <c r="BB13" s="28">
        <v>2.1</v>
      </c>
      <c r="BC13" s="28">
        <v>0.34</v>
      </c>
      <c r="BD13" s="28">
        <v>4.8</v>
      </c>
      <c r="BE13" s="28">
        <v>0.8</v>
      </c>
      <c r="BF13" s="28" t="s">
        <v>68</v>
      </c>
      <c r="BG13" s="28">
        <v>0.4</v>
      </c>
      <c r="BH13" s="28">
        <v>16</v>
      </c>
      <c r="BI13" s="28">
        <v>7.4</v>
      </c>
      <c r="BJ13" s="28">
        <v>1.4</v>
      </c>
      <c r="BK13" s="39">
        <f t="shared" si="1"/>
        <v>74.469726185885065</v>
      </c>
      <c r="BL13" s="258">
        <v>0.37577822154352158</v>
      </c>
      <c r="BM13" s="258">
        <v>0</v>
      </c>
      <c r="BN13" s="258">
        <v>0.25431692705274284</v>
      </c>
      <c r="BO13" s="258">
        <v>0</v>
      </c>
      <c r="BP13" s="258">
        <v>0</v>
      </c>
      <c r="BQ13" s="258">
        <v>0</v>
      </c>
      <c r="BR13" s="258">
        <v>0</v>
      </c>
      <c r="BS13" s="258">
        <v>0</v>
      </c>
      <c r="BT13" s="258">
        <v>0</v>
      </c>
      <c r="BU13" s="258">
        <v>0</v>
      </c>
      <c r="BV13" s="258">
        <v>5.2860331258075882E-3</v>
      </c>
      <c r="BW13" s="258">
        <v>9.2681780805826369E-2</v>
      </c>
      <c r="BX13" s="258">
        <v>3.6767297075061663E-2</v>
      </c>
      <c r="BY13" s="258">
        <v>0.14131328556325617</v>
      </c>
      <c r="BZ13" s="258">
        <v>0</v>
      </c>
      <c r="CA13" s="258">
        <v>4.3462939034417947E-2</v>
      </c>
      <c r="CB13" s="258">
        <v>0</v>
      </c>
      <c r="CC13" s="258">
        <v>0</v>
      </c>
      <c r="CD13" s="258">
        <v>5.0393515799365671E-2</v>
      </c>
    </row>
    <row r="14" spans="1:82" s="29" customFormat="1" x14ac:dyDescent="0.2">
      <c r="A14" s="27" t="s">
        <v>177</v>
      </c>
      <c r="B14" s="27" t="s">
        <v>421</v>
      </c>
      <c r="C14" s="37">
        <v>300</v>
      </c>
      <c r="D14" s="37">
        <v>400</v>
      </c>
      <c r="E14" s="28">
        <f>AVERAGE(C14:D14)</f>
        <v>350</v>
      </c>
      <c r="F14" s="28">
        <v>63.64</v>
      </c>
      <c r="G14" s="28">
        <v>16.28</v>
      </c>
      <c r="H14" s="28">
        <v>6.53</v>
      </c>
      <c r="I14" s="28">
        <v>0.106</v>
      </c>
      <c r="J14" s="28">
        <v>1.43</v>
      </c>
      <c r="K14" s="28">
        <v>2.42</v>
      </c>
      <c r="L14" s="28">
        <v>4</v>
      </c>
      <c r="M14" s="28">
        <v>1.44</v>
      </c>
      <c r="N14" s="28">
        <v>0.77300000000000002</v>
      </c>
      <c r="O14" s="28">
        <v>0.03</v>
      </c>
      <c r="P14" s="28">
        <v>2.4900000000000002</v>
      </c>
      <c r="Q14" s="28">
        <v>99.14</v>
      </c>
      <c r="R14" s="28">
        <v>11</v>
      </c>
      <c r="S14" s="28">
        <v>3</v>
      </c>
      <c r="T14" s="28">
        <v>81</v>
      </c>
      <c r="U14" s="28" t="s">
        <v>69</v>
      </c>
      <c r="V14" s="28">
        <v>8</v>
      </c>
      <c r="W14" s="28" t="s">
        <v>69</v>
      </c>
      <c r="X14" s="28" t="s">
        <v>114</v>
      </c>
      <c r="Y14" s="28">
        <v>70</v>
      </c>
      <c r="Z14" s="28">
        <v>15</v>
      </c>
      <c r="AA14" s="28">
        <v>1</v>
      </c>
      <c r="AB14" s="28" t="s">
        <v>71</v>
      </c>
      <c r="AC14" s="28">
        <v>59</v>
      </c>
      <c r="AD14" s="28">
        <v>427</v>
      </c>
      <c r="AE14" s="28">
        <v>19</v>
      </c>
      <c r="AF14" s="28">
        <v>178</v>
      </c>
      <c r="AG14" s="28">
        <v>6</v>
      </c>
      <c r="AH14" s="28" t="s">
        <v>72</v>
      </c>
      <c r="AI14" s="28">
        <v>0.5</v>
      </c>
      <c r="AJ14" s="28" t="s">
        <v>73</v>
      </c>
      <c r="AK14" s="28">
        <v>2</v>
      </c>
      <c r="AL14" s="28" t="s">
        <v>74</v>
      </c>
      <c r="AM14" s="28">
        <v>1.2</v>
      </c>
      <c r="AN14" s="28">
        <v>421</v>
      </c>
      <c r="AO14" s="28" t="s">
        <v>75</v>
      </c>
      <c r="AP14" s="28">
        <v>39.700000000000003</v>
      </c>
      <c r="AQ14" s="28">
        <v>86</v>
      </c>
      <c r="AR14" s="28">
        <v>9.6999999999999993</v>
      </c>
      <c r="AS14" s="28">
        <v>36.9</v>
      </c>
      <c r="AT14" s="28">
        <v>6.8</v>
      </c>
      <c r="AU14" s="28">
        <v>1.55</v>
      </c>
      <c r="AV14" s="28">
        <v>5.3</v>
      </c>
      <c r="AW14" s="28">
        <v>0.7</v>
      </c>
      <c r="AX14" s="28">
        <v>4</v>
      </c>
      <c r="AY14" s="28">
        <v>0.7</v>
      </c>
      <c r="AZ14" s="28">
        <v>2.1</v>
      </c>
      <c r="BA14" s="28">
        <v>0.27</v>
      </c>
      <c r="BB14" s="28">
        <v>1.6</v>
      </c>
      <c r="BC14" s="28">
        <v>0.26</v>
      </c>
      <c r="BD14" s="28">
        <v>4.3</v>
      </c>
      <c r="BE14" s="28">
        <v>0.3</v>
      </c>
      <c r="BF14" s="28" t="s">
        <v>68</v>
      </c>
      <c r="BG14" s="28">
        <v>0.2</v>
      </c>
      <c r="BH14" s="28">
        <v>198</v>
      </c>
      <c r="BI14" s="28">
        <v>8.6999999999999993</v>
      </c>
      <c r="BJ14" s="28">
        <v>0.8</v>
      </c>
      <c r="BK14" s="39">
        <f t="shared" si="1"/>
        <v>67.46788230418565</v>
      </c>
      <c r="BL14" s="258">
        <v>0.35826007535106741</v>
      </c>
      <c r="BM14" s="258">
        <v>0</v>
      </c>
      <c r="BN14" s="258">
        <v>0.27286219888115076</v>
      </c>
      <c r="BO14" s="258">
        <v>0</v>
      </c>
      <c r="BP14" s="258">
        <v>0</v>
      </c>
      <c r="BQ14" s="258">
        <v>0</v>
      </c>
      <c r="BR14" s="258">
        <v>0</v>
      </c>
      <c r="BS14" s="258">
        <v>0</v>
      </c>
      <c r="BT14" s="258">
        <v>0</v>
      </c>
      <c r="BU14" s="258">
        <v>0</v>
      </c>
      <c r="BV14" s="258">
        <v>3.0825436693686491E-3</v>
      </c>
      <c r="BW14" s="258">
        <v>3.3679643794953758E-2</v>
      </c>
      <c r="BX14" s="258">
        <v>0</v>
      </c>
      <c r="BY14" s="258">
        <v>0.29272748030597096</v>
      </c>
      <c r="BZ14" s="258">
        <v>0</v>
      </c>
      <c r="CA14" s="258">
        <v>1.0845986984815616E-2</v>
      </c>
      <c r="CB14" s="258">
        <v>0</v>
      </c>
      <c r="CC14" s="258">
        <v>0</v>
      </c>
      <c r="CD14" s="258">
        <v>2.8542071012672674E-2</v>
      </c>
    </row>
    <row r="15" spans="1:82" s="29" customFormat="1" x14ac:dyDescent="0.2">
      <c r="A15" s="27" t="s">
        <v>178</v>
      </c>
      <c r="B15" s="27" t="s">
        <v>421</v>
      </c>
      <c r="C15" s="37">
        <v>400</v>
      </c>
      <c r="D15" s="37">
        <v>500</v>
      </c>
      <c r="E15" s="28">
        <f t="shared" ref="E15:E18" si="2">AVERAGE(C15:D15)</f>
        <v>450</v>
      </c>
      <c r="F15" s="28">
        <v>63.97</v>
      </c>
      <c r="G15" s="28">
        <v>16.579999999999998</v>
      </c>
      <c r="H15" s="28">
        <v>6.02</v>
      </c>
      <c r="I15" s="28">
        <v>0.10299999999999999</v>
      </c>
      <c r="J15" s="28">
        <v>1.74</v>
      </c>
      <c r="K15" s="28">
        <v>2.72</v>
      </c>
      <c r="L15" s="28">
        <v>4.1900000000000004</v>
      </c>
      <c r="M15" s="28">
        <v>1.86</v>
      </c>
      <c r="N15" s="28">
        <v>0.71</v>
      </c>
      <c r="O15" s="28">
        <v>0.13</v>
      </c>
      <c r="P15" s="28">
        <v>2.2400000000000002</v>
      </c>
      <c r="Q15" s="28">
        <v>100.3</v>
      </c>
      <c r="R15" s="28">
        <v>10</v>
      </c>
      <c r="S15" s="28">
        <v>3</v>
      </c>
      <c r="T15" s="28">
        <v>90</v>
      </c>
      <c r="U15" s="28" t="s">
        <v>69</v>
      </c>
      <c r="V15" s="28">
        <v>9</v>
      </c>
      <c r="W15" s="28" t="s">
        <v>69</v>
      </c>
      <c r="X15" s="28" t="s">
        <v>114</v>
      </c>
      <c r="Y15" s="28">
        <v>80</v>
      </c>
      <c r="Z15" s="28">
        <v>15</v>
      </c>
      <c r="AA15" s="28" t="s">
        <v>68</v>
      </c>
      <c r="AB15" s="28" t="s">
        <v>71</v>
      </c>
      <c r="AC15" s="28">
        <v>75</v>
      </c>
      <c r="AD15" s="28">
        <v>453</v>
      </c>
      <c r="AE15" s="28">
        <v>14</v>
      </c>
      <c r="AF15" s="28">
        <v>187</v>
      </c>
      <c r="AG15" s="28">
        <v>6</v>
      </c>
      <c r="AH15" s="28" t="s">
        <v>72</v>
      </c>
      <c r="AI15" s="28">
        <v>0.5</v>
      </c>
      <c r="AJ15" s="28" t="s">
        <v>73</v>
      </c>
      <c r="AK15" s="28">
        <v>1</v>
      </c>
      <c r="AL15" s="28" t="s">
        <v>74</v>
      </c>
      <c r="AM15" s="28">
        <v>1.4</v>
      </c>
      <c r="AN15" s="28">
        <v>486</v>
      </c>
      <c r="AO15" s="28" t="s">
        <v>75</v>
      </c>
      <c r="AP15" s="28">
        <v>30.3</v>
      </c>
      <c r="AQ15" s="28">
        <v>66.3</v>
      </c>
      <c r="AR15" s="28">
        <v>7.42</v>
      </c>
      <c r="AS15" s="28">
        <v>27.7</v>
      </c>
      <c r="AT15" s="28">
        <v>5</v>
      </c>
      <c r="AU15" s="28">
        <v>1.4</v>
      </c>
      <c r="AV15" s="28">
        <v>4</v>
      </c>
      <c r="AW15" s="28">
        <v>0.5</v>
      </c>
      <c r="AX15" s="28">
        <v>2.9</v>
      </c>
      <c r="AY15" s="28">
        <v>0.5</v>
      </c>
      <c r="AZ15" s="28">
        <v>1.5</v>
      </c>
      <c r="BA15" s="28">
        <v>0.21</v>
      </c>
      <c r="BB15" s="28">
        <v>1.3</v>
      </c>
      <c r="BC15" s="28">
        <v>0.19</v>
      </c>
      <c r="BD15" s="28">
        <v>4.9000000000000004</v>
      </c>
      <c r="BE15" s="28">
        <v>0.3</v>
      </c>
      <c r="BF15" s="28" t="s">
        <v>68</v>
      </c>
      <c r="BG15" s="28">
        <v>0.3</v>
      </c>
      <c r="BH15" s="28">
        <v>24</v>
      </c>
      <c r="BI15" s="28">
        <v>7.1</v>
      </c>
      <c r="BJ15" s="28">
        <v>0.7</v>
      </c>
      <c r="BK15" s="39">
        <f t="shared" si="1"/>
        <v>65.71541815299247</v>
      </c>
      <c r="BL15" s="258">
        <v>0.35271751286065756</v>
      </c>
      <c r="BM15" s="258">
        <v>0</v>
      </c>
      <c r="BN15" s="258">
        <v>0.28517110266159695</v>
      </c>
      <c r="BO15" s="258">
        <v>0</v>
      </c>
      <c r="BP15" s="258">
        <v>0</v>
      </c>
      <c r="BQ15" s="258">
        <v>0</v>
      </c>
      <c r="BR15" s="258">
        <v>0</v>
      </c>
      <c r="BS15" s="258">
        <v>0</v>
      </c>
      <c r="BT15" s="258">
        <v>0</v>
      </c>
      <c r="BU15" s="258">
        <v>0</v>
      </c>
      <c r="BV15" s="258">
        <v>0</v>
      </c>
      <c r="BW15" s="258">
        <v>7.2690673227465896E-3</v>
      </c>
      <c r="BX15" s="258">
        <v>0</v>
      </c>
      <c r="BY15" s="258">
        <v>0.28897338403041822</v>
      </c>
      <c r="BZ15" s="258">
        <v>0</v>
      </c>
      <c r="CA15" s="258">
        <v>3.7239991053455601E-2</v>
      </c>
      <c r="CB15" s="258">
        <v>0</v>
      </c>
      <c r="CC15" s="258">
        <v>0</v>
      </c>
      <c r="CD15" s="258">
        <v>2.8628942071125027E-2</v>
      </c>
    </row>
    <row r="16" spans="1:82" s="29" customFormat="1" x14ac:dyDescent="0.2">
      <c r="A16" s="27" t="s">
        <v>179</v>
      </c>
      <c r="B16" s="27" t="s">
        <v>421</v>
      </c>
      <c r="C16" s="37">
        <v>500</v>
      </c>
      <c r="D16" s="37">
        <v>600</v>
      </c>
      <c r="E16" s="28">
        <f t="shared" si="2"/>
        <v>550</v>
      </c>
      <c r="F16" s="28">
        <v>58.42</v>
      </c>
      <c r="G16" s="28">
        <v>17.3</v>
      </c>
      <c r="H16" s="28">
        <v>7.27</v>
      </c>
      <c r="I16" s="28">
        <v>0.156</v>
      </c>
      <c r="J16" s="28">
        <v>2.4900000000000002</v>
      </c>
      <c r="K16" s="28">
        <v>4.16</v>
      </c>
      <c r="L16" s="28">
        <v>4.03</v>
      </c>
      <c r="M16" s="28">
        <v>1.86</v>
      </c>
      <c r="N16" s="28">
        <v>0.91100000000000003</v>
      </c>
      <c r="O16" s="28">
        <v>0.37</v>
      </c>
      <c r="P16" s="28">
        <v>2.48</v>
      </c>
      <c r="Q16" s="28">
        <v>99.44</v>
      </c>
      <c r="R16" s="28">
        <v>15</v>
      </c>
      <c r="S16" s="28">
        <v>3</v>
      </c>
      <c r="T16" s="28">
        <v>125</v>
      </c>
      <c r="U16" s="28" t="s">
        <v>69</v>
      </c>
      <c r="V16" s="28">
        <v>12</v>
      </c>
      <c r="W16" s="28" t="s">
        <v>69</v>
      </c>
      <c r="X16" s="28" t="s">
        <v>114</v>
      </c>
      <c r="Y16" s="28">
        <v>90</v>
      </c>
      <c r="Z16" s="28">
        <v>16</v>
      </c>
      <c r="AA16" s="28">
        <v>1</v>
      </c>
      <c r="AB16" s="28" t="s">
        <v>71</v>
      </c>
      <c r="AC16" s="28">
        <v>75</v>
      </c>
      <c r="AD16" s="28">
        <v>504</v>
      </c>
      <c r="AE16" s="28">
        <v>24</v>
      </c>
      <c r="AF16" s="28">
        <v>119</v>
      </c>
      <c r="AG16" s="28">
        <v>8</v>
      </c>
      <c r="AH16" s="28" t="s">
        <v>72</v>
      </c>
      <c r="AI16" s="28" t="s">
        <v>74</v>
      </c>
      <c r="AJ16" s="28" t="s">
        <v>73</v>
      </c>
      <c r="AK16" s="28">
        <v>2</v>
      </c>
      <c r="AL16" s="28" t="s">
        <v>74</v>
      </c>
      <c r="AM16" s="28">
        <v>1.4</v>
      </c>
      <c r="AN16" s="28">
        <v>366</v>
      </c>
      <c r="AO16" s="28" t="s">
        <v>75</v>
      </c>
      <c r="AP16" s="28">
        <v>37.299999999999997</v>
      </c>
      <c r="AQ16" s="28">
        <v>82.1</v>
      </c>
      <c r="AR16" s="28">
        <v>10.1</v>
      </c>
      <c r="AS16" s="28">
        <v>38.799999999999997</v>
      </c>
      <c r="AT16" s="28">
        <v>7.8</v>
      </c>
      <c r="AU16" s="28">
        <v>1.93</v>
      </c>
      <c r="AV16" s="28">
        <v>6</v>
      </c>
      <c r="AW16" s="28">
        <v>0.9</v>
      </c>
      <c r="AX16" s="28">
        <v>5.0999999999999996</v>
      </c>
      <c r="AY16" s="28">
        <v>1</v>
      </c>
      <c r="AZ16" s="28">
        <v>2.7</v>
      </c>
      <c r="BA16" s="28">
        <v>0.37</v>
      </c>
      <c r="BB16" s="28">
        <v>2.4</v>
      </c>
      <c r="BC16" s="28">
        <v>0.37</v>
      </c>
      <c r="BD16" s="28">
        <v>3.3</v>
      </c>
      <c r="BE16" s="28">
        <v>0.4</v>
      </c>
      <c r="BF16" s="28" t="s">
        <v>68</v>
      </c>
      <c r="BG16" s="28">
        <v>0.3</v>
      </c>
      <c r="BH16" s="28">
        <v>16</v>
      </c>
      <c r="BI16" s="28">
        <v>8.8000000000000007</v>
      </c>
      <c r="BJ16" s="28">
        <v>1.5</v>
      </c>
      <c r="BK16" s="39">
        <f t="shared" si="1"/>
        <v>61.829878484631884</v>
      </c>
      <c r="BL16" s="258">
        <v>0.26704288939051918</v>
      </c>
      <c r="BM16" s="258">
        <v>0</v>
      </c>
      <c r="BN16" s="258">
        <v>0.32911963882618506</v>
      </c>
      <c r="BO16" s="258">
        <v>5.0564334085778782E-2</v>
      </c>
      <c r="BP16" s="258">
        <v>0</v>
      </c>
      <c r="BQ16" s="258">
        <v>4.5033860045146722E-2</v>
      </c>
      <c r="BR16" s="258">
        <v>0</v>
      </c>
      <c r="BS16" s="258">
        <v>0</v>
      </c>
      <c r="BT16" s="258">
        <v>0</v>
      </c>
      <c r="BU16" s="258">
        <v>0</v>
      </c>
      <c r="BV16" s="258">
        <v>0</v>
      </c>
      <c r="BW16" s="258">
        <v>1.3995485327313768E-2</v>
      </c>
      <c r="BX16" s="258">
        <v>0</v>
      </c>
      <c r="BY16" s="258">
        <v>0.27121896162528214</v>
      </c>
      <c r="BZ16" s="258">
        <v>0</v>
      </c>
      <c r="CA16" s="258">
        <v>6.0948081264108351E-3</v>
      </c>
      <c r="CB16" s="258">
        <v>0</v>
      </c>
      <c r="CC16" s="258">
        <v>0</v>
      </c>
      <c r="CD16" s="258">
        <v>1.6930022573363429E-2</v>
      </c>
    </row>
    <row r="17" spans="1:82" s="29" customFormat="1" x14ac:dyDescent="0.2">
      <c r="A17" s="27" t="s">
        <v>180</v>
      </c>
      <c r="B17" s="27" t="s">
        <v>421</v>
      </c>
      <c r="C17" s="37">
        <v>600</v>
      </c>
      <c r="D17" s="37">
        <v>700</v>
      </c>
      <c r="E17" s="28">
        <f t="shared" si="2"/>
        <v>650</v>
      </c>
      <c r="F17" s="28">
        <v>63.75</v>
      </c>
      <c r="G17" s="28">
        <v>15.62</v>
      </c>
      <c r="H17" s="28">
        <v>6.27</v>
      </c>
      <c r="I17" s="28">
        <v>0.11700000000000001</v>
      </c>
      <c r="J17" s="28">
        <v>2</v>
      </c>
      <c r="K17" s="28">
        <v>2.7</v>
      </c>
      <c r="L17" s="28">
        <v>3.84</v>
      </c>
      <c r="M17" s="28">
        <v>1.83</v>
      </c>
      <c r="N17" s="28">
        <v>0.86299999999999999</v>
      </c>
      <c r="O17" s="28">
        <v>0.22</v>
      </c>
      <c r="P17" s="28">
        <v>2.14</v>
      </c>
      <c r="Q17" s="28">
        <v>99.36</v>
      </c>
      <c r="R17" s="28">
        <v>12</v>
      </c>
      <c r="S17" s="28">
        <v>3</v>
      </c>
      <c r="T17" s="28">
        <v>82</v>
      </c>
      <c r="U17" s="28">
        <v>20</v>
      </c>
      <c r="V17" s="28">
        <v>9</v>
      </c>
      <c r="W17" s="28" t="s">
        <v>69</v>
      </c>
      <c r="X17" s="28" t="s">
        <v>114</v>
      </c>
      <c r="Y17" s="28">
        <v>90</v>
      </c>
      <c r="Z17" s="28">
        <v>14</v>
      </c>
      <c r="AA17" s="28">
        <v>1</v>
      </c>
      <c r="AB17" s="28" t="s">
        <v>71</v>
      </c>
      <c r="AC17" s="28">
        <v>81</v>
      </c>
      <c r="AD17" s="28">
        <v>398</v>
      </c>
      <c r="AE17" s="28">
        <v>18</v>
      </c>
      <c r="AF17" s="28">
        <v>237</v>
      </c>
      <c r="AG17" s="28">
        <v>7</v>
      </c>
      <c r="AH17" s="28" t="s">
        <v>72</v>
      </c>
      <c r="AI17" s="28">
        <v>0.7</v>
      </c>
      <c r="AJ17" s="28" t="s">
        <v>73</v>
      </c>
      <c r="AK17" s="28">
        <v>2</v>
      </c>
      <c r="AL17" s="28" t="s">
        <v>74</v>
      </c>
      <c r="AM17" s="28">
        <v>1.5</v>
      </c>
      <c r="AN17" s="28">
        <v>444</v>
      </c>
      <c r="AO17" s="28" t="s">
        <v>75</v>
      </c>
      <c r="AP17" s="28">
        <v>35.4</v>
      </c>
      <c r="AQ17" s="28">
        <v>69.400000000000006</v>
      </c>
      <c r="AR17" s="28">
        <v>8.8000000000000007</v>
      </c>
      <c r="AS17" s="28">
        <v>33.700000000000003</v>
      </c>
      <c r="AT17" s="28">
        <v>6.5</v>
      </c>
      <c r="AU17" s="28">
        <v>1.64</v>
      </c>
      <c r="AV17" s="28">
        <v>5.3</v>
      </c>
      <c r="AW17" s="28">
        <v>0.7</v>
      </c>
      <c r="AX17" s="28">
        <v>3.7</v>
      </c>
      <c r="AY17" s="28">
        <v>0.7</v>
      </c>
      <c r="AZ17" s="28">
        <v>2</v>
      </c>
      <c r="BA17" s="28">
        <v>0.26</v>
      </c>
      <c r="BB17" s="28">
        <v>1.7</v>
      </c>
      <c r="BC17" s="28">
        <v>0.27</v>
      </c>
      <c r="BD17" s="28">
        <v>5.7</v>
      </c>
      <c r="BE17" s="28">
        <v>0.3</v>
      </c>
      <c r="BF17" s="28" t="s">
        <v>68</v>
      </c>
      <c r="BG17" s="28">
        <v>0.3</v>
      </c>
      <c r="BH17" s="28">
        <v>122</v>
      </c>
      <c r="BI17" s="28">
        <v>7.8</v>
      </c>
      <c r="BJ17" s="28">
        <v>1.2</v>
      </c>
      <c r="BK17" s="39">
        <f t="shared" si="1"/>
        <v>64.652317880794712</v>
      </c>
      <c r="BL17" s="258">
        <v>0.34044956511916863</v>
      </c>
      <c r="BM17" s="258">
        <v>0</v>
      </c>
      <c r="BN17" s="258">
        <v>0.2947023607816559</v>
      </c>
      <c r="BO17" s="258">
        <v>6.9919801197334236E-2</v>
      </c>
      <c r="BP17" s="258">
        <v>0</v>
      </c>
      <c r="BQ17" s="258">
        <v>1.5587936292782106E-2</v>
      </c>
      <c r="BR17" s="258">
        <v>0</v>
      </c>
      <c r="BS17" s="258">
        <v>0</v>
      </c>
      <c r="BT17" s="258">
        <v>0</v>
      </c>
      <c r="BU17" s="258">
        <v>0</v>
      </c>
      <c r="BV17" s="258">
        <v>0</v>
      </c>
      <c r="BW17" s="258">
        <v>7.5680560262058067E-3</v>
      </c>
      <c r="BX17" s="258">
        <v>0</v>
      </c>
      <c r="BY17" s="258">
        <v>0.24534056252117925</v>
      </c>
      <c r="BZ17" s="258">
        <v>0</v>
      </c>
      <c r="CA17" s="258">
        <v>5.6478030046311981E-3</v>
      </c>
      <c r="CB17" s="258">
        <v>0</v>
      </c>
      <c r="CC17" s="258">
        <v>0</v>
      </c>
      <c r="CD17" s="258">
        <v>2.0783915057042811E-2</v>
      </c>
    </row>
    <row r="18" spans="1:82" s="29" customFormat="1" x14ac:dyDescent="0.2">
      <c r="A18" s="27" t="s">
        <v>181</v>
      </c>
      <c r="B18" s="27" t="s">
        <v>421</v>
      </c>
      <c r="C18" s="37">
        <v>700</v>
      </c>
      <c r="D18" s="37">
        <v>800</v>
      </c>
      <c r="E18" s="28">
        <f t="shared" si="2"/>
        <v>750</v>
      </c>
      <c r="F18" s="28">
        <v>66.290000000000006</v>
      </c>
      <c r="G18" s="28">
        <v>15.25</v>
      </c>
      <c r="H18" s="28">
        <v>5.03</v>
      </c>
      <c r="I18" s="28">
        <v>9.1999999999999998E-2</v>
      </c>
      <c r="J18" s="28">
        <v>1.87</v>
      </c>
      <c r="K18" s="28">
        <v>2.4900000000000002</v>
      </c>
      <c r="L18" s="28">
        <v>4.08</v>
      </c>
      <c r="M18" s="28">
        <v>1.61</v>
      </c>
      <c r="N18" s="28">
        <v>0.65800000000000003</v>
      </c>
      <c r="O18" s="28">
        <v>0.17</v>
      </c>
      <c r="P18" s="28">
        <v>2.0499999999999998</v>
      </c>
      <c r="Q18" s="28">
        <v>99.58</v>
      </c>
      <c r="R18" s="28">
        <v>11</v>
      </c>
      <c r="S18" s="28">
        <v>2</v>
      </c>
      <c r="T18" s="28">
        <v>78</v>
      </c>
      <c r="U18" s="28">
        <v>20</v>
      </c>
      <c r="V18" s="28">
        <v>8</v>
      </c>
      <c r="W18" s="28" t="s">
        <v>69</v>
      </c>
      <c r="X18" s="28" t="s">
        <v>114</v>
      </c>
      <c r="Y18" s="28">
        <v>60</v>
      </c>
      <c r="Z18" s="28">
        <v>13</v>
      </c>
      <c r="AA18" s="28" t="s">
        <v>68</v>
      </c>
      <c r="AB18" s="28" t="s">
        <v>71</v>
      </c>
      <c r="AC18" s="28">
        <v>68</v>
      </c>
      <c r="AD18" s="28">
        <v>381</v>
      </c>
      <c r="AE18" s="28">
        <v>13</v>
      </c>
      <c r="AF18" s="28">
        <v>174</v>
      </c>
      <c r="AG18" s="28">
        <v>5</v>
      </c>
      <c r="AH18" s="28" t="s">
        <v>72</v>
      </c>
      <c r="AI18" s="28" t="s">
        <v>74</v>
      </c>
      <c r="AJ18" s="28" t="s">
        <v>73</v>
      </c>
      <c r="AK18" s="28">
        <v>1</v>
      </c>
      <c r="AL18" s="28" t="s">
        <v>74</v>
      </c>
      <c r="AM18" s="28">
        <v>1.3</v>
      </c>
      <c r="AN18" s="28">
        <v>390</v>
      </c>
      <c r="AO18" s="28" t="s">
        <v>75</v>
      </c>
      <c r="AP18" s="28">
        <v>24.5</v>
      </c>
      <c r="AQ18" s="28">
        <v>47.9</v>
      </c>
      <c r="AR18" s="28">
        <v>6.15</v>
      </c>
      <c r="AS18" s="28">
        <v>23.6</v>
      </c>
      <c r="AT18" s="28">
        <v>4.5</v>
      </c>
      <c r="AU18" s="28">
        <v>1.27</v>
      </c>
      <c r="AV18" s="28">
        <v>3.3</v>
      </c>
      <c r="AW18" s="28">
        <v>0.4</v>
      </c>
      <c r="AX18" s="28">
        <v>2.5</v>
      </c>
      <c r="AY18" s="28">
        <v>0.5</v>
      </c>
      <c r="AZ18" s="28">
        <v>1.3</v>
      </c>
      <c r="BA18" s="28">
        <v>0.18</v>
      </c>
      <c r="BB18" s="28">
        <v>1.2</v>
      </c>
      <c r="BC18" s="28">
        <v>0.18</v>
      </c>
      <c r="BD18" s="28">
        <v>4.2</v>
      </c>
      <c r="BE18" s="28">
        <v>0.3</v>
      </c>
      <c r="BF18" s="28" t="s">
        <v>68</v>
      </c>
      <c r="BG18" s="28">
        <v>0.2</v>
      </c>
      <c r="BH18" s="28">
        <v>22</v>
      </c>
      <c r="BI18" s="28">
        <v>4.0999999999999996</v>
      </c>
      <c r="BJ18" s="28">
        <v>0.7</v>
      </c>
      <c r="BK18" s="39">
        <f t="shared" si="1"/>
        <v>64.373153229210644</v>
      </c>
      <c r="BL18" s="258">
        <v>0.31440600819299047</v>
      </c>
      <c r="BM18" s="258">
        <v>0</v>
      </c>
      <c r="BN18" s="258">
        <v>0.28823395539371871</v>
      </c>
      <c r="BO18" s="258">
        <v>8.7164314974965865E-2</v>
      </c>
      <c r="BP18" s="258">
        <v>0</v>
      </c>
      <c r="BQ18" s="258">
        <v>0</v>
      </c>
      <c r="BR18" s="258">
        <v>0</v>
      </c>
      <c r="BS18" s="258">
        <v>0</v>
      </c>
      <c r="BT18" s="258">
        <v>0</v>
      </c>
      <c r="BU18" s="258">
        <v>0</v>
      </c>
      <c r="BV18" s="258">
        <v>0</v>
      </c>
      <c r="BW18" s="258">
        <v>7.965407373691398E-3</v>
      </c>
      <c r="BX18" s="258">
        <v>0</v>
      </c>
      <c r="BY18" s="258">
        <v>0.27082385070550752</v>
      </c>
      <c r="BZ18" s="258">
        <v>0</v>
      </c>
      <c r="CA18" s="258">
        <v>4.5516613563950847E-3</v>
      </c>
      <c r="CB18" s="258">
        <v>0</v>
      </c>
      <c r="CC18" s="258">
        <v>0</v>
      </c>
      <c r="CD18" s="258">
        <v>2.6854802002730997E-2</v>
      </c>
    </row>
    <row r="19" spans="1:82" s="29" customFormat="1" x14ac:dyDescent="0.2">
      <c r="A19" s="27" t="s">
        <v>454</v>
      </c>
      <c r="B19" s="27" t="s">
        <v>470</v>
      </c>
      <c r="C19" s="27"/>
      <c r="D19" s="27"/>
      <c r="E19" s="28">
        <v>1000</v>
      </c>
      <c r="F19" s="28">
        <v>76.819999999999993</v>
      </c>
      <c r="G19" s="28">
        <v>13.74</v>
      </c>
      <c r="H19" s="28">
        <v>1.01</v>
      </c>
      <c r="I19" s="28">
        <v>1.6E-2</v>
      </c>
      <c r="J19" s="28">
        <v>0.09</v>
      </c>
      <c r="K19" s="28">
        <v>3.37</v>
      </c>
      <c r="L19" s="28">
        <v>3.91</v>
      </c>
      <c r="M19" s="28">
        <v>0.92</v>
      </c>
      <c r="N19" s="28">
        <v>2.7E-2</v>
      </c>
      <c r="O19" s="28">
        <v>5.0000000000000001E-3</v>
      </c>
      <c r="P19" s="28">
        <v>0.89</v>
      </c>
      <c r="Q19" s="28">
        <v>100.8</v>
      </c>
      <c r="R19" s="28" t="s">
        <v>68</v>
      </c>
      <c r="S19" s="28">
        <v>1</v>
      </c>
      <c r="T19" s="28">
        <v>7</v>
      </c>
      <c r="U19" s="28" t="s">
        <v>69</v>
      </c>
      <c r="V19" s="28">
        <v>3</v>
      </c>
      <c r="W19" s="28" t="s">
        <v>69</v>
      </c>
      <c r="X19" s="28">
        <v>60</v>
      </c>
      <c r="Y19" s="28" t="s">
        <v>70</v>
      </c>
      <c r="Z19" s="28">
        <v>11</v>
      </c>
      <c r="AA19" s="28" t="s">
        <v>68</v>
      </c>
      <c r="AB19" s="28" t="s">
        <v>71</v>
      </c>
      <c r="AC19" s="28">
        <v>25</v>
      </c>
      <c r="AD19" s="28">
        <v>431</v>
      </c>
      <c r="AE19" s="28">
        <v>2</v>
      </c>
      <c r="AF19" s="28">
        <v>59</v>
      </c>
      <c r="AG19" s="28" t="s">
        <v>68</v>
      </c>
      <c r="AH19" s="28" t="s">
        <v>72</v>
      </c>
      <c r="AI19" s="28" t="s">
        <v>74</v>
      </c>
      <c r="AJ19" s="28" t="s">
        <v>73</v>
      </c>
      <c r="AK19" s="28" t="s">
        <v>68</v>
      </c>
      <c r="AL19" s="28" t="s">
        <v>74</v>
      </c>
      <c r="AM19" s="28" t="s">
        <v>74</v>
      </c>
      <c r="AN19" s="28">
        <v>113</v>
      </c>
      <c r="AO19" s="28" t="s">
        <v>75</v>
      </c>
      <c r="AP19" s="28">
        <v>2.5</v>
      </c>
      <c r="AQ19" s="28">
        <v>4.0999999999999996</v>
      </c>
      <c r="AR19" s="28">
        <v>0.4</v>
      </c>
      <c r="AS19" s="28">
        <v>1.4</v>
      </c>
      <c r="AT19" s="28">
        <v>0.2</v>
      </c>
      <c r="AU19" s="28">
        <v>0.37</v>
      </c>
      <c r="AV19" s="28">
        <v>0.2</v>
      </c>
      <c r="AW19" s="28">
        <v>0</v>
      </c>
      <c r="AX19" s="28">
        <v>0.2</v>
      </c>
      <c r="AY19" s="28">
        <v>0</v>
      </c>
      <c r="AZ19" s="28">
        <v>0.1</v>
      </c>
      <c r="BA19" s="28">
        <v>0</v>
      </c>
      <c r="BB19" s="28">
        <v>0.3</v>
      </c>
      <c r="BC19" s="28">
        <v>0.05</v>
      </c>
      <c r="BD19" s="28">
        <v>2</v>
      </c>
      <c r="BE19" s="28" t="s">
        <v>79</v>
      </c>
      <c r="BF19" s="28" t="s">
        <v>68</v>
      </c>
      <c r="BG19" s="28">
        <v>0.1</v>
      </c>
      <c r="BH19" s="28">
        <v>6</v>
      </c>
      <c r="BI19" s="28">
        <v>0.7</v>
      </c>
      <c r="BJ19" s="28">
        <v>0.3</v>
      </c>
      <c r="BK19" s="39">
        <f t="shared" si="1"/>
        <v>65.087636191378493</v>
      </c>
    </row>
    <row r="20" spans="1:82" s="29" customFormat="1" x14ac:dyDescent="0.2">
      <c r="A20" s="27" t="s">
        <v>455</v>
      </c>
      <c r="B20" s="27" t="s">
        <v>470</v>
      </c>
      <c r="C20" s="27"/>
      <c r="D20" s="27"/>
      <c r="E20" s="28">
        <v>1000</v>
      </c>
      <c r="F20" s="28">
        <v>69.12</v>
      </c>
      <c r="G20" s="28">
        <v>15.87</v>
      </c>
      <c r="H20" s="28">
        <v>2.4500000000000002</v>
      </c>
      <c r="I20" s="28">
        <v>6.2E-2</v>
      </c>
      <c r="J20" s="28">
        <v>1.1100000000000001</v>
      </c>
      <c r="K20" s="28">
        <v>2.27</v>
      </c>
      <c r="L20" s="28">
        <v>4.8</v>
      </c>
      <c r="M20" s="28">
        <v>3.17</v>
      </c>
      <c r="N20" s="28">
        <v>0.25700000000000001</v>
      </c>
      <c r="O20" s="28">
        <v>0.06</v>
      </c>
      <c r="P20" s="28">
        <v>0.37</v>
      </c>
      <c r="Q20" s="28">
        <v>99.53</v>
      </c>
      <c r="R20" s="28">
        <v>4</v>
      </c>
      <c r="S20" s="28">
        <v>2</v>
      </c>
      <c r="T20" s="28">
        <v>25</v>
      </c>
      <c r="U20" s="28">
        <v>190</v>
      </c>
      <c r="V20" s="28">
        <v>4</v>
      </c>
      <c r="W20" s="28">
        <v>40</v>
      </c>
      <c r="X20" s="28">
        <v>30</v>
      </c>
      <c r="Y20" s="28">
        <v>50</v>
      </c>
      <c r="Z20" s="28">
        <v>16</v>
      </c>
      <c r="AA20" s="28">
        <v>1</v>
      </c>
      <c r="AB20" s="28" t="s">
        <v>71</v>
      </c>
      <c r="AC20" s="28">
        <v>95</v>
      </c>
      <c r="AD20" s="28">
        <v>452</v>
      </c>
      <c r="AE20" s="28">
        <v>14</v>
      </c>
      <c r="AF20" s="28">
        <v>157</v>
      </c>
      <c r="AG20" s="28">
        <v>4</v>
      </c>
      <c r="AH20" s="28">
        <v>4</v>
      </c>
      <c r="AI20" s="28" t="s">
        <v>74</v>
      </c>
      <c r="AJ20" s="28" t="s">
        <v>73</v>
      </c>
      <c r="AK20" s="28">
        <v>1</v>
      </c>
      <c r="AL20" s="28" t="s">
        <v>74</v>
      </c>
      <c r="AM20" s="28">
        <v>1.8</v>
      </c>
      <c r="AN20" s="28">
        <v>667</v>
      </c>
      <c r="AO20" s="28" t="s">
        <v>75</v>
      </c>
      <c r="AP20" s="28">
        <v>15.6</v>
      </c>
      <c r="AQ20" s="28">
        <v>32.700000000000003</v>
      </c>
      <c r="AR20" s="28">
        <v>3.6</v>
      </c>
      <c r="AS20" s="28">
        <v>13.5</v>
      </c>
      <c r="AT20" s="28">
        <v>2.5</v>
      </c>
      <c r="AU20" s="28">
        <v>0.63</v>
      </c>
      <c r="AV20" s="28">
        <v>2.2999999999999998</v>
      </c>
      <c r="AW20" s="28">
        <v>0.4</v>
      </c>
      <c r="AX20" s="28">
        <v>2.4</v>
      </c>
      <c r="AY20" s="28">
        <v>0.5</v>
      </c>
      <c r="AZ20" s="28">
        <v>1.6</v>
      </c>
      <c r="BA20" s="28">
        <v>0.28000000000000003</v>
      </c>
      <c r="BB20" s="28">
        <v>2</v>
      </c>
      <c r="BC20" s="28">
        <v>0.33</v>
      </c>
      <c r="BD20" s="28">
        <v>4.7</v>
      </c>
      <c r="BE20" s="28">
        <v>0.6</v>
      </c>
      <c r="BF20" s="28" t="s">
        <v>68</v>
      </c>
      <c r="BG20" s="28">
        <v>0.3</v>
      </c>
      <c r="BH20" s="28">
        <v>15</v>
      </c>
      <c r="BI20" s="28">
        <v>5.9</v>
      </c>
      <c r="BJ20" s="28">
        <v>1.6</v>
      </c>
      <c r="BK20" s="39">
        <f t="shared" si="1"/>
        <v>65.987525987525984</v>
      </c>
    </row>
    <row r="21" spans="1:82" x14ac:dyDescent="0.2">
      <c r="A21" s="7" t="s">
        <v>495</v>
      </c>
      <c r="B21" s="2"/>
      <c r="C21" s="7"/>
      <c r="D21" s="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82" x14ac:dyDescent="0.2">
      <c r="AE22" s="260" t="s">
        <v>660</v>
      </c>
      <c r="AG22" s="260" t="s">
        <v>661</v>
      </c>
      <c r="AM22" s="260" t="s">
        <v>657</v>
      </c>
      <c r="AP22" t="str">
        <f>AP3</f>
        <v>La</v>
      </c>
      <c r="AQ22" t="str">
        <f t="shared" ref="AQ22:BC22" si="3">AQ3</f>
        <v>Ce</v>
      </c>
      <c r="AR22" t="str">
        <f t="shared" si="3"/>
        <v>Pr</v>
      </c>
      <c r="AS22" t="str">
        <f t="shared" si="3"/>
        <v>Nd</v>
      </c>
      <c r="AT22" t="str">
        <f t="shared" si="3"/>
        <v>Sm</v>
      </c>
      <c r="AU22" t="str">
        <f t="shared" si="3"/>
        <v>Eu</v>
      </c>
      <c r="AV22" t="str">
        <f t="shared" si="3"/>
        <v>Gd</v>
      </c>
      <c r="AW22" t="str">
        <f t="shared" si="3"/>
        <v>Tb</v>
      </c>
      <c r="AX22" t="str">
        <f t="shared" si="3"/>
        <v>Dy</v>
      </c>
      <c r="AY22" t="str">
        <f t="shared" si="3"/>
        <v>Ho</v>
      </c>
      <c r="AZ22" t="str">
        <f t="shared" si="3"/>
        <v>Er</v>
      </c>
      <c r="BA22" t="str">
        <f t="shared" si="3"/>
        <v>Tm</v>
      </c>
      <c r="BB22" t="str">
        <f t="shared" si="3"/>
        <v>Yb</v>
      </c>
      <c r="BC22" t="str">
        <f t="shared" si="3"/>
        <v>Lu</v>
      </c>
    </row>
    <row r="23" spans="1:82" x14ac:dyDescent="0.2">
      <c r="AE23" s="352">
        <v>1.56</v>
      </c>
      <c r="AG23" s="351">
        <v>5.5599999999999997E-2</v>
      </c>
      <c r="AO23" s="11" t="s">
        <v>440</v>
      </c>
      <c r="AP23" s="12">
        <v>0.36699999999999999</v>
      </c>
      <c r="AQ23" s="12">
        <v>0.95699999999999996</v>
      </c>
      <c r="AR23" s="12">
        <v>0.13700000000000001</v>
      </c>
      <c r="AS23" s="12">
        <v>0.71099999999999997</v>
      </c>
      <c r="AT23" s="12">
        <v>0.23100000000000001</v>
      </c>
      <c r="AU23" s="12">
        <v>8.6999999999999994E-2</v>
      </c>
      <c r="AV23" s="12">
        <v>0.30599999999999999</v>
      </c>
      <c r="AW23" s="12">
        <v>5.8000000000000003E-2</v>
      </c>
      <c r="AX23" s="12">
        <v>0.38100000000000001</v>
      </c>
      <c r="AY23" s="12">
        <v>8.5000000000000006E-2</v>
      </c>
      <c r="AZ23" s="12">
        <v>0.249</v>
      </c>
      <c r="BA23" s="12">
        <v>3.5999999999999997E-2</v>
      </c>
      <c r="BB23" s="12">
        <v>0.248</v>
      </c>
      <c r="BC23" s="12">
        <v>3.7999999999999999E-2</v>
      </c>
      <c r="BD23" s="16" t="s">
        <v>441</v>
      </c>
      <c r="BE23" t="s">
        <v>625</v>
      </c>
      <c r="BF23" t="s">
        <v>626</v>
      </c>
      <c r="BH23" s="260" t="s">
        <v>648</v>
      </c>
    </row>
    <row r="24" spans="1:82" x14ac:dyDescent="0.2">
      <c r="B24" s="25"/>
      <c r="C24" s="25"/>
      <c r="D24" s="25"/>
      <c r="AE24" s="257"/>
      <c r="AO24" s="13" t="str">
        <f t="shared" ref="AO24:AO31" si="4">E6</f>
        <v>Average (cm)</v>
      </c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6"/>
    </row>
    <row r="25" spans="1:82" x14ac:dyDescent="0.2">
      <c r="B25" s="25"/>
      <c r="C25" s="25"/>
      <c r="D25" s="25"/>
      <c r="AE25" s="90">
        <f t="shared" ref="AE25" si="5">AE7/AE$23</f>
        <v>1.9230769230769229</v>
      </c>
      <c r="AG25">
        <f>AY7/AG$23</f>
        <v>1.7985611510791368</v>
      </c>
      <c r="AM25">
        <f t="shared" ref="AM25:AM36" si="6">AE25/AG25</f>
        <v>1.069230769230769</v>
      </c>
      <c r="AO25" s="310">
        <f t="shared" si="4"/>
        <v>10</v>
      </c>
      <c r="AP25" s="90">
        <f t="shared" ref="AP25:BC25" si="7">AP7/AP$23</f>
        <v>16.348773841961854</v>
      </c>
      <c r="AQ25" s="90">
        <f t="shared" si="7"/>
        <v>13.270637408568442</v>
      </c>
      <c r="AR25" s="90">
        <f t="shared" si="7"/>
        <v>10.875912408759124</v>
      </c>
      <c r="AS25" s="90">
        <f t="shared" si="7"/>
        <v>8.4388185654008439</v>
      </c>
      <c r="AT25" s="90">
        <f t="shared" si="7"/>
        <v>4.7619047619047619</v>
      </c>
      <c r="AU25" s="90">
        <f t="shared" si="7"/>
        <v>3.4482758620689657</v>
      </c>
      <c r="AV25" s="90">
        <f t="shared" si="7"/>
        <v>2.6143790849673203</v>
      </c>
      <c r="AW25" s="90">
        <f t="shared" si="7"/>
        <v>1.7241379310344829</v>
      </c>
      <c r="AX25" s="90">
        <f t="shared" si="7"/>
        <v>1.5748031496062991</v>
      </c>
      <c r="AY25" s="90">
        <f t="shared" si="7"/>
        <v>1.1764705882352942</v>
      </c>
      <c r="AZ25" s="90">
        <f t="shared" si="7"/>
        <v>1.606425702811245</v>
      </c>
      <c r="BA25" s="90">
        <f t="shared" si="7"/>
        <v>1.9444444444444449</v>
      </c>
      <c r="BB25" s="90">
        <f t="shared" si="7"/>
        <v>2.4193548387096775</v>
      </c>
      <c r="BC25" s="90">
        <f t="shared" si="7"/>
        <v>2.6315789473684212</v>
      </c>
      <c r="BD25" s="91">
        <f>SUM(AP7:BC7)</f>
        <v>30.360000000000007</v>
      </c>
      <c r="BE25" s="257">
        <f>AQ7/(AQ7+AP7)</f>
        <v>0.67914438502673791</v>
      </c>
      <c r="BF25" s="257">
        <f>G7+H7+P7</f>
        <v>17.82</v>
      </c>
      <c r="BH25" s="333">
        <f>3*AQ25/(2*AP25+AS25)</f>
        <v>0.96780332964774274</v>
      </c>
    </row>
    <row r="26" spans="1:82" x14ac:dyDescent="0.2">
      <c r="B26" s="25"/>
      <c r="C26" s="25"/>
      <c r="D26" s="25"/>
      <c r="AE26" s="90">
        <f t="shared" ref="AE26" si="8">AE8/AE$23</f>
        <v>2.5641025641025639</v>
      </c>
      <c r="AG26">
        <f t="shared" ref="AG26:AG36" si="9">AY8/AG$23</f>
        <v>3.5971223021582737</v>
      </c>
      <c r="AM26">
        <f t="shared" si="6"/>
        <v>0.71282051282051273</v>
      </c>
      <c r="AO26" s="310">
        <f t="shared" si="4"/>
        <v>27.5</v>
      </c>
      <c r="AP26" s="90">
        <f t="shared" ref="AP26:BC26" si="10">AP8/AP$23</f>
        <v>23.160762942779293</v>
      </c>
      <c r="AQ26" s="90">
        <f t="shared" si="10"/>
        <v>19.331243469174506</v>
      </c>
      <c r="AR26" s="90">
        <f t="shared" si="10"/>
        <v>14.014598540145984</v>
      </c>
      <c r="AS26" s="90">
        <f t="shared" si="10"/>
        <v>9.7046413502109719</v>
      </c>
      <c r="AT26" s="90">
        <f t="shared" si="10"/>
        <v>5.6277056277056277</v>
      </c>
      <c r="AU26" s="90">
        <f t="shared" si="10"/>
        <v>4.0229885057471266</v>
      </c>
      <c r="AV26" s="90">
        <f t="shared" si="10"/>
        <v>2.9411764705882355</v>
      </c>
      <c r="AW26" s="90">
        <f t="shared" si="10"/>
        <v>1.7241379310344829</v>
      </c>
      <c r="AX26" s="90">
        <f t="shared" si="10"/>
        <v>2.3622047244094491</v>
      </c>
      <c r="AY26" s="90">
        <f t="shared" si="10"/>
        <v>2.3529411764705883</v>
      </c>
      <c r="AZ26" s="90">
        <f t="shared" si="10"/>
        <v>2.0080321285140563</v>
      </c>
      <c r="BA26" s="90">
        <f t="shared" si="10"/>
        <v>2.7777777777777781</v>
      </c>
      <c r="BB26" s="90">
        <f t="shared" si="10"/>
        <v>3.2258064516129035</v>
      </c>
      <c r="BC26" s="90">
        <f t="shared" si="10"/>
        <v>3.4210526315789478</v>
      </c>
      <c r="BD26" s="91">
        <f t="shared" ref="BD26:BD31" si="11">SUM(AP8:BC8)</f>
        <v>41.1</v>
      </c>
      <c r="BE26" s="257">
        <f t="shared" ref="BE26:BE36" si="12">AQ8/(AQ8+AP8)</f>
        <v>0.68518518518518523</v>
      </c>
      <c r="BF26" s="257">
        <f t="shared" ref="BF26:BF36" si="13">G8+H8+P8</f>
        <v>15.809999999999999</v>
      </c>
      <c r="BH26" s="333">
        <f t="shared" ref="BH26:BH36" si="14">3*AQ26/(2*AP26+AS26)</f>
        <v>1.03511864667583</v>
      </c>
    </row>
    <row r="27" spans="1:82" x14ac:dyDescent="0.2">
      <c r="B27" s="25"/>
      <c r="C27" s="25"/>
      <c r="D27" s="25"/>
      <c r="AE27" s="90">
        <f t="shared" ref="AE27" si="15">AE9/AE$23</f>
        <v>4.4871794871794872</v>
      </c>
      <c r="AG27">
        <f t="shared" si="9"/>
        <v>5.3956834532374103</v>
      </c>
      <c r="AM27">
        <f t="shared" si="6"/>
        <v>0.83162393162393156</v>
      </c>
      <c r="AO27" s="310">
        <f t="shared" si="4"/>
        <v>51.5</v>
      </c>
      <c r="AP27" s="90">
        <f t="shared" ref="AP27:BC27" si="16">AP9/AP$23</f>
        <v>39.509536784741144</v>
      </c>
      <c r="AQ27" s="90">
        <f t="shared" si="16"/>
        <v>31.556948798328108</v>
      </c>
      <c r="AR27" s="90">
        <f t="shared" si="16"/>
        <v>25.109489051094886</v>
      </c>
      <c r="AS27" s="90">
        <f t="shared" si="16"/>
        <v>18.284106891701828</v>
      </c>
      <c r="AT27" s="90">
        <f t="shared" si="16"/>
        <v>10.38961038961039</v>
      </c>
      <c r="AU27" s="90">
        <f t="shared" si="16"/>
        <v>7.4712643678160928</v>
      </c>
      <c r="AV27" s="90">
        <f t="shared" si="16"/>
        <v>4.9019607843137258</v>
      </c>
      <c r="AW27" s="90">
        <f t="shared" si="16"/>
        <v>3.4482758620689657</v>
      </c>
      <c r="AX27" s="90">
        <f t="shared" si="16"/>
        <v>3.674540682414698</v>
      </c>
      <c r="AY27" s="90">
        <f t="shared" si="16"/>
        <v>3.5294117647058818</v>
      </c>
      <c r="AZ27" s="90">
        <f t="shared" si="16"/>
        <v>3.2128514056224899</v>
      </c>
      <c r="BA27" s="90">
        <f t="shared" si="16"/>
        <v>3.6111111111111116</v>
      </c>
      <c r="BB27" s="90">
        <f t="shared" si="16"/>
        <v>4.032258064516129</v>
      </c>
      <c r="BC27" s="90">
        <f t="shared" si="16"/>
        <v>4.4736842105263159</v>
      </c>
      <c r="BD27" s="91">
        <f t="shared" si="11"/>
        <v>69.69</v>
      </c>
      <c r="BE27" s="257">
        <f t="shared" si="12"/>
        <v>0.67561521252796419</v>
      </c>
      <c r="BF27" s="257">
        <f t="shared" si="13"/>
        <v>26.529999999999998</v>
      </c>
      <c r="BH27" s="333">
        <f t="shared" si="14"/>
        <v>0.97294709120787815</v>
      </c>
    </row>
    <row r="28" spans="1:82" x14ac:dyDescent="0.2">
      <c r="B28" s="25"/>
      <c r="C28" s="25"/>
      <c r="D28" s="25"/>
      <c r="AE28" s="90">
        <f t="shared" ref="AE28" si="17">AE10/AE$23</f>
        <v>3.2051282051282048</v>
      </c>
      <c r="AG28">
        <f t="shared" si="9"/>
        <v>3.5971223021582737</v>
      </c>
      <c r="AM28">
        <f t="shared" si="6"/>
        <v>0.89102564102564086</v>
      </c>
      <c r="AO28" s="310">
        <f t="shared" si="4"/>
        <v>92</v>
      </c>
      <c r="AP28" s="90">
        <f t="shared" ref="AP28:BC28" si="18">AP10/AP$23</f>
        <v>42.779291553133511</v>
      </c>
      <c r="AQ28" s="90">
        <f t="shared" si="18"/>
        <v>42.63322884012539</v>
      </c>
      <c r="AR28" s="90">
        <f t="shared" si="18"/>
        <v>28.248175182481749</v>
      </c>
      <c r="AS28" s="90">
        <f t="shared" si="18"/>
        <v>21.940928270042196</v>
      </c>
      <c r="AT28" s="90">
        <f t="shared" si="18"/>
        <v>12.121212121212119</v>
      </c>
      <c r="AU28" s="90">
        <f t="shared" si="18"/>
        <v>8.1609195402298855</v>
      </c>
      <c r="AV28" s="90">
        <f t="shared" si="18"/>
        <v>5.882352941176471</v>
      </c>
      <c r="AW28" s="90">
        <f t="shared" si="18"/>
        <v>3.4482758620689657</v>
      </c>
      <c r="AX28" s="90">
        <f t="shared" si="18"/>
        <v>3.4120734908136483</v>
      </c>
      <c r="AY28" s="90">
        <f t="shared" si="18"/>
        <v>2.3529411764705883</v>
      </c>
      <c r="AZ28" s="90">
        <f t="shared" si="18"/>
        <v>2.8112449799196786</v>
      </c>
      <c r="BA28" s="90">
        <f t="shared" si="18"/>
        <v>3.0555555555555558</v>
      </c>
      <c r="BB28" s="90">
        <f t="shared" si="18"/>
        <v>3.2258064516129035</v>
      </c>
      <c r="BC28" s="90">
        <f t="shared" si="18"/>
        <v>3.4210526315789478</v>
      </c>
      <c r="BD28" s="91">
        <f t="shared" si="11"/>
        <v>84.719999999999985</v>
      </c>
      <c r="BE28" s="257">
        <f t="shared" si="12"/>
        <v>0.72212389380530972</v>
      </c>
      <c r="BF28" s="257">
        <f t="shared" si="13"/>
        <v>40.29</v>
      </c>
      <c r="BH28" s="333">
        <f t="shared" si="14"/>
        <v>1.1897699336758358</v>
      </c>
    </row>
    <row r="29" spans="1:82" x14ac:dyDescent="0.2">
      <c r="B29" s="25"/>
      <c r="C29" s="25"/>
      <c r="D29" s="25"/>
      <c r="AE29" s="90">
        <f t="shared" ref="AE29" si="19">AE11/AE$23</f>
        <v>4.4871794871794872</v>
      </c>
      <c r="AG29">
        <f t="shared" si="9"/>
        <v>5.3956834532374103</v>
      </c>
      <c r="AM29">
        <f t="shared" si="6"/>
        <v>0.83162393162393156</v>
      </c>
      <c r="AO29" s="310">
        <f t="shared" si="4"/>
        <v>140</v>
      </c>
      <c r="AP29" s="90">
        <f t="shared" ref="AP29:BC29" si="20">AP11/AP$23</f>
        <v>58.038147138964582</v>
      </c>
      <c r="AQ29" s="90">
        <f t="shared" si="20"/>
        <v>63.740856844305121</v>
      </c>
      <c r="AR29" s="90">
        <f t="shared" si="20"/>
        <v>43.722627737226276</v>
      </c>
      <c r="AS29" s="90">
        <f t="shared" si="20"/>
        <v>33.755274261603375</v>
      </c>
      <c r="AT29" s="90">
        <f t="shared" si="20"/>
        <v>19.047619047619047</v>
      </c>
      <c r="AU29" s="90">
        <f t="shared" si="20"/>
        <v>12.988505747126437</v>
      </c>
      <c r="AV29" s="90">
        <f t="shared" si="20"/>
        <v>8.4967320261437909</v>
      </c>
      <c r="AW29" s="90">
        <f t="shared" si="20"/>
        <v>5.1724137931034475</v>
      </c>
      <c r="AX29" s="90">
        <f t="shared" si="20"/>
        <v>4.4619422572178475</v>
      </c>
      <c r="AY29" s="90">
        <f t="shared" si="20"/>
        <v>3.5294117647058818</v>
      </c>
      <c r="AZ29" s="90">
        <f t="shared" si="20"/>
        <v>3.6144578313253013</v>
      </c>
      <c r="BA29" s="90">
        <f t="shared" si="20"/>
        <v>3.8888888888888897</v>
      </c>
      <c r="BB29" s="90">
        <f t="shared" si="20"/>
        <v>3.6290322580645165</v>
      </c>
      <c r="BC29" s="90">
        <f t="shared" si="20"/>
        <v>3.9473684210526314</v>
      </c>
      <c r="BD29" s="91">
        <f t="shared" si="11"/>
        <v>124.81</v>
      </c>
      <c r="BE29" s="257">
        <f t="shared" si="12"/>
        <v>0.74119076549210205</v>
      </c>
      <c r="BF29" s="257">
        <f t="shared" si="13"/>
        <v>37.269999999999996</v>
      </c>
      <c r="BH29" s="333">
        <f t="shared" si="14"/>
        <v>1.276250208129283</v>
      </c>
    </row>
    <row r="30" spans="1:82" ht="17" x14ac:dyDescent="0.25">
      <c r="B30" t="s">
        <v>466</v>
      </c>
      <c r="C30" t="s">
        <v>467</v>
      </c>
      <c r="D30" t="s">
        <v>468</v>
      </c>
      <c r="E30" s="260" t="s">
        <v>622</v>
      </c>
      <c r="F30" s="260" t="s">
        <v>623</v>
      </c>
      <c r="G30" s="260" t="s">
        <v>5</v>
      </c>
      <c r="H30" s="293" t="s">
        <v>620</v>
      </c>
      <c r="I30" s="260" t="s">
        <v>7</v>
      </c>
      <c r="J30" s="260" t="s">
        <v>8</v>
      </c>
      <c r="K30" s="260" t="s">
        <v>9</v>
      </c>
      <c r="L30" s="260" t="s">
        <v>10</v>
      </c>
      <c r="M30" s="260" t="s">
        <v>11</v>
      </c>
      <c r="N30" s="293" t="s">
        <v>621</v>
      </c>
      <c r="O30" s="260" t="s">
        <v>624</v>
      </c>
      <c r="AE30" s="90">
        <f t="shared" ref="AE30" si="21">AE12/AE$23</f>
        <v>10.256410256410255</v>
      </c>
      <c r="AG30">
        <f t="shared" si="9"/>
        <v>14.388489208633095</v>
      </c>
      <c r="AM30">
        <f t="shared" si="6"/>
        <v>0.71282051282051273</v>
      </c>
      <c r="AO30" s="310">
        <f t="shared" si="4"/>
        <v>189.5</v>
      </c>
      <c r="AP30" s="90">
        <f t="shared" ref="AP30:BC30" si="22">AP12/AP$23</f>
        <v>99.182561307901906</v>
      </c>
      <c r="AQ30" s="90">
        <f t="shared" si="22"/>
        <v>86.729362591431567</v>
      </c>
      <c r="AR30" s="90">
        <f t="shared" si="22"/>
        <v>76.642335766423358</v>
      </c>
      <c r="AS30" s="90">
        <f t="shared" si="22"/>
        <v>58.08720112517581</v>
      </c>
      <c r="AT30" s="90">
        <f t="shared" si="22"/>
        <v>36.363636363636367</v>
      </c>
      <c r="AU30" s="90">
        <f t="shared" si="22"/>
        <v>24.367816091954026</v>
      </c>
      <c r="AV30" s="90">
        <f t="shared" si="22"/>
        <v>19.607843137254903</v>
      </c>
      <c r="AW30" s="90">
        <f t="shared" si="22"/>
        <v>13.793103448275863</v>
      </c>
      <c r="AX30" s="90">
        <f t="shared" si="22"/>
        <v>11.023622047244094</v>
      </c>
      <c r="AY30" s="90">
        <f t="shared" si="22"/>
        <v>9.4117647058823533</v>
      </c>
      <c r="AZ30" s="90">
        <f t="shared" si="22"/>
        <v>8.8353413654618489</v>
      </c>
      <c r="BA30" s="90">
        <f t="shared" si="22"/>
        <v>8.6111111111111125</v>
      </c>
      <c r="BB30" s="90">
        <f t="shared" si="22"/>
        <v>8.870967741935484</v>
      </c>
      <c r="BC30" s="90">
        <f t="shared" si="22"/>
        <v>9.2105263157894726</v>
      </c>
      <c r="BD30" s="91">
        <f t="shared" si="11"/>
        <v>198.57999999999998</v>
      </c>
      <c r="BE30" s="257">
        <f t="shared" si="12"/>
        <v>0.69514237855946392</v>
      </c>
      <c r="BF30" s="257">
        <f t="shared" si="13"/>
        <v>32.78</v>
      </c>
      <c r="BH30" s="333">
        <f t="shared" si="14"/>
        <v>1.0145670898154473</v>
      </c>
    </row>
    <row r="31" spans="1:82" x14ac:dyDescent="0.2">
      <c r="A31" t="str">
        <f>A7</f>
        <v xml:space="preserve">R8P1EA01 </v>
      </c>
      <c r="B31" s="25">
        <f t="shared" ref="B31" si="23">100*G7/(G7+K7+L7)</f>
        <v>79.181184668989545</v>
      </c>
      <c r="C31" s="25">
        <f t="shared" ref="C31" si="24">100*G7/(G7+K7+M7+L7)</f>
        <v>70.356037151702793</v>
      </c>
      <c r="D31" s="25">
        <f t="shared" ref="D31" si="25">100*((2*L7/0.35)+(J7/0.9)+(2*M7/0.25)+(K7/0.7))</f>
        <v>2192.9523809523807</v>
      </c>
      <c r="E31" s="292">
        <f>((F7/F$18)*($N$18/$N7))-1</f>
        <v>0.46203321493712179</v>
      </c>
      <c r="F31" s="292">
        <f>((G7/G$18)*($N$18/$N7))-1</f>
        <v>-0.24137108792846507</v>
      </c>
      <c r="G31" s="292">
        <f>((H7/H$18)*($N$18/$N7))-1</f>
        <v>-0.15235857581782042</v>
      </c>
      <c r="H31" s="292">
        <f t="shared" ref="H31:O31" si="26">((I7/I$18)*($N$18/$N7))-1</f>
        <v>-0.10079051383399207</v>
      </c>
      <c r="I31" s="292">
        <f t="shared" si="26"/>
        <v>-0.46912980068060284</v>
      </c>
      <c r="J31" s="292">
        <f t="shared" si="26"/>
        <v>-0.50930996714129251</v>
      </c>
      <c r="K31" s="292">
        <f t="shared" si="26"/>
        <v>-0.55392156862745101</v>
      </c>
      <c r="L31" s="292">
        <f t="shared" si="26"/>
        <v>0.13833992094861647</v>
      </c>
      <c r="M31" s="292">
        <f t="shared" si="26"/>
        <v>0</v>
      </c>
      <c r="N31" s="292">
        <f t="shared" si="26"/>
        <v>-0.77540106951871657</v>
      </c>
      <c r="O31" s="292">
        <f t="shared" si="26"/>
        <v>2.3401330376940135</v>
      </c>
      <c r="AE31" s="90">
        <f t="shared" ref="AE31" si="27">AE13/AE$23</f>
        <v>11.538461538461538</v>
      </c>
      <c r="AG31">
        <f t="shared" si="9"/>
        <v>14.388489208633095</v>
      </c>
      <c r="AM31">
        <f t="shared" si="6"/>
        <v>0.80192307692307685</v>
      </c>
      <c r="AO31" s="310">
        <f t="shared" si="4"/>
        <v>245</v>
      </c>
      <c r="AP31" s="90">
        <f t="shared" ref="AP31:BC31" si="28">AP13/AP$23</f>
        <v>90.190735694822891</v>
      </c>
      <c r="AQ31" s="90">
        <f t="shared" si="28"/>
        <v>84.221525600835946</v>
      </c>
      <c r="AR31" s="90">
        <f t="shared" si="28"/>
        <v>63.430656934306562</v>
      </c>
      <c r="AS31" s="90">
        <f t="shared" si="28"/>
        <v>48.241912798874822</v>
      </c>
      <c r="AT31" s="90">
        <f t="shared" si="28"/>
        <v>29.870129870129869</v>
      </c>
      <c r="AU31" s="90">
        <f t="shared" si="28"/>
        <v>20.344827586206897</v>
      </c>
      <c r="AV31" s="90">
        <f t="shared" si="28"/>
        <v>17.320261437908496</v>
      </c>
      <c r="AW31" s="90">
        <f t="shared" si="28"/>
        <v>13.793103448275863</v>
      </c>
      <c r="AX31" s="90">
        <f t="shared" si="28"/>
        <v>10.761154855643044</v>
      </c>
      <c r="AY31" s="90">
        <f t="shared" si="28"/>
        <v>9.4117647058823533</v>
      </c>
      <c r="AZ31" s="90">
        <f t="shared" si="28"/>
        <v>8.8353413654618489</v>
      </c>
      <c r="BA31" s="90">
        <f t="shared" si="28"/>
        <v>8.6111111111111125</v>
      </c>
      <c r="BB31" s="90">
        <f t="shared" si="28"/>
        <v>8.4677419354838719</v>
      </c>
      <c r="BC31" s="90">
        <f t="shared" si="28"/>
        <v>8.9473684210526319</v>
      </c>
      <c r="BD31" s="91">
        <f t="shared" si="11"/>
        <v>181.31000000000003</v>
      </c>
      <c r="BE31" s="257">
        <f t="shared" si="12"/>
        <v>0.7088830255057168</v>
      </c>
      <c r="BF31" s="257">
        <f t="shared" si="13"/>
        <v>34.769999999999996</v>
      </c>
      <c r="BH31" s="333">
        <f t="shared" si="14"/>
        <v>1.1051563150432726</v>
      </c>
    </row>
    <row r="32" spans="1:82" x14ac:dyDescent="0.2">
      <c r="A32" t="str">
        <f>A8</f>
        <v>R8P1EA02</v>
      </c>
      <c r="B32" s="25">
        <f t="shared" ref="B32:B43" si="29">100*G8/(G8+K8+L8)</f>
        <v>79.964221824686945</v>
      </c>
      <c r="C32" s="25">
        <f t="shared" ref="C32:C43" si="30">100*G8/(G8+K8+M8+L8)</f>
        <v>70.28301886792454</v>
      </c>
      <c r="D32" s="25">
        <f t="shared" ref="D32:D43" si="31">100*((2*L8/0.35)+(J8/0.9)+(2*M8/0.25)+(K8/0.7))</f>
        <v>2205.6507936507933</v>
      </c>
      <c r="E32" s="292">
        <f>((F8/F$18)*($N$18/$N8))-1</f>
        <v>0.36804253768304185</v>
      </c>
      <c r="F32" s="292">
        <f t="shared" ref="F32:O41" si="32">((G8/G$18)*($N$18/$N8))-1</f>
        <v>-0.3172760771797476</v>
      </c>
      <c r="G32" s="292">
        <f t="shared" si="32"/>
        <v>-4.6091592040676144E-2</v>
      </c>
      <c r="H32" s="292">
        <f t="shared" si="32"/>
        <v>-0.34174682570219317</v>
      </c>
      <c r="I32" s="292">
        <f t="shared" si="32"/>
        <v>-0.6512422507216884</v>
      </c>
      <c r="J32" s="292">
        <f t="shared" si="32"/>
        <v>-0.59776806340405875</v>
      </c>
      <c r="K32" s="292">
        <f t="shared" si="32"/>
        <v>-0.60609057782404996</v>
      </c>
      <c r="L32" s="292">
        <f t="shared" si="32"/>
        <v>0.11396691035013462</v>
      </c>
      <c r="M32" s="292">
        <f t="shared" si="32"/>
        <v>0</v>
      </c>
      <c r="N32" s="292">
        <f t="shared" si="32"/>
        <v>-0.96574700676730874</v>
      </c>
      <c r="O32" s="292">
        <f t="shared" si="32"/>
        <v>0.56227066695445749</v>
      </c>
      <c r="AE32" s="90">
        <f t="shared" ref="AE32" si="33">AE14/AE$23</f>
        <v>12.179487179487179</v>
      </c>
      <c r="AG32">
        <f t="shared" si="9"/>
        <v>12.589928057553957</v>
      </c>
      <c r="AM32">
        <f t="shared" si="6"/>
        <v>0.9673992673992674</v>
      </c>
      <c r="AO32" s="310">
        <f>E14</f>
        <v>350</v>
      </c>
      <c r="AP32" s="90">
        <f t="shared" ref="AP32:BC32" si="34">AP14/AP$23</f>
        <v>108.17438692098094</v>
      </c>
      <c r="AQ32" s="90">
        <f t="shared" si="34"/>
        <v>89.864158829676072</v>
      </c>
      <c r="AR32" s="90">
        <f t="shared" si="34"/>
        <v>70.802919708029179</v>
      </c>
      <c r="AS32" s="90">
        <f t="shared" si="34"/>
        <v>51.898734177215189</v>
      </c>
      <c r="AT32" s="90">
        <f t="shared" si="34"/>
        <v>29.437229437229433</v>
      </c>
      <c r="AU32" s="90">
        <f t="shared" si="34"/>
        <v>17.816091954022991</v>
      </c>
      <c r="AV32" s="90">
        <f t="shared" si="34"/>
        <v>17.320261437908496</v>
      </c>
      <c r="AW32" s="90">
        <f t="shared" si="34"/>
        <v>12.068965517241377</v>
      </c>
      <c r="AX32" s="90">
        <f t="shared" si="34"/>
        <v>10.498687664041995</v>
      </c>
      <c r="AY32" s="90">
        <f t="shared" si="34"/>
        <v>8.235294117647058</v>
      </c>
      <c r="AZ32" s="90">
        <f t="shared" si="34"/>
        <v>8.4337349397590362</v>
      </c>
      <c r="BA32" s="90">
        <f t="shared" si="34"/>
        <v>7.5000000000000009</v>
      </c>
      <c r="BB32" s="90">
        <f t="shared" si="34"/>
        <v>6.4516129032258069</v>
      </c>
      <c r="BC32" s="90">
        <f t="shared" si="34"/>
        <v>6.8421052631578956</v>
      </c>
      <c r="BD32" s="91">
        <f>SUM(AP14:BC14)</f>
        <v>195.58</v>
      </c>
      <c r="BE32" s="257">
        <f t="shared" si="12"/>
        <v>0.68416865552903738</v>
      </c>
      <c r="BF32" s="257">
        <f t="shared" si="13"/>
        <v>25.300000000000004</v>
      </c>
      <c r="BH32" s="333">
        <f t="shared" si="14"/>
        <v>1.0050139085346321</v>
      </c>
    </row>
    <row r="33" spans="1:60" x14ac:dyDescent="0.2">
      <c r="A33" t="str">
        <f t="shared" ref="A33:A43" si="35">A9</f>
        <v xml:space="preserve">R8P1EA03 </v>
      </c>
      <c r="B33" s="25">
        <f t="shared" si="29"/>
        <v>88.074461896451425</v>
      </c>
      <c r="C33" s="25">
        <f t="shared" si="30"/>
        <v>80.2331743508214</v>
      </c>
      <c r="D33" s="25">
        <f t="shared" si="31"/>
        <v>2314.1587301587306</v>
      </c>
      <c r="E33" s="292">
        <f t="shared" ref="E33:E41" si="36">((F9/F$18)*($N$18/$N9))-1</f>
        <v>-0.17401252801443123</v>
      </c>
      <c r="F33" s="292">
        <f t="shared" si="32"/>
        <v>-0.19251697096192433</v>
      </c>
      <c r="G33" s="292">
        <f t="shared" si="32"/>
        <v>-0.10903429853511826</v>
      </c>
      <c r="H33" s="292">
        <f t="shared" si="32"/>
        <v>-0.46955446874832052</v>
      </c>
      <c r="I33" s="292">
        <f t="shared" si="32"/>
        <v>-0.51286000409827937</v>
      </c>
      <c r="J33" s="292">
        <f t="shared" si="32"/>
        <v>-0.75174865096976284</v>
      </c>
      <c r="K33" s="292">
        <f t="shared" si="32"/>
        <v>-0.74283792627063194</v>
      </c>
      <c r="L33" s="292">
        <f t="shared" si="32"/>
        <v>-0.15128714999731285</v>
      </c>
      <c r="M33" s="292">
        <f t="shared" si="32"/>
        <v>0</v>
      </c>
      <c r="N33" s="292">
        <f t="shared" si="32"/>
        <v>-0.95215589325965244</v>
      </c>
      <c r="O33" s="292">
        <f t="shared" si="32"/>
        <v>1.332925321836655</v>
      </c>
      <c r="AE33" s="90">
        <f t="shared" ref="AE33" si="37">AE15/AE$23</f>
        <v>8.9743589743589745</v>
      </c>
      <c r="AG33">
        <f t="shared" si="9"/>
        <v>8.9928057553956844</v>
      </c>
      <c r="AM33">
        <f t="shared" si="6"/>
        <v>0.99794871794871787</v>
      </c>
      <c r="AO33" s="310">
        <f>E15</f>
        <v>450</v>
      </c>
      <c r="AP33" s="90">
        <f>AP15/AP$23</f>
        <v>82.561307901907355</v>
      </c>
      <c r="AQ33" s="90">
        <f t="shared" ref="AQ33:BC33" si="38">AQ15/AQ$23</f>
        <v>69.278996865203766</v>
      </c>
      <c r="AR33" s="90">
        <f t="shared" si="38"/>
        <v>54.160583941605836</v>
      </c>
      <c r="AS33" s="90">
        <f t="shared" si="38"/>
        <v>38.959212376933898</v>
      </c>
      <c r="AT33" s="90">
        <f t="shared" si="38"/>
        <v>21.645021645021643</v>
      </c>
      <c r="AU33" s="90">
        <f t="shared" si="38"/>
        <v>16.091954022988507</v>
      </c>
      <c r="AV33" s="90">
        <f t="shared" si="38"/>
        <v>13.071895424836601</v>
      </c>
      <c r="AW33" s="90">
        <f t="shared" si="38"/>
        <v>8.6206896551724128</v>
      </c>
      <c r="AX33" s="90">
        <f t="shared" si="38"/>
        <v>7.6115485564304457</v>
      </c>
      <c r="AY33" s="90">
        <f t="shared" si="38"/>
        <v>5.8823529411764701</v>
      </c>
      <c r="AZ33" s="90">
        <f t="shared" si="38"/>
        <v>6.024096385542169</v>
      </c>
      <c r="BA33" s="90">
        <f t="shared" si="38"/>
        <v>5.8333333333333339</v>
      </c>
      <c r="BB33" s="90">
        <f t="shared" si="38"/>
        <v>5.241935483870968</v>
      </c>
      <c r="BC33" s="90">
        <f t="shared" si="38"/>
        <v>5</v>
      </c>
      <c r="BD33" s="91">
        <f>SUM(AP15:BC15)</f>
        <v>149.22000000000003</v>
      </c>
      <c r="BE33" s="257">
        <f t="shared" si="12"/>
        <v>0.68633540372670809</v>
      </c>
      <c r="BF33" s="257">
        <f t="shared" si="13"/>
        <v>24.839999999999996</v>
      </c>
      <c r="BH33" s="333">
        <f t="shared" si="14"/>
        <v>1.0184002782037844</v>
      </c>
    </row>
    <row r="34" spans="1:60" x14ac:dyDescent="0.2">
      <c r="A34" t="str">
        <f t="shared" si="35"/>
        <v xml:space="preserve">R8P1EA04 </v>
      </c>
      <c r="B34" s="25">
        <f t="shared" si="29"/>
        <v>93.527242933224102</v>
      </c>
      <c r="C34" s="25">
        <f t="shared" si="30"/>
        <v>87.437763309076999</v>
      </c>
      <c r="D34" s="25">
        <f t="shared" si="31"/>
        <v>2179.9999999999995</v>
      </c>
      <c r="E34" s="292">
        <f t="shared" si="36"/>
        <v>-0.39643015294478323</v>
      </c>
      <c r="F34" s="292">
        <f t="shared" si="32"/>
        <v>0.1348598625066102</v>
      </c>
      <c r="G34" s="292">
        <f t="shared" si="32"/>
        <v>5.1946386198935324E-2</v>
      </c>
      <c r="H34" s="292">
        <f t="shared" si="32"/>
        <v>-0.57976858345021043</v>
      </c>
      <c r="I34" s="292">
        <f t="shared" si="32"/>
        <v>-0.37976539589442826</v>
      </c>
      <c r="J34" s="292">
        <f t="shared" si="32"/>
        <v>-0.82037828734292007</v>
      </c>
      <c r="K34" s="292">
        <f t="shared" si="32"/>
        <v>-0.81605787476280833</v>
      </c>
      <c r="L34" s="292">
        <f t="shared" si="32"/>
        <v>-0.19955920657182935</v>
      </c>
      <c r="M34" s="292">
        <f t="shared" si="32"/>
        <v>0</v>
      </c>
      <c r="N34" s="292">
        <f t="shared" si="32"/>
        <v>-0.95540796963946872</v>
      </c>
      <c r="O34" s="292">
        <f t="shared" si="32"/>
        <v>2.8753737214791508</v>
      </c>
      <c r="AE34" s="90">
        <f t="shared" ref="AE34" si="39">AE16/AE$23</f>
        <v>15.384615384615383</v>
      </c>
      <c r="AG34">
        <f t="shared" si="9"/>
        <v>17.985611510791369</v>
      </c>
      <c r="AM34">
        <f t="shared" si="6"/>
        <v>0.85538461538461519</v>
      </c>
      <c r="AO34" s="310">
        <f>E16</f>
        <v>550</v>
      </c>
      <c r="AP34" s="90">
        <f>AP16/AP$23</f>
        <v>101.63487738419617</v>
      </c>
      <c r="AQ34" s="90">
        <f t="shared" ref="AQ34:BC34" si="40">AQ16/AQ$23</f>
        <v>85.788923719958206</v>
      </c>
      <c r="AR34" s="90">
        <f t="shared" si="40"/>
        <v>73.722627737226276</v>
      </c>
      <c r="AS34" s="90">
        <f t="shared" si="40"/>
        <v>54.571026722925453</v>
      </c>
      <c r="AT34" s="90">
        <f t="shared" si="40"/>
        <v>33.766233766233761</v>
      </c>
      <c r="AU34" s="90">
        <f t="shared" si="40"/>
        <v>22.183908045977013</v>
      </c>
      <c r="AV34" s="90">
        <f t="shared" si="40"/>
        <v>19.607843137254903</v>
      </c>
      <c r="AW34" s="90">
        <f t="shared" si="40"/>
        <v>15.517241379310345</v>
      </c>
      <c r="AX34" s="90">
        <f t="shared" si="40"/>
        <v>13.385826771653543</v>
      </c>
      <c r="AY34" s="90">
        <f t="shared" si="40"/>
        <v>11.76470588235294</v>
      </c>
      <c r="AZ34" s="90">
        <f t="shared" si="40"/>
        <v>10.843373493975905</v>
      </c>
      <c r="BA34" s="90">
        <f t="shared" si="40"/>
        <v>10.277777777777779</v>
      </c>
      <c r="BB34" s="90">
        <f t="shared" si="40"/>
        <v>9.67741935483871</v>
      </c>
      <c r="BC34" s="90">
        <f t="shared" si="40"/>
        <v>9.7368421052631575</v>
      </c>
      <c r="BD34" s="91">
        <f>SUM(AP16:BC16)</f>
        <v>196.87000000000003</v>
      </c>
      <c r="BE34" s="257">
        <f t="shared" si="12"/>
        <v>0.68760469011725289</v>
      </c>
      <c r="BF34" s="257">
        <f t="shared" si="13"/>
        <v>27.05</v>
      </c>
      <c r="BH34" s="333">
        <f t="shared" si="14"/>
        <v>0.99816161613883736</v>
      </c>
    </row>
    <row r="35" spans="1:60" x14ac:dyDescent="0.2">
      <c r="A35" t="str">
        <f t="shared" si="35"/>
        <v xml:space="preserve">R8P1EA05 </v>
      </c>
      <c r="B35" s="25">
        <f t="shared" si="29"/>
        <v>90.084643288996361</v>
      </c>
      <c r="C35" s="25">
        <f t="shared" si="30"/>
        <v>85.468451242829829</v>
      </c>
      <c r="D35" s="25">
        <f t="shared" si="31"/>
        <v>2261.6825396825398</v>
      </c>
      <c r="E35" s="292">
        <f t="shared" si="36"/>
        <v>-0.23018915568614851</v>
      </c>
      <c r="F35" s="292">
        <f t="shared" si="32"/>
        <v>0.31025481111903064</v>
      </c>
      <c r="G35" s="292">
        <f t="shared" si="32"/>
        <v>3.6212075373843966E-2</v>
      </c>
      <c r="H35" s="292">
        <f t="shared" si="32"/>
        <v>-0.53355387523629494</v>
      </c>
      <c r="I35" s="292">
        <f t="shared" si="32"/>
        <v>-0.30677458730527796</v>
      </c>
      <c r="J35" s="292">
        <f t="shared" si="32"/>
        <v>-0.68404050986554921</v>
      </c>
      <c r="K35" s="292">
        <f t="shared" si="32"/>
        <v>-0.65378569906223349</v>
      </c>
      <c r="L35" s="292">
        <f t="shared" si="32"/>
        <v>-0.25590737240075612</v>
      </c>
      <c r="M35" s="292">
        <f t="shared" si="32"/>
        <v>0</v>
      </c>
      <c r="N35" s="292">
        <f t="shared" si="32"/>
        <v>-0.89482097186700771</v>
      </c>
      <c r="O35" s="292">
        <f t="shared" si="32"/>
        <v>2.9642232237539772</v>
      </c>
      <c r="AE35" s="90">
        <f t="shared" ref="AE35" si="41">AE17/AE$23</f>
        <v>11.538461538461538</v>
      </c>
      <c r="AG35">
        <f t="shared" si="9"/>
        <v>12.589928057553957</v>
      </c>
      <c r="AM35">
        <f t="shared" si="6"/>
        <v>0.91648351648351645</v>
      </c>
      <c r="AO35" s="310">
        <f>E17</f>
        <v>650</v>
      </c>
      <c r="AP35" s="90">
        <f>AP17/AP$23</f>
        <v>96.457765667574932</v>
      </c>
      <c r="AQ35" s="90">
        <f t="shared" ref="AQ35:BC35" si="42">AQ17/AQ$23</f>
        <v>72.518286311389772</v>
      </c>
      <c r="AR35" s="90">
        <f t="shared" si="42"/>
        <v>64.233576642335763</v>
      </c>
      <c r="AS35" s="90">
        <f t="shared" si="42"/>
        <v>47.398030942334749</v>
      </c>
      <c r="AT35" s="90">
        <f t="shared" si="42"/>
        <v>28.138528138528137</v>
      </c>
      <c r="AU35" s="90">
        <f t="shared" si="42"/>
        <v>18.850574712643677</v>
      </c>
      <c r="AV35" s="90">
        <f t="shared" si="42"/>
        <v>17.320261437908496</v>
      </c>
      <c r="AW35" s="90">
        <f t="shared" si="42"/>
        <v>12.068965517241377</v>
      </c>
      <c r="AX35" s="90">
        <f t="shared" si="42"/>
        <v>9.7112860892388451</v>
      </c>
      <c r="AY35" s="90">
        <f t="shared" si="42"/>
        <v>8.235294117647058</v>
      </c>
      <c r="AZ35" s="90">
        <f t="shared" si="42"/>
        <v>8.0321285140562253</v>
      </c>
      <c r="BA35" s="90">
        <f t="shared" si="42"/>
        <v>7.2222222222222232</v>
      </c>
      <c r="BB35" s="90">
        <f t="shared" si="42"/>
        <v>6.854838709677419</v>
      </c>
      <c r="BC35" s="90">
        <f t="shared" si="42"/>
        <v>7.1052631578947372</v>
      </c>
      <c r="BD35" s="91">
        <f>SUM(AP17:BC17)</f>
        <v>170.06999999999996</v>
      </c>
      <c r="BE35" s="257">
        <f t="shared" si="12"/>
        <v>0.66221374045801529</v>
      </c>
      <c r="BF35" s="257">
        <f t="shared" si="13"/>
        <v>24.03</v>
      </c>
      <c r="BH35" s="333">
        <f t="shared" si="14"/>
        <v>0.9052958013371033</v>
      </c>
    </row>
    <row r="36" spans="1:60" x14ac:dyDescent="0.2">
      <c r="A36" t="str">
        <f t="shared" si="35"/>
        <v>R8P1EA06</v>
      </c>
      <c r="B36" s="25">
        <f t="shared" si="29"/>
        <v>86.883720930232556</v>
      </c>
      <c r="C36" s="25">
        <f t="shared" si="30"/>
        <v>81.076388888888886</v>
      </c>
      <c r="D36" s="25">
        <f t="shared" si="31"/>
        <v>2618.9841269841272</v>
      </c>
      <c r="E36" s="292">
        <f t="shared" si="36"/>
        <v>-0.28029775639772136</v>
      </c>
      <c r="F36" s="292">
        <f t="shared" si="32"/>
        <v>-4.9431289212711338E-3</v>
      </c>
      <c r="G36" s="292">
        <f t="shared" si="32"/>
        <v>8.6895908499619701E-2</v>
      </c>
      <c r="H36" s="292">
        <f t="shared" si="32"/>
        <v>-0.34659151905528718</v>
      </c>
      <c r="I36" s="292">
        <f t="shared" si="32"/>
        <v>-0.11814880834488684</v>
      </c>
      <c r="J36" s="292">
        <f t="shared" si="32"/>
        <v>-0.6574445931875651</v>
      </c>
      <c r="K36" s="292">
        <f t="shared" si="32"/>
        <v>-0.64758533042846766</v>
      </c>
      <c r="L36" s="292">
        <f t="shared" si="32"/>
        <v>-0.22297369833601721</v>
      </c>
      <c r="M36" s="292">
        <f t="shared" si="32"/>
        <v>0</v>
      </c>
      <c r="N36" s="292">
        <f t="shared" si="32"/>
        <v>-0.95221496005809736</v>
      </c>
      <c r="O36" s="292">
        <f t="shared" si="32"/>
        <v>1.920481782595604</v>
      </c>
      <c r="AE36" s="90">
        <f t="shared" ref="AE36" si="43">AE18/AE$23</f>
        <v>8.3333333333333339</v>
      </c>
      <c r="AG36">
        <f t="shared" si="9"/>
        <v>8.9928057553956844</v>
      </c>
      <c r="AM36">
        <f t="shared" si="6"/>
        <v>0.92666666666666664</v>
      </c>
      <c r="AO36" s="310">
        <f>E18</f>
        <v>750</v>
      </c>
      <c r="AP36" s="90">
        <f>AP18/AP$23</f>
        <v>66.757493188010898</v>
      </c>
      <c r="AQ36" s="90">
        <f t="shared" ref="AQ36:BC36" si="44">AQ18/AQ$23</f>
        <v>50.052246603970744</v>
      </c>
      <c r="AR36" s="90">
        <f t="shared" si="44"/>
        <v>44.89051094890511</v>
      </c>
      <c r="AS36" s="90">
        <f t="shared" si="44"/>
        <v>33.192686357243325</v>
      </c>
      <c r="AT36" s="90">
        <f t="shared" si="44"/>
        <v>19.480519480519479</v>
      </c>
      <c r="AU36" s="90">
        <f t="shared" si="44"/>
        <v>14.597701149425289</v>
      </c>
      <c r="AV36" s="90">
        <f t="shared" si="44"/>
        <v>10.784313725490195</v>
      </c>
      <c r="AW36" s="90">
        <f t="shared" si="44"/>
        <v>6.8965517241379315</v>
      </c>
      <c r="AX36" s="90">
        <f t="shared" si="44"/>
        <v>6.5616797900262469</v>
      </c>
      <c r="AY36" s="90">
        <f t="shared" si="44"/>
        <v>5.8823529411764701</v>
      </c>
      <c r="AZ36" s="90">
        <f t="shared" si="44"/>
        <v>5.2208835341365463</v>
      </c>
      <c r="BA36" s="90">
        <f t="shared" si="44"/>
        <v>5</v>
      </c>
      <c r="BB36" s="90">
        <f t="shared" si="44"/>
        <v>4.838709677419355</v>
      </c>
      <c r="BC36" s="90">
        <f t="shared" si="44"/>
        <v>4.7368421052631575</v>
      </c>
      <c r="BD36" s="91">
        <f>SUM(AP18:BC18)</f>
        <v>117.48000000000002</v>
      </c>
      <c r="BE36" s="257">
        <f t="shared" si="12"/>
        <v>0.66160220994475127</v>
      </c>
      <c r="BF36" s="257">
        <f t="shared" si="13"/>
        <v>22.330000000000002</v>
      </c>
      <c r="BH36" s="333">
        <f t="shared" si="14"/>
        <v>0.9007188292536803</v>
      </c>
    </row>
    <row r="37" spans="1:60" x14ac:dyDescent="0.2">
      <c r="A37" t="str">
        <f t="shared" si="35"/>
        <v>R8P1EA07</v>
      </c>
      <c r="B37" s="25">
        <f t="shared" si="29"/>
        <v>84.507658643326025</v>
      </c>
      <c r="C37" s="25">
        <f t="shared" si="30"/>
        <v>78.623778501628649</v>
      </c>
      <c r="D37" s="25">
        <f t="shared" si="31"/>
        <v>3055.936507936508</v>
      </c>
      <c r="E37" s="292">
        <f t="shared" si="36"/>
        <v>-0.42871247315132355</v>
      </c>
      <c r="F37" s="292">
        <f t="shared" si="32"/>
        <v>-0.14016613375289733</v>
      </c>
      <c r="G37" s="292">
        <f t="shared" si="32"/>
        <v>6.3800889195271937E-2</v>
      </c>
      <c r="H37" s="292">
        <f t="shared" si="32"/>
        <v>-0.16594875936644671</v>
      </c>
      <c r="I37" s="292">
        <f t="shared" si="32"/>
        <v>0.11843622898075634</v>
      </c>
      <c r="J37" s="292">
        <f t="shared" si="32"/>
        <v>-0.56911650730890539</v>
      </c>
      <c r="K37" s="292">
        <f t="shared" si="32"/>
        <v>-0.67378943321394602</v>
      </c>
      <c r="L37" s="292">
        <f t="shared" si="32"/>
        <v>-0.27877237851662406</v>
      </c>
      <c r="M37" s="292">
        <f t="shared" si="32"/>
        <v>0</v>
      </c>
      <c r="N37" s="292">
        <f t="shared" si="32"/>
        <v>-0.98002792448248655</v>
      </c>
      <c r="O37" s="292">
        <f t="shared" si="32"/>
        <v>1.5108308792066252</v>
      </c>
      <c r="AE37" s="90"/>
      <c r="BH37" s="333"/>
    </row>
    <row r="38" spans="1:60" x14ac:dyDescent="0.2">
      <c r="A38" t="str">
        <f t="shared" si="35"/>
        <v xml:space="preserve">R8P1EA08 </v>
      </c>
      <c r="B38" s="25">
        <f t="shared" si="29"/>
        <v>71.718061674008808</v>
      </c>
      <c r="C38" s="25">
        <f t="shared" si="30"/>
        <v>67.439933719966845</v>
      </c>
      <c r="D38" s="25">
        <f t="shared" si="31"/>
        <v>3942.3174603174602</v>
      </c>
      <c r="E38" s="292">
        <f t="shared" si="36"/>
        <v>-0.18279963553456069</v>
      </c>
      <c r="F38" s="292">
        <f t="shared" si="32"/>
        <v>-9.1278179543189064E-2</v>
      </c>
      <c r="G38" s="292">
        <f t="shared" si="32"/>
        <v>0.10507459769198535</v>
      </c>
      <c r="H38" s="292">
        <f t="shared" si="32"/>
        <v>-1.9236177512795938E-2</v>
      </c>
      <c r="I38" s="292">
        <f t="shared" si="32"/>
        <v>-0.34906019328818205</v>
      </c>
      <c r="J38" s="292">
        <f t="shared" si="32"/>
        <v>-0.1727011539041029</v>
      </c>
      <c r="K38" s="292">
        <f t="shared" si="32"/>
        <v>-0.1654617862669</v>
      </c>
      <c r="L38" s="292">
        <f t="shared" si="32"/>
        <v>-0.23865234265144275</v>
      </c>
      <c r="M38" s="292">
        <f t="shared" si="32"/>
        <v>0</v>
      </c>
      <c r="N38" s="292">
        <f t="shared" si="32"/>
        <v>-0.84978312152804203</v>
      </c>
      <c r="O38" s="292">
        <f t="shared" si="32"/>
        <v>3.3931783043574582E-2</v>
      </c>
    </row>
    <row r="39" spans="1:60" x14ac:dyDescent="0.2">
      <c r="A39" t="str">
        <f t="shared" si="35"/>
        <v xml:space="preserve">R8P1EA09 </v>
      </c>
      <c r="B39" s="25">
        <f t="shared" si="29"/>
        <v>70.583226905065985</v>
      </c>
      <c r="C39" s="25">
        <f t="shared" si="30"/>
        <v>65.404339250493095</v>
      </c>
      <c r="D39" s="25">
        <f t="shared" si="31"/>
        <v>4464.1904761904771</v>
      </c>
      <c r="E39" s="292">
        <f t="shared" si="36"/>
        <v>-0.10567395927837353</v>
      </c>
      <c r="F39" s="292">
        <f t="shared" si="32"/>
        <v>7.5862387439389334E-3</v>
      </c>
      <c r="G39" s="292">
        <f t="shared" si="32"/>
        <v>0.10916472993027759</v>
      </c>
      <c r="H39" s="292">
        <f t="shared" si="32"/>
        <v>3.7568891610532784E-2</v>
      </c>
      <c r="I39" s="292">
        <f t="shared" si="32"/>
        <v>-0.13766664156059349</v>
      </c>
      <c r="J39" s="292">
        <f t="shared" si="32"/>
        <v>1.236495276882188E-2</v>
      </c>
      <c r="K39" s="292">
        <f t="shared" si="32"/>
        <v>-4.8253244959955643E-2</v>
      </c>
      <c r="L39" s="292">
        <f t="shared" si="32"/>
        <v>7.0667483159828626E-2</v>
      </c>
      <c r="M39" s="292">
        <f t="shared" si="32"/>
        <v>0</v>
      </c>
      <c r="N39" s="292">
        <f t="shared" si="32"/>
        <v>-0.29130074565037278</v>
      </c>
      <c r="O39" s="292">
        <f t="shared" si="32"/>
        <v>1.2655444864308141E-2</v>
      </c>
    </row>
    <row r="40" spans="1:60" x14ac:dyDescent="0.2">
      <c r="A40" t="str">
        <f t="shared" si="35"/>
        <v xml:space="preserve">R8P1EA10 </v>
      </c>
      <c r="B40" s="25">
        <f t="shared" si="29"/>
        <v>67.869752844252645</v>
      </c>
      <c r="C40" s="25">
        <f t="shared" si="30"/>
        <v>63.25411334552102</v>
      </c>
      <c r="D40" s="25">
        <f t="shared" si="31"/>
        <v>4661.8095238095248</v>
      </c>
      <c r="E40" s="292">
        <f t="shared" si="36"/>
        <v>-0.36346681472603415</v>
      </c>
      <c r="F40" s="292">
        <f t="shared" si="32"/>
        <v>-0.18062298680966693</v>
      </c>
      <c r="G40" s="292">
        <f t="shared" si="32"/>
        <v>4.3936163480150725E-2</v>
      </c>
      <c r="H40" s="292">
        <f t="shared" si="32"/>
        <v>0.22474108719515096</v>
      </c>
      <c r="I40" s="292">
        <f t="shared" si="32"/>
        <v>-3.824321865259428E-2</v>
      </c>
      <c r="J40" s="292">
        <f t="shared" si="32"/>
        <v>0.20670607787902417</v>
      </c>
      <c r="K40" s="292">
        <f t="shared" si="32"/>
        <v>-0.28656830459955662</v>
      </c>
      <c r="L40" s="292">
        <f t="shared" si="32"/>
        <v>-0.16556101751539165</v>
      </c>
      <c r="M40" s="292">
        <f t="shared" si="32"/>
        <v>0</v>
      </c>
      <c r="N40" s="292">
        <f t="shared" si="32"/>
        <v>0.57202815264415285</v>
      </c>
      <c r="O40" s="292">
        <f t="shared" si="32"/>
        <v>-0.12621348826001977</v>
      </c>
    </row>
    <row r="41" spans="1:60" x14ac:dyDescent="0.2">
      <c r="A41" t="str">
        <f t="shared" si="35"/>
        <v xml:space="preserve">R8P1EA11 </v>
      </c>
      <c r="B41" s="25">
        <f t="shared" si="29"/>
        <v>70.487364620938621</v>
      </c>
      <c r="C41" s="25">
        <f t="shared" si="30"/>
        <v>65.110462692788673</v>
      </c>
      <c r="D41" s="25">
        <f t="shared" si="31"/>
        <v>4266.2222222222226</v>
      </c>
      <c r="E41" s="292">
        <f t="shared" si="36"/>
        <v>-0.26675811032216146</v>
      </c>
      <c r="F41" s="292">
        <f t="shared" si="32"/>
        <v>-0.21904450734190684</v>
      </c>
      <c r="G41" s="292">
        <f t="shared" si="32"/>
        <v>-4.9581998161667307E-2</v>
      </c>
      <c r="H41" s="292">
        <f t="shared" si="32"/>
        <v>-3.0354174013804025E-2</v>
      </c>
      <c r="I41" s="292">
        <f t="shared" si="32"/>
        <v>-0.18453845248201461</v>
      </c>
      <c r="J41" s="292">
        <f t="shared" si="32"/>
        <v>-0.17323988887182562</v>
      </c>
      <c r="K41" s="292">
        <f t="shared" si="32"/>
        <v>-0.28239383818417285</v>
      </c>
      <c r="L41" s="292">
        <f t="shared" si="32"/>
        <v>-0.1333568441735099</v>
      </c>
      <c r="M41" s="292">
        <f t="shared" si="32"/>
        <v>0</v>
      </c>
      <c r="N41" s="292">
        <f t="shared" si="32"/>
        <v>-1.3291527503237699E-2</v>
      </c>
      <c r="O41" s="292">
        <f t="shared" si="32"/>
        <v>-0.20406975101037195</v>
      </c>
    </row>
    <row r="42" spans="1:60" x14ac:dyDescent="0.2">
      <c r="A42" t="str">
        <f t="shared" si="35"/>
        <v xml:space="preserve">R8P1EA12 </v>
      </c>
      <c r="B42" s="25">
        <f t="shared" si="29"/>
        <v>69.890009165902839</v>
      </c>
      <c r="C42" s="25">
        <f t="shared" si="30"/>
        <v>65.087494664959451</v>
      </c>
      <c r="D42" s="25">
        <f t="shared" si="31"/>
        <v>4182.9206349206352</v>
      </c>
      <c r="E42" s="292">
        <f>R27</f>
        <v>0</v>
      </c>
      <c r="F42" s="292">
        <f>((G18/G$18)*($N$18/$N18))-1</f>
        <v>0</v>
      </c>
      <c r="G42" s="292">
        <f t="shared" ref="G42:O42" si="45">((H18/H$18)*($N$18/$N18))-1</f>
        <v>0</v>
      </c>
      <c r="H42" s="292">
        <f t="shared" si="45"/>
        <v>0</v>
      </c>
      <c r="I42" s="292">
        <f t="shared" si="45"/>
        <v>0</v>
      </c>
      <c r="J42" s="292">
        <f t="shared" si="45"/>
        <v>0</v>
      </c>
      <c r="K42" s="292">
        <f t="shared" si="45"/>
        <v>0</v>
      </c>
      <c r="L42" s="292">
        <f t="shared" si="45"/>
        <v>0</v>
      </c>
      <c r="M42" s="292">
        <f t="shared" si="45"/>
        <v>0</v>
      </c>
      <c r="N42" s="292">
        <f t="shared" si="45"/>
        <v>0</v>
      </c>
      <c r="O42" s="292">
        <f t="shared" si="45"/>
        <v>0</v>
      </c>
    </row>
    <row r="43" spans="1:60" x14ac:dyDescent="0.2">
      <c r="A43" t="str">
        <f t="shared" si="35"/>
        <v xml:space="preserve">CZO-GNEISS </v>
      </c>
      <c r="B43" s="25">
        <f t="shared" si="29"/>
        <v>65.366317792578499</v>
      </c>
      <c r="C43" s="25">
        <f t="shared" si="30"/>
        <v>62.625341841385591</v>
      </c>
      <c r="D43" s="25">
        <f t="shared" si="31"/>
        <v>3461.7142857142858</v>
      </c>
    </row>
    <row r="44" spans="1:60" x14ac:dyDescent="0.2">
      <c r="A44" t="str">
        <f>A20</f>
        <v xml:space="preserve">_MLG </v>
      </c>
      <c r="B44" s="25">
        <f t="shared" ref="B44" si="46">100*G20/(G20+K20+L20)</f>
        <v>69.180470793374013</v>
      </c>
      <c r="C44" s="25">
        <f t="shared" ref="C44" si="47">100*G20/(G20+K20+M20+L20)</f>
        <v>60.781309842972036</v>
      </c>
      <c r="D44" s="25">
        <f t="shared" ref="D44" si="48">100*((2*L20/0.35)+(J20/0.9)+(2*M20/0.25)+(K20/0.7))</f>
        <v>5726.4761904761908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45"/>
  <sheetViews>
    <sheetView topLeftCell="AI2" zoomScale="80" zoomScaleNormal="80" zoomScalePageLayoutView="150" workbookViewId="0">
      <selection activeCell="AO30" sqref="AO30"/>
    </sheetView>
  </sheetViews>
  <sheetFormatPr baseColWidth="10" defaultRowHeight="15" x14ac:dyDescent="0.2"/>
  <cols>
    <col min="1" max="1" width="12.6640625" customWidth="1"/>
    <col min="2" max="2" width="7" bestFit="1" customWidth="1"/>
    <col min="3" max="4" width="8.83203125" bestFit="1" customWidth="1"/>
    <col min="5" max="5" width="10.33203125" bestFit="1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10.1640625" customWidth="1"/>
    <col min="42" max="46" width="8.6640625" bestFit="1" customWidth="1"/>
    <col min="47" max="55" width="7.6640625" bestFit="1" customWidth="1"/>
    <col min="56" max="56" width="8.83203125" customWidth="1"/>
    <col min="57" max="57" width="7" customWidth="1"/>
    <col min="58" max="62" width="7" bestFit="1" customWidth="1"/>
  </cols>
  <sheetData>
    <row r="1" spans="1:82" x14ac:dyDescent="0.2">
      <c r="A1" s="40" t="s">
        <v>416</v>
      </c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</row>
    <row r="2" spans="1:82" x14ac:dyDescent="0.2">
      <c r="A2" s="40" t="s">
        <v>1</v>
      </c>
      <c r="B2" s="42"/>
      <c r="C2" s="42"/>
      <c r="D2" s="42"/>
      <c r="E2" s="42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82" x14ac:dyDescent="0.2">
      <c r="A3" s="40" t="s">
        <v>2</v>
      </c>
      <c r="B3" s="40" t="s">
        <v>422</v>
      </c>
      <c r="C3" s="40" t="s">
        <v>426</v>
      </c>
      <c r="D3" s="40" t="s">
        <v>426</v>
      </c>
      <c r="E3" s="40" t="s">
        <v>426</v>
      </c>
      <c r="F3" s="42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2" t="s">
        <v>10</v>
      </c>
      <c r="N3" s="42" t="s">
        <v>11</v>
      </c>
      <c r="O3" s="42" t="s">
        <v>12</v>
      </c>
      <c r="P3" s="42" t="s">
        <v>13</v>
      </c>
      <c r="Q3" s="42" t="s">
        <v>14</v>
      </c>
      <c r="R3" s="42" t="s">
        <v>15</v>
      </c>
      <c r="S3" s="42" t="s">
        <v>16</v>
      </c>
      <c r="T3" s="42" t="s">
        <v>17</v>
      </c>
      <c r="U3" s="42" t="s">
        <v>18</v>
      </c>
      <c r="V3" s="42" t="s">
        <v>19</v>
      </c>
      <c r="W3" s="42" t="s">
        <v>20</v>
      </c>
      <c r="X3" s="42" t="s">
        <v>21</v>
      </c>
      <c r="Y3" s="42" t="s">
        <v>22</v>
      </c>
      <c r="Z3" s="42" t="s">
        <v>23</v>
      </c>
      <c r="AA3" s="42" t="s">
        <v>24</v>
      </c>
      <c r="AB3" s="42" t="s">
        <v>25</v>
      </c>
      <c r="AC3" s="42" t="s">
        <v>26</v>
      </c>
      <c r="AD3" s="42" t="s">
        <v>27</v>
      </c>
      <c r="AE3" s="42" t="s">
        <v>28</v>
      </c>
      <c r="AF3" s="42" t="s">
        <v>29</v>
      </c>
      <c r="AG3" s="42" t="s">
        <v>30</v>
      </c>
      <c r="AH3" s="42" t="s">
        <v>31</v>
      </c>
      <c r="AI3" s="42" t="s">
        <v>32</v>
      </c>
      <c r="AJ3" s="42" t="s">
        <v>33</v>
      </c>
      <c r="AK3" s="42" t="s">
        <v>34</v>
      </c>
      <c r="AL3" s="42" t="s">
        <v>35</v>
      </c>
      <c r="AM3" s="42" t="s">
        <v>36</v>
      </c>
      <c r="AN3" s="42" t="s">
        <v>37</v>
      </c>
      <c r="AO3" s="42" t="s">
        <v>38</v>
      </c>
      <c r="AP3" s="42" t="s">
        <v>39</v>
      </c>
      <c r="AQ3" s="42" t="s">
        <v>40</v>
      </c>
      <c r="AR3" s="42" t="s">
        <v>41</v>
      </c>
      <c r="AS3" s="42" t="s">
        <v>42</v>
      </c>
      <c r="AT3" s="42" t="s">
        <v>43</v>
      </c>
      <c r="AU3" s="42" t="s">
        <v>44</v>
      </c>
      <c r="AV3" s="42" t="s">
        <v>45</v>
      </c>
      <c r="AW3" s="42" t="s">
        <v>46</v>
      </c>
      <c r="AX3" s="42" t="s">
        <v>47</v>
      </c>
      <c r="AY3" s="42" t="s">
        <v>48</v>
      </c>
      <c r="AZ3" s="42" t="s">
        <v>49</v>
      </c>
      <c r="BA3" s="42" t="s">
        <v>50</v>
      </c>
      <c r="BB3" s="42" t="s">
        <v>51</v>
      </c>
      <c r="BC3" s="42" t="s">
        <v>52</v>
      </c>
      <c r="BD3" s="42" t="s">
        <v>53</v>
      </c>
      <c r="BE3" s="42" t="s">
        <v>54</v>
      </c>
      <c r="BF3" s="42" t="s">
        <v>55</v>
      </c>
      <c r="BG3" s="42" t="s">
        <v>56</v>
      </c>
      <c r="BH3" s="42" t="s">
        <v>57</v>
      </c>
      <c r="BI3" s="42" t="s">
        <v>58</v>
      </c>
      <c r="BJ3" s="42" t="s">
        <v>59</v>
      </c>
    </row>
    <row r="4" spans="1:82" x14ac:dyDescent="0.2">
      <c r="A4" s="40" t="s">
        <v>60</v>
      </c>
      <c r="B4" s="40"/>
      <c r="C4" s="40" t="s">
        <v>425</v>
      </c>
      <c r="D4" s="40" t="s">
        <v>425</v>
      </c>
      <c r="E4" s="40" t="s">
        <v>425</v>
      </c>
      <c r="F4" s="42" t="s">
        <v>61</v>
      </c>
      <c r="G4" s="42" t="s">
        <v>61</v>
      </c>
      <c r="H4" s="42" t="s">
        <v>61</v>
      </c>
      <c r="I4" s="42" t="s">
        <v>61</v>
      </c>
      <c r="J4" s="42" t="s">
        <v>61</v>
      </c>
      <c r="K4" s="42" t="s">
        <v>61</v>
      </c>
      <c r="L4" s="42" t="s">
        <v>61</v>
      </c>
      <c r="M4" s="42" t="s">
        <v>61</v>
      </c>
      <c r="N4" s="42" t="s">
        <v>61</v>
      </c>
      <c r="O4" s="42" t="s">
        <v>61</v>
      </c>
      <c r="P4" s="42" t="s">
        <v>61</v>
      </c>
      <c r="Q4" s="42" t="s">
        <v>61</v>
      </c>
      <c r="R4" s="42" t="s">
        <v>62</v>
      </c>
      <c r="S4" s="42" t="s">
        <v>62</v>
      </c>
      <c r="T4" s="42" t="s">
        <v>62</v>
      </c>
      <c r="U4" s="42" t="s">
        <v>62</v>
      </c>
      <c r="V4" s="42" t="s">
        <v>62</v>
      </c>
      <c r="W4" s="42" t="s">
        <v>62</v>
      </c>
      <c r="X4" s="42" t="s">
        <v>62</v>
      </c>
      <c r="Y4" s="42" t="s">
        <v>62</v>
      </c>
      <c r="Z4" s="42" t="s">
        <v>62</v>
      </c>
      <c r="AA4" s="42" t="s">
        <v>62</v>
      </c>
      <c r="AB4" s="42" t="s">
        <v>62</v>
      </c>
      <c r="AC4" s="42" t="s">
        <v>62</v>
      </c>
      <c r="AD4" s="42" t="s">
        <v>62</v>
      </c>
      <c r="AE4" s="42" t="s">
        <v>62</v>
      </c>
      <c r="AF4" s="42" t="s">
        <v>62</v>
      </c>
      <c r="AG4" s="42" t="s">
        <v>62</v>
      </c>
      <c r="AH4" s="42" t="s">
        <v>62</v>
      </c>
      <c r="AI4" s="42" t="s">
        <v>62</v>
      </c>
      <c r="AJ4" s="42" t="s">
        <v>62</v>
      </c>
      <c r="AK4" s="42" t="s">
        <v>62</v>
      </c>
      <c r="AL4" s="42" t="s">
        <v>62</v>
      </c>
      <c r="AM4" s="42" t="s">
        <v>62</v>
      </c>
      <c r="AN4" s="42" t="s">
        <v>62</v>
      </c>
      <c r="AO4" s="42" t="s">
        <v>62</v>
      </c>
      <c r="AP4" s="42" t="s">
        <v>62</v>
      </c>
      <c r="AQ4" s="42" t="s">
        <v>62</v>
      </c>
      <c r="AR4" s="42" t="s">
        <v>62</v>
      </c>
      <c r="AS4" s="42" t="s">
        <v>62</v>
      </c>
      <c r="AT4" s="42" t="s">
        <v>62</v>
      </c>
      <c r="AU4" s="42" t="s">
        <v>62</v>
      </c>
      <c r="AV4" s="42" t="s">
        <v>62</v>
      </c>
      <c r="AW4" s="42" t="s">
        <v>62</v>
      </c>
      <c r="AX4" s="42" t="s">
        <v>62</v>
      </c>
      <c r="AY4" s="42" t="s">
        <v>62</v>
      </c>
      <c r="AZ4" s="42" t="s">
        <v>62</v>
      </c>
      <c r="BA4" s="42" t="s">
        <v>62</v>
      </c>
      <c r="BB4" s="42" t="s">
        <v>62</v>
      </c>
      <c r="BC4" s="42" t="s">
        <v>62</v>
      </c>
      <c r="BD4" s="42" t="s">
        <v>62</v>
      </c>
      <c r="BE4" s="42" t="s">
        <v>62</v>
      </c>
      <c r="BF4" s="42" t="s">
        <v>62</v>
      </c>
      <c r="BG4" s="42" t="s">
        <v>62</v>
      </c>
      <c r="BH4" s="42" t="s">
        <v>62</v>
      </c>
      <c r="BI4" s="42" t="s">
        <v>62</v>
      </c>
      <c r="BJ4" s="42" t="s">
        <v>62</v>
      </c>
    </row>
    <row r="5" spans="1:82" x14ac:dyDescent="0.2">
      <c r="A5" s="40" t="s">
        <v>63</v>
      </c>
      <c r="B5" s="40"/>
      <c r="C5" s="40"/>
      <c r="D5" s="40"/>
      <c r="E5" s="40"/>
      <c r="F5" s="42">
        <v>0.01</v>
      </c>
      <c r="G5" s="42">
        <v>0.01</v>
      </c>
      <c r="H5" s="42">
        <v>0.01</v>
      </c>
      <c r="I5" s="42">
        <v>1E-3</v>
      </c>
      <c r="J5" s="42">
        <v>0.01</v>
      </c>
      <c r="K5" s="42">
        <v>0.01</v>
      </c>
      <c r="L5" s="42">
        <v>0.01</v>
      </c>
      <c r="M5" s="42">
        <v>0.01</v>
      </c>
      <c r="N5" s="42">
        <v>1E-3</v>
      </c>
      <c r="O5" s="42">
        <v>0.01</v>
      </c>
      <c r="P5" s="42"/>
      <c r="Q5" s="42">
        <v>0.01</v>
      </c>
      <c r="R5" s="42">
        <v>1</v>
      </c>
      <c r="S5" s="42">
        <v>1</v>
      </c>
      <c r="T5" s="42">
        <v>5</v>
      </c>
      <c r="U5" s="42">
        <v>20</v>
      </c>
      <c r="V5" s="42">
        <v>1</v>
      </c>
      <c r="W5" s="42">
        <v>20</v>
      </c>
      <c r="X5" s="42">
        <v>10</v>
      </c>
      <c r="Y5" s="42">
        <v>30</v>
      </c>
      <c r="Z5" s="42">
        <v>1</v>
      </c>
      <c r="AA5" s="42">
        <v>1</v>
      </c>
      <c r="AB5" s="42">
        <v>5</v>
      </c>
      <c r="AC5" s="42">
        <v>2</v>
      </c>
      <c r="AD5" s="42">
        <v>2</v>
      </c>
      <c r="AE5" s="42">
        <v>2</v>
      </c>
      <c r="AF5" s="42">
        <v>4</v>
      </c>
      <c r="AG5" s="42">
        <v>1</v>
      </c>
      <c r="AH5" s="42">
        <v>2</v>
      </c>
      <c r="AI5" s="42">
        <v>0.5</v>
      </c>
      <c r="AJ5" s="42">
        <v>0.2</v>
      </c>
      <c r="AK5" s="42">
        <v>1</v>
      </c>
      <c r="AL5" s="42">
        <v>0.5</v>
      </c>
      <c r="AM5" s="42">
        <v>0.5</v>
      </c>
      <c r="AN5" s="42">
        <v>3</v>
      </c>
      <c r="AO5" s="42">
        <v>0.4</v>
      </c>
      <c r="AP5" s="42">
        <v>0.1</v>
      </c>
      <c r="AQ5" s="42">
        <v>0.1</v>
      </c>
      <c r="AR5" s="42">
        <v>0.05</v>
      </c>
      <c r="AS5" s="42">
        <v>0.1</v>
      </c>
      <c r="AT5" s="42">
        <v>0.1</v>
      </c>
      <c r="AU5" s="42">
        <v>0.05</v>
      </c>
      <c r="AV5" s="42">
        <v>0.1</v>
      </c>
      <c r="AW5" s="42">
        <v>0.1</v>
      </c>
      <c r="AX5" s="42">
        <v>0.1</v>
      </c>
      <c r="AY5" s="42">
        <v>0.1</v>
      </c>
      <c r="AZ5" s="42">
        <v>0.1</v>
      </c>
      <c r="BA5" s="42">
        <v>0.05</v>
      </c>
      <c r="BB5" s="42">
        <v>0.1</v>
      </c>
      <c r="BC5" s="42">
        <v>0.04</v>
      </c>
      <c r="BD5" s="42">
        <v>0.2</v>
      </c>
      <c r="BE5" s="42">
        <v>0.1</v>
      </c>
      <c r="BF5" s="42">
        <v>1</v>
      </c>
      <c r="BG5" s="42">
        <v>0.1</v>
      </c>
      <c r="BH5" s="42">
        <v>5</v>
      </c>
      <c r="BI5" s="42">
        <v>0.1</v>
      </c>
      <c r="BJ5" s="42">
        <v>0.1</v>
      </c>
    </row>
    <row r="6" spans="1:82" s="10" customFormat="1" ht="16" thickBot="1" x14ac:dyDescent="0.25">
      <c r="A6" s="43" t="s">
        <v>64</v>
      </c>
      <c r="B6" s="44"/>
      <c r="C6" s="44" t="s">
        <v>423</v>
      </c>
      <c r="D6" s="44" t="s">
        <v>424</v>
      </c>
      <c r="E6" s="44" t="s">
        <v>427</v>
      </c>
      <c r="F6" s="45" t="s">
        <v>65</v>
      </c>
      <c r="G6" s="45" t="s">
        <v>65</v>
      </c>
      <c r="H6" s="45" t="s">
        <v>65</v>
      </c>
      <c r="I6" s="45" t="s">
        <v>65</v>
      </c>
      <c r="J6" s="45" t="s">
        <v>65</v>
      </c>
      <c r="K6" s="45" t="s">
        <v>65</v>
      </c>
      <c r="L6" s="45" t="s">
        <v>65</v>
      </c>
      <c r="M6" s="45" t="s">
        <v>65</v>
      </c>
      <c r="N6" s="45" t="s">
        <v>65</v>
      </c>
      <c r="O6" s="45" t="s">
        <v>65</v>
      </c>
      <c r="P6" s="45" t="s">
        <v>65</v>
      </c>
      <c r="Q6" s="45" t="s">
        <v>65</v>
      </c>
      <c r="R6" s="45" t="s">
        <v>65</v>
      </c>
      <c r="S6" s="45" t="s">
        <v>65</v>
      </c>
      <c r="T6" s="45" t="s">
        <v>65</v>
      </c>
      <c r="U6" s="45" t="s">
        <v>66</v>
      </c>
      <c r="V6" s="45" t="s">
        <v>66</v>
      </c>
      <c r="W6" s="45" t="s">
        <v>66</v>
      </c>
      <c r="X6" s="45" t="s">
        <v>66</v>
      </c>
      <c r="Y6" s="45" t="s">
        <v>66</v>
      </c>
      <c r="Z6" s="45" t="s">
        <v>66</v>
      </c>
      <c r="AA6" s="45" t="s">
        <v>66</v>
      </c>
      <c r="AB6" s="45" t="s">
        <v>66</v>
      </c>
      <c r="AC6" s="45" t="s">
        <v>66</v>
      </c>
      <c r="AD6" s="45" t="s">
        <v>65</v>
      </c>
      <c r="AE6" s="45" t="s">
        <v>65</v>
      </c>
      <c r="AF6" s="45" t="s">
        <v>65</v>
      </c>
      <c r="AG6" s="45" t="s">
        <v>66</v>
      </c>
      <c r="AH6" s="45" t="s">
        <v>66</v>
      </c>
      <c r="AI6" s="45" t="s">
        <v>66</v>
      </c>
      <c r="AJ6" s="45" t="s">
        <v>66</v>
      </c>
      <c r="AK6" s="45" t="s">
        <v>66</v>
      </c>
      <c r="AL6" s="45" t="s">
        <v>66</v>
      </c>
      <c r="AM6" s="45" t="s">
        <v>66</v>
      </c>
      <c r="AN6" s="45" t="s">
        <v>65</v>
      </c>
      <c r="AO6" s="45" t="s">
        <v>66</v>
      </c>
      <c r="AP6" s="45" t="s">
        <v>66</v>
      </c>
      <c r="AQ6" s="45" t="s">
        <v>66</v>
      </c>
      <c r="AR6" s="45" t="s">
        <v>66</v>
      </c>
      <c r="AS6" s="45" t="s">
        <v>66</v>
      </c>
      <c r="AT6" s="45" t="s">
        <v>66</v>
      </c>
      <c r="AU6" s="45" t="s">
        <v>66</v>
      </c>
      <c r="AV6" s="45" t="s">
        <v>66</v>
      </c>
      <c r="AW6" s="45" t="s">
        <v>66</v>
      </c>
      <c r="AX6" s="45" t="s">
        <v>66</v>
      </c>
      <c r="AY6" s="45" t="s">
        <v>66</v>
      </c>
      <c r="AZ6" s="45" t="s">
        <v>66</v>
      </c>
      <c r="BA6" s="45" t="s">
        <v>66</v>
      </c>
      <c r="BB6" s="45" t="s">
        <v>66</v>
      </c>
      <c r="BC6" s="45" t="s">
        <v>66</v>
      </c>
      <c r="BD6" s="45" t="s">
        <v>66</v>
      </c>
      <c r="BE6" s="45" t="s">
        <v>66</v>
      </c>
      <c r="BF6" s="45" t="s">
        <v>66</v>
      </c>
      <c r="BG6" s="45" t="s">
        <v>66</v>
      </c>
      <c r="BH6" s="45" t="s">
        <v>66</v>
      </c>
      <c r="BI6" s="45" t="s">
        <v>66</v>
      </c>
      <c r="BJ6" s="45" t="s">
        <v>66</v>
      </c>
      <c r="BK6" s="38" t="s">
        <v>467</v>
      </c>
      <c r="BL6" s="10" t="s">
        <v>548</v>
      </c>
      <c r="BM6" s="10" t="s">
        <v>549</v>
      </c>
      <c r="BN6" s="10" t="s">
        <v>551</v>
      </c>
      <c r="BO6" s="10" t="s">
        <v>550</v>
      </c>
      <c r="BP6" s="10" t="s">
        <v>562</v>
      </c>
      <c r="BQ6" s="10" t="s">
        <v>563</v>
      </c>
      <c r="BR6" s="10" t="s">
        <v>552</v>
      </c>
      <c r="BS6" s="10" t="s">
        <v>553</v>
      </c>
      <c r="BT6" s="10" t="s">
        <v>554</v>
      </c>
      <c r="BU6" s="10" t="s">
        <v>555</v>
      </c>
      <c r="BV6" s="10" t="s">
        <v>557</v>
      </c>
      <c r="BW6" s="10" t="s">
        <v>556</v>
      </c>
      <c r="BX6" s="10" t="s">
        <v>558</v>
      </c>
      <c r="BY6" s="10" t="s">
        <v>559</v>
      </c>
      <c r="BZ6" s="10" t="s">
        <v>560</v>
      </c>
      <c r="CA6" s="10" t="s">
        <v>568</v>
      </c>
      <c r="CB6" s="10" t="s">
        <v>561</v>
      </c>
      <c r="CC6" s="10" t="s">
        <v>605</v>
      </c>
      <c r="CD6" s="10" t="s">
        <v>608</v>
      </c>
    </row>
    <row r="7" spans="1:82" ht="16" thickTop="1" x14ac:dyDescent="0.2">
      <c r="A7" s="30" t="s">
        <v>482</v>
      </c>
      <c r="C7" s="150">
        <v>0</v>
      </c>
      <c r="D7" s="150">
        <v>15</v>
      </c>
      <c r="E7" s="46">
        <f>AVERAGE(C7:D7)</f>
        <v>7.5</v>
      </c>
      <c r="F7" s="42">
        <v>67.97</v>
      </c>
      <c r="G7" s="42">
        <v>13.64</v>
      </c>
      <c r="H7" s="42">
        <v>4.79</v>
      </c>
      <c r="I7" s="42">
        <v>7.8E-2</v>
      </c>
      <c r="J7" s="42">
        <v>0.9</v>
      </c>
      <c r="K7" s="42">
        <v>0.34</v>
      </c>
      <c r="L7" s="42">
        <v>0.81</v>
      </c>
      <c r="M7" s="42">
        <v>2.0299999999999998</v>
      </c>
      <c r="N7" s="42">
        <v>0.92800000000000005</v>
      </c>
      <c r="O7" s="42">
        <v>0.05</v>
      </c>
      <c r="P7" s="42">
        <v>7.47</v>
      </c>
      <c r="Q7" s="42">
        <v>99.01</v>
      </c>
      <c r="R7" s="42">
        <v>8</v>
      </c>
      <c r="S7" s="42">
        <v>1</v>
      </c>
      <c r="T7" s="42">
        <v>86</v>
      </c>
      <c r="U7" s="42" t="s">
        <v>69</v>
      </c>
      <c r="V7" s="42">
        <v>15</v>
      </c>
      <c r="W7" s="42" t="s">
        <v>69</v>
      </c>
      <c r="X7" s="42">
        <v>40</v>
      </c>
      <c r="Y7" s="42">
        <v>60</v>
      </c>
      <c r="Z7" s="42">
        <v>17</v>
      </c>
      <c r="AA7" s="42">
        <v>1</v>
      </c>
      <c r="AB7" s="42" t="s">
        <v>71</v>
      </c>
      <c r="AC7" s="42">
        <v>92</v>
      </c>
      <c r="AD7" s="42">
        <v>154</v>
      </c>
      <c r="AE7" s="42">
        <v>11</v>
      </c>
      <c r="AF7" s="42">
        <v>680</v>
      </c>
      <c r="AG7" s="42">
        <v>11</v>
      </c>
      <c r="AH7" s="42" t="s">
        <v>72</v>
      </c>
      <c r="AI7" s="42">
        <v>1.7</v>
      </c>
      <c r="AJ7" s="42" t="s">
        <v>73</v>
      </c>
      <c r="AK7" s="42">
        <v>1</v>
      </c>
      <c r="AL7" s="42" t="s">
        <v>74</v>
      </c>
      <c r="AM7" s="42">
        <v>3.1</v>
      </c>
      <c r="AN7" s="42">
        <v>796</v>
      </c>
      <c r="AO7" s="42" t="s">
        <v>75</v>
      </c>
      <c r="AP7" s="42">
        <v>27.5</v>
      </c>
      <c r="AQ7" s="42">
        <v>54.8</v>
      </c>
      <c r="AR7" s="42">
        <v>5.55</v>
      </c>
      <c r="AS7" s="42">
        <v>18.399999999999999</v>
      </c>
      <c r="AT7" s="42">
        <v>3.2</v>
      </c>
      <c r="AU7" s="42">
        <v>0.78</v>
      </c>
      <c r="AV7" s="42">
        <v>2.6</v>
      </c>
      <c r="AW7" s="42">
        <v>0.4</v>
      </c>
      <c r="AX7" s="42">
        <v>2.2000000000000002</v>
      </c>
      <c r="AY7" s="42">
        <v>0.4</v>
      </c>
      <c r="AZ7" s="42">
        <v>1.4</v>
      </c>
      <c r="BA7" s="42">
        <v>0.22</v>
      </c>
      <c r="BB7" s="42">
        <v>1.6</v>
      </c>
      <c r="BC7" s="42">
        <v>0.3</v>
      </c>
      <c r="BD7" s="42">
        <v>15.6</v>
      </c>
      <c r="BE7" s="42">
        <v>0.8</v>
      </c>
      <c r="BF7" s="42">
        <v>13</v>
      </c>
      <c r="BG7" s="42">
        <v>0.5</v>
      </c>
      <c r="BH7" s="42">
        <v>20</v>
      </c>
      <c r="BI7" s="42">
        <v>9.6</v>
      </c>
      <c r="BJ7" s="42">
        <v>2.6</v>
      </c>
      <c r="BK7" s="39">
        <f>100*(G7/(G7+J7+K7+L7))</f>
        <v>86.934353091140849</v>
      </c>
      <c r="BL7" s="257">
        <v>0.36147786530566955</v>
      </c>
      <c r="BM7" s="257">
        <v>0</v>
      </c>
      <c r="BN7" s="257">
        <v>0</v>
      </c>
      <c r="BO7" s="257">
        <v>0</v>
      </c>
      <c r="BP7" s="257">
        <v>0</v>
      </c>
      <c r="BQ7" s="257">
        <v>0</v>
      </c>
      <c r="BR7" s="257">
        <v>0</v>
      </c>
      <c r="BS7" s="257">
        <v>0</v>
      </c>
      <c r="BT7" s="257">
        <v>5.1148341284810828E-2</v>
      </c>
      <c r="BU7" s="257">
        <v>0</v>
      </c>
      <c r="BV7" s="257">
        <v>0.1887273937645623</v>
      </c>
      <c r="BW7" s="257">
        <v>0.19272162432042605</v>
      </c>
      <c r="BX7" s="257">
        <v>0</v>
      </c>
      <c r="BY7" s="257">
        <v>0</v>
      </c>
      <c r="BZ7" s="257">
        <v>0.18717408188172638</v>
      </c>
      <c r="CA7" s="257">
        <v>1.8750693442804833E-2</v>
      </c>
      <c r="CB7" s="257">
        <v>0</v>
      </c>
      <c r="CC7" s="257">
        <v>0</v>
      </c>
      <c r="CD7" s="257">
        <v>0</v>
      </c>
    </row>
    <row r="8" spans="1:82" x14ac:dyDescent="0.2">
      <c r="A8" s="30" t="s">
        <v>483</v>
      </c>
      <c r="C8" s="32">
        <v>15</v>
      </c>
      <c r="D8" s="32">
        <v>26</v>
      </c>
      <c r="E8" s="46">
        <f t="shared" ref="E8:E19" si="0">AVERAGE(C8:D8)</f>
        <v>20.5</v>
      </c>
      <c r="F8" s="42">
        <v>52.27</v>
      </c>
      <c r="G8" s="42">
        <v>23.56</v>
      </c>
      <c r="H8" s="42">
        <v>8.35</v>
      </c>
      <c r="I8" s="42">
        <v>5.1999999999999998E-2</v>
      </c>
      <c r="J8" s="42">
        <v>1.26</v>
      </c>
      <c r="K8" s="42">
        <v>0.16</v>
      </c>
      <c r="L8" s="42">
        <v>0.34</v>
      </c>
      <c r="M8" s="42">
        <v>1.42</v>
      </c>
      <c r="N8" s="42">
        <v>1.1599999999999999</v>
      </c>
      <c r="O8" s="42">
        <v>0.05</v>
      </c>
      <c r="P8" s="42">
        <v>11.89</v>
      </c>
      <c r="Q8" s="42">
        <v>100.5</v>
      </c>
      <c r="R8" s="42">
        <v>14</v>
      </c>
      <c r="S8" s="42">
        <v>1</v>
      </c>
      <c r="T8" s="42">
        <v>145</v>
      </c>
      <c r="U8" s="42">
        <v>20</v>
      </c>
      <c r="V8" s="42">
        <v>11</v>
      </c>
      <c r="W8" s="42" t="s">
        <v>69</v>
      </c>
      <c r="X8" s="42">
        <v>50</v>
      </c>
      <c r="Y8" s="42">
        <v>80</v>
      </c>
      <c r="Z8" s="42">
        <v>29</v>
      </c>
      <c r="AA8" s="42">
        <v>2</v>
      </c>
      <c r="AB8" s="42" t="s">
        <v>71</v>
      </c>
      <c r="AC8" s="42">
        <v>95</v>
      </c>
      <c r="AD8" s="42">
        <v>79</v>
      </c>
      <c r="AE8" s="42">
        <v>5</v>
      </c>
      <c r="AF8" s="42">
        <v>313</v>
      </c>
      <c r="AG8" s="42">
        <v>17</v>
      </c>
      <c r="AH8" s="42" t="s">
        <v>72</v>
      </c>
      <c r="AI8" s="42">
        <v>0.7</v>
      </c>
      <c r="AJ8" s="42" t="s">
        <v>73</v>
      </c>
      <c r="AK8" s="42">
        <v>2</v>
      </c>
      <c r="AL8" s="42" t="s">
        <v>74</v>
      </c>
      <c r="AM8" s="42">
        <v>4.2</v>
      </c>
      <c r="AN8" s="42">
        <v>380</v>
      </c>
      <c r="AO8" s="42" t="s">
        <v>75</v>
      </c>
      <c r="AP8" s="42">
        <v>19.8</v>
      </c>
      <c r="AQ8" s="42">
        <v>33.4</v>
      </c>
      <c r="AR8" s="42">
        <v>3.65</v>
      </c>
      <c r="AS8" s="42">
        <v>13</v>
      </c>
      <c r="AT8" s="42">
        <v>2.1</v>
      </c>
      <c r="AU8" s="42">
        <v>0.55000000000000004</v>
      </c>
      <c r="AV8" s="42">
        <v>1.5</v>
      </c>
      <c r="AW8" s="42">
        <v>0.2</v>
      </c>
      <c r="AX8" s="42">
        <v>1.3</v>
      </c>
      <c r="AY8" s="42">
        <v>0.3</v>
      </c>
      <c r="AZ8" s="42">
        <v>0.7</v>
      </c>
      <c r="BA8" s="42">
        <v>0.12</v>
      </c>
      <c r="BB8" s="42">
        <v>0.8</v>
      </c>
      <c r="BC8" s="42">
        <v>0.13</v>
      </c>
      <c r="BD8" s="42">
        <v>7.9</v>
      </c>
      <c r="BE8" s="42">
        <v>0.8</v>
      </c>
      <c r="BF8" s="42" t="s">
        <v>68</v>
      </c>
      <c r="BG8" s="42">
        <v>0.6</v>
      </c>
      <c r="BH8" s="42">
        <v>21</v>
      </c>
      <c r="BI8" s="42">
        <v>19.7</v>
      </c>
      <c r="BJ8" s="42">
        <v>2.2999999999999998</v>
      </c>
      <c r="BK8" s="39">
        <f t="shared" ref="BK8:BK21" si="1">100*(G8/(G8+J8+K8+L8))</f>
        <v>93.048973143759866</v>
      </c>
      <c r="BL8" s="257">
        <v>0.49268565047459528</v>
      </c>
      <c r="BM8" s="257">
        <v>0</v>
      </c>
      <c r="BN8" s="257">
        <v>2.7470686767169183E-2</v>
      </c>
      <c r="BO8" s="257">
        <v>0</v>
      </c>
      <c r="BP8" s="257">
        <v>0</v>
      </c>
      <c r="BQ8" s="257">
        <v>0</v>
      </c>
      <c r="BR8" s="257">
        <v>0</v>
      </c>
      <c r="BS8" s="257">
        <v>6.3651591289782252E-3</v>
      </c>
      <c r="BT8" s="257">
        <v>1.7867113344500283E-3</v>
      </c>
      <c r="BU8" s="257">
        <v>0</v>
      </c>
      <c r="BV8" s="257">
        <v>0.17554438860971527</v>
      </c>
      <c r="BW8" s="257">
        <v>0.17386934673366838</v>
      </c>
      <c r="BX8" s="257">
        <v>0</v>
      </c>
      <c r="BY8" s="257">
        <v>7.9620323841429377E-2</v>
      </c>
      <c r="BZ8" s="257">
        <v>0</v>
      </c>
      <c r="CA8" s="257">
        <v>3.9307649357900619E-2</v>
      </c>
      <c r="CB8" s="257">
        <v>0</v>
      </c>
      <c r="CC8" s="257">
        <v>0</v>
      </c>
      <c r="CD8" s="257">
        <v>3.3500837520938028E-3</v>
      </c>
    </row>
    <row r="9" spans="1:82" x14ac:dyDescent="0.2">
      <c r="A9" s="30" t="s">
        <v>484</v>
      </c>
      <c r="C9" s="32">
        <v>26</v>
      </c>
      <c r="D9" s="32">
        <v>77</v>
      </c>
      <c r="E9" s="46">
        <f t="shared" si="0"/>
        <v>51.5</v>
      </c>
      <c r="F9" s="42">
        <v>51.37</v>
      </c>
      <c r="G9" s="42">
        <v>24.75</v>
      </c>
      <c r="H9" s="42">
        <v>8.1199999999999992</v>
      </c>
      <c r="I9" s="42">
        <v>5.3999999999999999E-2</v>
      </c>
      <c r="J9" s="42">
        <v>1.45</v>
      </c>
      <c r="K9" s="42">
        <v>0.19</v>
      </c>
      <c r="L9" s="42">
        <v>0.45</v>
      </c>
      <c r="M9" s="42">
        <v>1.4</v>
      </c>
      <c r="N9" s="42">
        <v>1.1240000000000001</v>
      </c>
      <c r="O9" s="42">
        <v>0.04</v>
      </c>
      <c r="P9" s="42">
        <v>11.26</v>
      </c>
      <c r="Q9" s="42">
        <v>100.2</v>
      </c>
      <c r="R9" s="42">
        <v>17</v>
      </c>
      <c r="S9" s="42">
        <v>1</v>
      </c>
      <c r="T9" s="42">
        <v>144</v>
      </c>
      <c r="U9" s="42" t="s">
        <v>69</v>
      </c>
      <c r="V9" s="42">
        <v>11</v>
      </c>
      <c r="W9" s="42" t="s">
        <v>69</v>
      </c>
      <c r="X9" s="42">
        <v>40</v>
      </c>
      <c r="Y9" s="42">
        <v>80</v>
      </c>
      <c r="Z9" s="42">
        <v>30</v>
      </c>
      <c r="AA9" s="42">
        <v>2</v>
      </c>
      <c r="AB9" s="42" t="s">
        <v>71</v>
      </c>
      <c r="AC9" s="42">
        <v>84</v>
      </c>
      <c r="AD9" s="42">
        <v>69</v>
      </c>
      <c r="AE9" s="42">
        <v>6</v>
      </c>
      <c r="AF9" s="42">
        <v>262</v>
      </c>
      <c r="AG9" s="42">
        <v>15</v>
      </c>
      <c r="AH9" s="42" t="s">
        <v>72</v>
      </c>
      <c r="AI9" s="42">
        <v>0.9</v>
      </c>
      <c r="AJ9" s="42" t="s">
        <v>73</v>
      </c>
      <c r="AK9" s="42">
        <v>2</v>
      </c>
      <c r="AL9" s="42" t="s">
        <v>74</v>
      </c>
      <c r="AM9" s="42">
        <v>3.6</v>
      </c>
      <c r="AN9" s="42">
        <v>288</v>
      </c>
      <c r="AO9" s="42" t="s">
        <v>75</v>
      </c>
      <c r="AP9" s="42">
        <v>18.7</v>
      </c>
      <c r="AQ9" s="42">
        <v>40.700000000000003</v>
      </c>
      <c r="AR9" s="42">
        <v>4</v>
      </c>
      <c r="AS9" s="42">
        <v>14.8</v>
      </c>
      <c r="AT9" s="42">
        <v>2.2999999999999998</v>
      </c>
      <c r="AU9" s="42">
        <v>0.59</v>
      </c>
      <c r="AV9" s="42">
        <v>1.3</v>
      </c>
      <c r="AW9" s="42">
        <v>0.2</v>
      </c>
      <c r="AX9" s="42">
        <v>1.2</v>
      </c>
      <c r="AY9" s="42">
        <v>0.2</v>
      </c>
      <c r="AZ9" s="42">
        <v>0.6</v>
      </c>
      <c r="BA9" s="42">
        <v>0.11</v>
      </c>
      <c r="BB9" s="42">
        <v>0.8</v>
      </c>
      <c r="BC9" s="42">
        <v>0.14000000000000001</v>
      </c>
      <c r="BD9" s="42">
        <v>6.6</v>
      </c>
      <c r="BE9" s="42">
        <v>0.7</v>
      </c>
      <c r="BF9" s="42" t="s">
        <v>68</v>
      </c>
      <c r="BG9" s="42">
        <v>0.6</v>
      </c>
      <c r="BH9" s="42">
        <v>27</v>
      </c>
      <c r="BI9" s="42">
        <v>16.5</v>
      </c>
      <c r="BJ9" s="42">
        <v>2</v>
      </c>
      <c r="BK9" s="39">
        <f t="shared" si="1"/>
        <v>92.213114754098356</v>
      </c>
      <c r="BL9" s="257">
        <v>0.25323287979309567</v>
      </c>
      <c r="BM9" s="257">
        <v>0</v>
      </c>
      <c r="BN9" s="257">
        <v>1.5967614978072638E-2</v>
      </c>
      <c r="BO9" s="257">
        <v>0</v>
      </c>
      <c r="BP9" s="257">
        <v>0</v>
      </c>
      <c r="BQ9" s="257">
        <v>0</v>
      </c>
      <c r="BR9" s="257">
        <v>0</v>
      </c>
      <c r="BS9" s="257">
        <v>5.1388732711121106E-2</v>
      </c>
      <c r="BT9" s="257">
        <v>4.4079613178904756E-2</v>
      </c>
      <c r="BU9" s="257">
        <v>0</v>
      </c>
      <c r="BV9" s="257">
        <v>0.17957944450691554</v>
      </c>
      <c r="BW9" s="257">
        <v>0.1778927246148656</v>
      </c>
      <c r="BX9" s="257">
        <v>1.012031935229956E-3</v>
      </c>
      <c r="BY9" s="257">
        <v>0.17103339705386258</v>
      </c>
      <c r="BZ9" s="257">
        <v>0</v>
      </c>
      <c r="CA9" s="257">
        <v>0.10300236140784887</v>
      </c>
      <c r="CB9" s="257">
        <v>0</v>
      </c>
      <c r="CC9" s="257">
        <v>0</v>
      </c>
      <c r="CD9" s="257">
        <v>2.8111998200832113E-3</v>
      </c>
    </row>
    <row r="10" spans="1:82" x14ac:dyDescent="0.2">
      <c r="A10" s="30" t="s">
        <v>485</v>
      </c>
      <c r="C10" s="32">
        <v>77</v>
      </c>
      <c r="D10" s="32">
        <v>129</v>
      </c>
      <c r="E10" s="46">
        <f t="shared" si="0"/>
        <v>103</v>
      </c>
      <c r="F10" s="42">
        <v>51.5</v>
      </c>
      <c r="G10" s="42">
        <v>23.33</v>
      </c>
      <c r="H10" s="42">
        <v>7.93</v>
      </c>
      <c r="I10" s="42">
        <v>6.5000000000000002E-2</v>
      </c>
      <c r="J10" s="42">
        <v>1.76</v>
      </c>
      <c r="K10" s="42">
        <v>0.21</v>
      </c>
      <c r="L10" s="42">
        <v>0.42</v>
      </c>
      <c r="M10" s="42">
        <v>1.61</v>
      </c>
      <c r="N10" s="42">
        <v>1.099</v>
      </c>
      <c r="O10" s="42">
        <v>0.03</v>
      </c>
      <c r="P10" s="42">
        <v>10.73</v>
      </c>
      <c r="Q10" s="42">
        <v>98.68</v>
      </c>
      <c r="R10" s="42">
        <v>19</v>
      </c>
      <c r="S10" s="42">
        <v>1</v>
      </c>
      <c r="T10" s="42">
        <v>141</v>
      </c>
      <c r="U10" s="42" t="s">
        <v>69</v>
      </c>
      <c r="V10" s="42">
        <v>13</v>
      </c>
      <c r="W10" s="42" t="s">
        <v>69</v>
      </c>
      <c r="X10" s="42">
        <v>40</v>
      </c>
      <c r="Y10" s="42">
        <v>100</v>
      </c>
      <c r="Z10" s="42">
        <v>30</v>
      </c>
      <c r="AA10" s="42">
        <v>2</v>
      </c>
      <c r="AB10" s="42" t="s">
        <v>71</v>
      </c>
      <c r="AC10" s="42">
        <v>102</v>
      </c>
      <c r="AD10" s="42">
        <v>77</v>
      </c>
      <c r="AE10" s="42">
        <v>7</v>
      </c>
      <c r="AF10" s="42">
        <v>226</v>
      </c>
      <c r="AG10" s="42">
        <v>17</v>
      </c>
      <c r="AH10" s="42" t="s">
        <v>72</v>
      </c>
      <c r="AI10" s="42" t="s">
        <v>74</v>
      </c>
      <c r="AJ10" s="42" t="s">
        <v>73</v>
      </c>
      <c r="AK10" s="42">
        <v>2</v>
      </c>
      <c r="AL10" s="42" t="s">
        <v>74</v>
      </c>
      <c r="AM10" s="42">
        <v>4</v>
      </c>
      <c r="AN10" s="42">
        <v>336</v>
      </c>
      <c r="AO10" s="42" t="s">
        <v>75</v>
      </c>
      <c r="AP10" s="42">
        <v>32.200000000000003</v>
      </c>
      <c r="AQ10" s="42">
        <v>73.900000000000006</v>
      </c>
      <c r="AR10" s="42">
        <v>7.91</v>
      </c>
      <c r="AS10" s="42">
        <v>29.9</v>
      </c>
      <c r="AT10" s="42">
        <v>4.5</v>
      </c>
      <c r="AU10" s="42">
        <v>1</v>
      </c>
      <c r="AV10" s="42">
        <v>2.8</v>
      </c>
      <c r="AW10" s="42">
        <v>0.3</v>
      </c>
      <c r="AX10" s="42">
        <v>1.8</v>
      </c>
      <c r="AY10" s="42">
        <v>0.3</v>
      </c>
      <c r="AZ10" s="42">
        <v>1</v>
      </c>
      <c r="BA10" s="42">
        <v>0.15</v>
      </c>
      <c r="BB10" s="42">
        <v>1.1000000000000001</v>
      </c>
      <c r="BC10" s="42">
        <v>0.18</v>
      </c>
      <c r="BD10" s="42">
        <v>5.7</v>
      </c>
      <c r="BE10" s="42">
        <v>0.8</v>
      </c>
      <c r="BF10" s="42" t="s">
        <v>68</v>
      </c>
      <c r="BG10" s="42">
        <v>0.7</v>
      </c>
      <c r="BH10" s="42">
        <v>28</v>
      </c>
      <c r="BI10" s="42">
        <v>15.4</v>
      </c>
      <c r="BJ10" s="42">
        <v>2</v>
      </c>
      <c r="BK10" s="39">
        <f t="shared" si="1"/>
        <v>90.707620528771372</v>
      </c>
      <c r="BL10" s="257">
        <v>0.17831511538036873</v>
      </c>
      <c r="BM10" s="257">
        <v>0</v>
      </c>
      <c r="BN10" s="257">
        <v>2.5836369658827421E-2</v>
      </c>
      <c r="BO10" s="257">
        <v>0</v>
      </c>
      <c r="BP10" s="257">
        <v>0</v>
      </c>
      <c r="BQ10" s="257">
        <v>0</v>
      </c>
      <c r="BR10" s="257">
        <v>0</v>
      </c>
      <c r="BS10" s="257">
        <v>2.771337087335762E-2</v>
      </c>
      <c r="BT10" s="257">
        <v>8.2698465275477528E-2</v>
      </c>
      <c r="BU10" s="257">
        <v>0</v>
      </c>
      <c r="BV10" s="257">
        <v>0.16793640278237826</v>
      </c>
      <c r="BW10" s="257">
        <v>0.16948216848846195</v>
      </c>
      <c r="BX10" s="257">
        <v>2.208236722976703E-3</v>
      </c>
      <c r="BY10" s="257">
        <v>0.28773324500386438</v>
      </c>
      <c r="BZ10" s="257">
        <v>0</v>
      </c>
      <c r="CA10" s="257">
        <v>5.5205918074417576E-2</v>
      </c>
      <c r="CB10" s="257">
        <v>0</v>
      </c>
      <c r="CC10" s="257">
        <v>0</v>
      </c>
      <c r="CD10" s="257">
        <v>2.8707077398697138E-3</v>
      </c>
    </row>
    <row r="11" spans="1:82" x14ac:dyDescent="0.2">
      <c r="A11" s="30" t="s">
        <v>486</v>
      </c>
      <c r="C11" s="32">
        <v>129</v>
      </c>
      <c r="D11" s="32">
        <v>186</v>
      </c>
      <c r="E11" s="46">
        <f t="shared" si="0"/>
        <v>157.5</v>
      </c>
      <c r="F11" s="42">
        <v>58.2</v>
      </c>
      <c r="G11" s="42">
        <v>22.46</v>
      </c>
      <c r="H11" s="42">
        <v>5.09</v>
      </c>
      <c r="I11" s="42">
        <v>6.5000000000000002E-2</v>
      </c>
      <c r="J11" s="42">
        <v>1.69</v>
      </c>
      <c r="K11" s="42">
        <v>0.52</v>
      </c>
      <c r="L11" s="42">
        <v>1.1200000000000001</v>
      </c>
      <c r="M11" s="42">
        <v>1.83</v>
      </c>
      <c r="N11" s="42">
        <v>0.70199999999999996</v>
      </c>
      <c r="O11" s="42">
        <v>0.03</v>
      </c>
      <c r="P11" s="42">
        <v>8.77</v>
      </c>
      <c r="Q11" s="42">
        <v>100.5</v>
      </c>
      <c r="R11" s="42">
        <v>14</v>
      </c>
      <c r="S11" s="42">
        <v>2</v>
      </c>
      <c r="T11" s="42">
        <v>92</v>
      </c>
      <c r="U11" s="42" t="s">
        <v>69</v>
      </c>
      <c r="V11" s="42">
        <v>10</v>
      </c>
      <c r="W11" s="42" t="s">
        <v>69</v>
      </c>
      <c r="X11" s="42">
        <v>20</v>
      </c>
      <c r="Y11" s="42">
        <v>60</v>
      </c>
      <c r="Z11" s="42">
        <v>27</v>
      </c>
      <c r="AA11" s="42">
        <v>2</v>
      </c>
      <c r="AB11" s="42" t="s">
        <v>71</v>
      </c>
      <c r="AC11" s="42">
        <v>87</v>
      </c>
      <c r="AD11" s="42">
        <v>169</v>
      </c>
      <c r="AE11" s="42">
        <v>8</v>
      </c>
      <c r="AF11" s="42">
        <v>194</v>
      </c>
      <c r="AG11" s="42">
        <v>12</v>
      </c>
      <c r="AH11" s="42" t="s">
        <v>72</v>
      </c>
      <c r="AI11" s="42" t="s">
        <v>74</v>
      </c>
      <c r="AJ11" s="42" t="s">
        <v>73</v>
      </c>
      <c r="AK11" s="42">
        <v>1</v>
      </c>
      <c r="AL11" s="42" t="s">
        <v>74</v>
      </c>
      <c r="AM11" s="42">
        <v>2.6</v>
      </c>
      <c r="AN11" s="42">
        <v>395</v>
      </c>
      <c r="AO11" s="42" t="s">
        <v>75</v>
      </c>
      <c r="AP11" s="42">
        <v>34.799999999999997</v>
      </c>
      <c r="AQ11" s="42">
        <v>114</v>
      </c>
      <c r="AR11" s="42">
        <v>8.49</v>
      </c>
      <c r="AS11" s="42">
        <v>31.6</v>
      </c>
      <c r="AT11" s="42">
        <v>5.2</v>
      </c>
      <c r="AU11" s="42">
        <v>1.37</v>
      </c>
      <c r="AV11" s="42">
        <v>3.2</v>
      </c>
      <c r="AW11" s="42">
        <v>0.4</v>
      </c>
      <c r="AX11" s="42">
        <v>2.1</v>
      </c>
      <c r="AY11" s="42">
        <v>0.4</v>
      </c>
      <c r="AZ11" s="42">
        <v>1.1000000000000001</v>
      </c>
      <c r="BA11" s="42">
        <v>0.16</v>
      </c>
      <c r="BB11" s="42">
        <v>1</v>
      </c>
      <c r="BC11" s="42">
        <v>0.16</v>
      </c>
      <c r="BD11" s="42">
        <v>5.0999999999999996</v>
      </c>
      <c r="BE11" s="42">
        <v>0.6</v>
      </c>
      <c r="BF11" s="42" t="s">
        <v>68</v>
      </c>
      <c r="BG11" s="42">
        <v>0.6</v>
      </c>
      <c r="BH11" s="42">
        <v>29</v>
      </c>
      <c r="BI11" s="42">
        <v>13.5</v>
      </c>
      <c r="BJ11" s="42">
        <v>1.6</v>
      </c>
      <c r="BK11" s="39">
        <f t="shared" si="1"/>
        <v>87.088018611865053</v>
      </c>
      <c r="BL11" s="257">
        <v>0.13839121079416494</v>
      </c>
      <c r="BM11" s="257">
        <v>0</v>
      </c>
      <c r="BN11" s="257">
        <v>4.8638771443152824E-2</v>
      </c>
      <c r="BO11" s="257">
        <v>1.8800308744073219E-3</v>
      </c>
      <c r="BP11" s="257">
        <v>0</v>
      </c>
      <c r="BQ11" s="257">
        <v>0</v>
      </c>
      <c r="BR11" s="257">
        <v>0</v>
      </c>
      <c r="BS11" s="257">
        <v>1.4628545619719938E-2</v>
      </c>
      <c r="BT11" s="257">
        <v>9.1630410275846591E-2</v>
      </c>
      <c r="BU11" s="257">
        <v>0</v>
      </c>
      <c r="BV11" s="257">
        <v>0.16716370254897939</v>
      </c>
      <c r="BW11" s="257">
        <v>0.16716472521898013</v>
      </c>
      <c r="BX11" s="257">
        <v>1.269516972140022E-3</v>
      </c>
      <c r="BY11" s="257">
        <v>0.32519863264638033</v>
      </c>
      <c r="BZ11" s="257">
        <v>0</v>
      </c>
      <c r="CA11" s="257">
        <v>3.9842456225432407E-2</v>
      </c>
      <c r="CB11" s="257">
        <v>0</v>
      </c>
      <c r="CC11" s="257">
        <v>0</v>
      </c>
      <c r="CD11" s="257">
        <v>4.1919973807960321E-3</v>
      </c>
    </row>
    <row r="12" spans="1:82" x14ac:dyDescent="0.2">
      <c r="A12" s="30" t="s">
        <v>487</v>
      </c>
      <c r="C12" s="32">
        <v>186</v>
      </c>
      <c r="D12" s="32">
        <v>275</v>
      </c>
      <c r="E12" s="46">
        <f t="shared" si="0"/>
        <v>230.5</v>
      </c>
      <c r="F12" s="42">
        <v>52.51</v>
      </c>
      <c r="G12" s="42">
        <v>21.36</v>
      </c>
      <c r="H12" s="42">
        <v>6.9</v>
      </c>
      <c r="I12" s="42">
        <v>0.123</v>
      </c>
      <c r="J12" s="42">
        <v>3.77</v>
      </c>
      <c r="K12" s="42">
        <v>0.75</v>
      </c>
      <c r="L12" s="42">
        <v>1.56</v>
      </c>
      <c r="M12" s="42">
        <v>2.94</v>
      </c>
      <c r="N12" s="42">
        <v>0.85299999999999998</v>
      </c>
      <c r="O12" s="42">
        <v>0.01</v>
      </c>
      <c r="P12" s="42">
        <v>8.08</v>
      </c>
      <c r="Q12" s="42">
        <v>98.85</v>
      </c>
      <c r="R12" s="42">
        <v>16</v>
      </c>
      <c r="S12" s="42">
        <v>2</v>
      </c>
      <c r="T12" s="42">
        <v>136</v>
      </c>
      <c r="U12" s="42" t="s">
        <v>69</v>
      </c>
      <c r="V12" s="42">
        <v>16</v>
      </c>
      <c r="W12" s="42" t="s">
        <v>69</v>
      </c>
      <c r="X12" s="42">
        <v>10</v>
      </c>
      <c r="Y12" s="42">
        <v>80</v>
      </c>
      <c r="Z12" s="42">
        <v>28</v>
      </c>
      <c r="AA12" s="42">
        <v>2</v>
      </c>
      <c r="AB12" s="42" t="s">
        <v>71</v>
      </c>
      <c r="AC12" s="42">
        <v>162</v>
      </c>
      <c r="AD12" s="42">
        <v>183</v>
      </c>
      <c r="AE12" s="42">
        <v>18</v>
      </c>
      <c r="AF12" s="42">
        <v>258</v>
      </c>
      <c r="AG12" s="42">
        <v>15</v>
      </c>
      <c r="AH12" s="42" t="s">
        <v>72</v>
      </c>
      <c r="AI12" s="42">
        <v>0.5</v>
      </c>
      <c r="AJ12" s="42" t="s">
        <v>73</v>
      </c>
      <c r="AK12" s="42">
        <v>2</v>
      </c>
      <c r="AL12" s="42" t="s">
        <v>74</v>
      </c>
      <c r="AM12" s="42">
        <v>4.5</v>
      </c>
      <c r="AN12" s="42">
        <v>369</v>
      </c>
      <c r="AO12" s="42" t="s">
        <v>75</v>
      </c>
      <c r="AP12" s="42">
        <v>91.5</v>
      </c>
      <c r="AQ12" s="42">
        <v>168</v>
      </c>
      <c r="AR12" s="42">
        <v>21</v>
      </c>
      <c r="AS12" s="42">
        <v>75.599999999999994</v>
      </c>
      <c r="AT12" s="42">
        <v>11.8</v>
      </c>
      <c r="AU12" s="42">
        <v>2.78</v>
      </c>
      <c r="AV12" s="42">
        <v>7.2</v>
      </c>
      <c r="AW12" s="42">
        <v>0.9</v>
      </c>
      <c r="AX12" s="42">
        <v>4.4000000000000004</v>
      </c>
      <c r="AY12" s="42">
        <v>0.8</v>
      </c>
      <c r="AZ12" s="42">
        <v>2.2999999999999998</v>
      </c>
      <c r="BA12" s="42">
        <v>0.33</v>
      </c>
      <c r="BB12" s="42">
        <v>2.4</v>
      </c>
      <c r="BC12" s="42">
        <v>0.37</v>
      </c>
      <c r="BD12" s="42">
        <v>6.5</v>
      </c>
      <c r="BE12" s="42">
        <v>0.9</v>
      </c>
      <c r="BF12" s="42" t="s">
        <v>68</v>
      </c>
      <c r="BG12" s="42">
        <v>0.9</v>
      </c>
      <c r="BH12" s="42">
        <v>24</v>
      </c>
      <c r="BI12" s="42">
        <v>11.2</v>
      </c>
      <c r="BJ12" s="42">
        <v>1.4</v>
      </c>
      <c r="BK12" s="39">
        <f t="shared" si="1"/>
        <v>77.842565597667644</v>
      </c>
      <c r="BL12" s="257">
        <v>9.846730620796118E-2</v>
      </c>
      <c r="BM12" s="257">
        <v>0</v>
      </c>
      <c r="BN12" s="257">
        <v>7.1441173227478227E-2</v>
      </c>
      <c r="BO12" s="257">
        <v>3.7600617488146438E-3</v>
      </c>
      <c r="BP12" s="257">
        <v>0</v>
      </c>
      <c r="BQ12" s="257">
        <v>0</v>
      </c>
      <c r="BR12" s="257">
        <v>0</v>
      </c>
      <c r="BS12" s="257">
        <v>1.5437203660822584E-3</v>
      </c>
      <c r="BT12" s="257">
        <v>0.10056235527621567</v>
      </c>
      <c r="BU12" s="257">
        <v>0</v>
      </c>
      <c r="BV12" s="257">
        <v>0.16639100231558054</v>
      </c>
      <c r="BW12" s="257">
        <v>0.1648472819494983</v>
      </c>
      <c r="BX12" s="257">
        <v>3.3079722130334107E-4</v>
      </c>
      <c r="BY12" s="257">
        <v>0.36266402028889627</v>
      </c>
      <c r="BZ12" s="257">
        <v>0</v>
      </c>
      <c r="CA12" s="257">
        <v>2.4478994376447242E-2</v>
      </c>
      <c r="CB12" s="257">
        <v>0</v>
      </c>
      <c r="CC12" s="257">
        <v>0</v>
      </c>
      <c r="CD12" s="257">
        <v>5.5132870217223509E-3</v>
      </c>
    </row>
    <row r="13" spans="1:82" x14ac:dyDescent="0.2">
      <c r="A13" s="30" t="s">
        <v>170</v>
      </c>
      <c r="C13" s="32">
        <v>300</v>
      </c>
      <c r="D13" s="32">
        <v>400</v>
      </c>
      <c r="E13" s="46">
        <f t="shared" si="0"/>
        <v>350</v>
      </c>
      <c r="F13" s="42">
        <v>58.71</v>
      </c>
      <c r="G13" s="42">
        <v>18.420000000000002</v>
      </c>
      <c r="H13" s="42">
        <v>6.11</v>
      </c>
      <c r="I13" s="42">
        <v>0.111</v>
      </c>
      <c r="J13" s="42">
        <v>3.18</v>
      </c>
      <c r="K13" s="42">
        <v>0.91</v>
      </c>
      <c r="L13" s="42">
        <v>2.0099999999999998</v>
      </c>
      <c r="M13" s="42">
        <v>3.98</v>
      </c>
      <c r="N13" s="42">
        <v>0.88700000000000001</v>
      </c>
      <c r="O13" s="42">
        <v>0.03</v>
      </c>
      <c r="P13" s="42">
        <v>5.2</v>
      </c>
      <c r="Q13" s="42">
        <v>99.54</v>
      </c>
      <c r="R13" s="42">
        <v>12</v>
      </c>
      <c r="S13" s="42">
        <v>2</v>
      </c>
      <c r="T13" s="42">
        <v>102</v>
      </c>
      <c r="U13" s="42" t="s">
        <v>69</v>
      </c>
      <c r="V13" s="42">
        <v>12</v>
      </c>
      <c r="W13" s="42" t="s">
        <v>69</v>
      </c>
      <c r="X13" s="42">
        <v>40</v>
      </c>
      <c r="Y13" s="42">
        <v>90</v>
      </c>
      <c r="Z13" s="42">
        <v>17</v>
      </c>
      <c r="AA13" s="42">
        <v>1</v>
      </c>
      <c r="AB13" s="42" t="s">
        <v>71</v>
      </c>
      <c r="AC13" s="42">
        <v>146</v>
      </c>
      <c r="AD13" s="42">
        <v>330</v>
      </c>
      <c r="AE13" s="42">
        <v>20</v>
      </c>
      <c r="AF13" s="42">
        <v>409</v>
      </c>
      <c r="AG13" s="42">
        <v>10</v>
      </c>
      <c r="AH13" s="42" t="s">
        <v>72</v>
      </c>
      <c r="AI13" s="42">
        <v>1.4</v>
      </c>
      <c r="AJ13" s="42" t="s">
        <v>73</v>
      </c>
      <c r="AK13" s="42">
        <v>1</v>
      </c>
      <c r="AL13" s="42" t="s">
        <v>74</v>
      </c>
      <c r="AM13" s="42">
        <v>3</v>
      </c>
      <c r="AN13" s="42">
        <v>959</v>
      </c>
      <c r="AO13" s="42" t="s">
        <v>75</v>
      </c>
      <c r="AP13" s="42">
        <v>116</v>
      </c>
      <c r="AQ13" s="42">
        <v>189</v>
      </c>
      <c r="AR13" s="42">
        <v>23.5</v>
      </c>
      <c r="AS13" s="42">
        <v>78.099999999999994</v>
      </c>
      <c r="AT13" s="42">
        <v>11.1</v>
      </c>
      <c r="AU13" s="42">
        <v>2.36</v>
      </c>
      <c r="AV13" s="42">
        <v>6.6</v>
      </c>
      <c r="AW13" s="42">
        <v>0.8</v>
      </c>
      <c r="AX13" s="42">
        <v>4.3</v>
      </c>
      <c r="AY13" s="42">
        <v>0.8</v>
      </c>
      <c r="AZ13" s="42">
        <v>2.2999999999999998</v>
      </c>
      <c r="BA13" s="42">
        <v>0.32</v>
      </c>
      <c r="BB13" s="42">
        <v>2.1</v>
      </c>
      <c r="BC13" s="42">
        <v>0.34</v>
      </c>
      <c r="BD13" s="42">
        <v>8.8000000000000007</v>
      </c>
      <c r="BE13" s="42">
        <v>0.5</v>
      </c>
      <c r="BF13" s="42" t="s">
        <v>68</v>
      </c>
      <c r="BG13" s="42">
        <v>0.6</v>
      </c>
      <c r="BH13" s="42">
        <v>25</v>
      </c>
      <c r="BI13" s="42">
        <v>18.100000000000001</v>
      </c>
      <c r="BJ13" s="42">
        <v>2.4</v>
      </c>
      <c r="BK13" s="39">
        <f t="shared" si="1"/>
        <v>75.122349102773242</v>
      </c>
      <c r="BL13" s="257">
        <v>0.15670921377239089</v>
      </c>
      <c r="BM13" s="257">
        <v>0</v>
      </c>
      <c r="BN13" s="257">
        <v>0.11534913654403092</v>
      </c>
      <c r="BO13" s="257">
        <v>6.0710071865279439E-3</v>
      </c>
      <c r="BP13" s="257">
        <v>0</v>
      </c>
      <c r="BQ13" s="257">
        <v>0</v>
      </c>
      <c r="BR13" s="257">
        <v>0</v>
      </c>
      <c r="BS13" s="257">
        <v>0</v>
      </c>
      <c r="BT13" s="257">
        <v>0</v>
      </c>
      <c r="BU13" s="257">
        <v>0</v>
      </c>
      <c r="BV13" s="257">
        <v>0.14276520433336912</v>
      </c>
      <c r="BW13" s="257">
        <v>0</v>
      </c>
      <c r="BX13" s="257">
        <v>5.9208409310307852E-2</v>
      </c>
      <c r="BY13" s="257">
        <v>0.48171189531266767</v>
      </c>
      <c r="BZ13" s="257">
        <v>0</v>
      </c>
      <c r="CA13" s="257">
        <v>2.9389681433015135E-2</v>
      </c>
      <c r="CB13" s="257">
        <v>0</v>
      </c>
      <c r="CC13" s="257">
        <v>0</v>
      </c>
      <c r="CD13" s="257">
        <v>8.795452107690659E-3</v>
      </c>
    </row>
    <row r="14" spans="1:82" x14ac:dyDescent="0.2">
      <c r="A14" s="30" t="s">
        <v>171</v>
      </c>
      <c r="C14" s="32">
        <v>400</v>
      </c>
      <c r="D14" s="32">
        <v>500</v>
      </c>
      <c r="E14" s="46">
        <f t="shared" si="0"/>
        <v>450</v>
      </c>
      <c r="F14" s="42">
        <v>60.68</v>
      </c>
      <c r="G14" s="42">
        <v>17.47</v>
      </c>
      <c r="H14" s="42">
        <v>5.48</v>
      </c>
      <c r="I14" s="42">
        <v>0.108</v>
      </c>
      <c r="J14" s="42">
        <v>2.89</v>
      </c>
      <c r="K14" s="42">
        <v>1.1100000000000001</v>
      </c>
      <c r="L14" s="42">
        <v>2.46</v>
      </c>
      <c r="M14" s="42">
        <v>3.94</v>
      </c>
      <c r="N14" s="42">
        <v>0.76400000000000001</v>
      </c>
      <c r="O14" s="42">
        <v>0.03</v>
      </c>
      <c r="P14" s="42">
        <v>4.2699999999999996</v>
      </c>
      <c r="Q14" s="42">
        <v>99.21</v>
      </c>
      <c r="R14" s="42">
        <v>11</v>
      </c>
      <c r="S14" s="42">
        <v>2</v>
      </c>
      <c r="T14" s="42">
        <v>93</v>
      </c>
      <c r="U14" s="42" t="s">
        <v>69</v>
      </c>
      <c r="V14" s="42">
        <v>10</v>
      </c>
      <c r="W14" s="42" t="s">
        <v>69</v>
      </c>
      <c r="X14" s="42">
        <v>30</v>
      </c>
      <c r="Y14" s="42">
        <v>70</v>
      </c>
      <c r="Z14" s="42">
        <v>15</v>
      </c>
      <c r="AA14" s="42">
        <v>1</v>
      </c>
      <c r="AB14" s="42" t="s">
        <v>71</v>
      </c>
      <c r="AC14" s="42">
        <v>139</v>
      </c>
      <c r="AD14" s="42">
        <v>372</v>
      </c>
      <c r="AE14" s="42">
        <v>21</v>
      </c>
      <c r="AF14" s="42">
        <v>337</v>
      </c>
      <c r="AG14" s="42">
        <v>9</v>
      </c>
      <c r="AH14" s="42" t="s">
        <v>72</v>
      </c>
      <c r="AI14" s="42">
        <v>1.2</v>
      </c>
      <c r="AJ14" s="42" t="s">
        <v>73</v>
      </c>
      <c r="AK14" s="42">
        <v>1</v>
      </c>
      <c r="AL14" s="42" t="s">
        <v>74</v>
      </c>
      <c r="AM14" s="42">
        <v>2.8</v>
      </c>
      <c r="AN14" s="42">
        <v>900</v>
      </c>
      <c r="AO14" s="42" t="s">
        <v>75</v>
      </c>
      <c r="AP14" s="42">
        <v>89.5</v>
      </c>
      <c r="AQ14" s="42">
        <v>154</v>
      </c>
      <c r="AR14" s="42">
        <v>17.7</v>
      </c>
      <c r="AS14" s="42">
        <v>60.5</v>
      </c>
      <c r="AT14" s="42">
        <v>8.8000000000000007</v>
      </c>
      <c r="AU14" s="42">
        <v>2.17</v>
      </c>
      <c r="AV14" s="42">
        <v>6</v>
      </c>
      <c r="AW14" s="42">
        <v>0.8</v>
      </c>
      <c r="AX14" s="42">
        <v>4.2</v>
      </c>
      <c r="AY14" s="42">
        <v>0.8</v>
      </c>
      <c r="AZ14" s="42">
        <v>2.2999999999999998</v>
      </c>
      <c r="BA14" s="42">
        <v>0.31</v>
      </c>
      <c r="BB14" s="42">
        <v>2</v>
      </c>
      <c r="BC14" s="42">
        <v>0.33</v>
      </c>
      <c r="BD14" s="42">
        <v>7.4</v>
      </c>
      <c r="BE14" s="42">
        <v>0.4</v>
      </c>
      <c r="BF14" s="42" t="s">
        <v>68</v>
      </c>
      <c r="BG14" s="42">
        <v>0.6</v>
      </c>
      <c r="BH14" s="42">
        <v>28</v>
      </c>
      <c r="BI14" s="42">
        <v>13.1</v>
      </c>
      <c r="BJ14" s="42">
        <v>1.5</v>
      </c>
      <c r="BK14" s="39">
        <f t="shared" si="1"/>
        <v>73.004596740493099</v>
      </c>
      <c r="BL14" s="257">
        <v>0.20471677794529405</v>
      </c>
      <c r="BM14" s="257">
        <v>0</v>
      </c>
      <c r="BN14" s="257">
        <v>0.16501723023906956</v>
      </c>
      <c r="BO14" s="257">
        <v>8.6851173810036635E-3</v>
      </c>
      <c r="BP14" s="257">
        <v>0</v>
      </c>
      <c r="BQ14" s="257">
        <v>0</v>
      </c>
      <c r="BR14" s="257">
        <v>0</v>
      </c>
      <c r="BS14" s="257">
        <v>0</v>
      </c>
      <c r="BT14" s="257">
        <v>0</v>
      </c>
      <c r="BU14" s="257">
        <v>0</v>
      </c>
      <c r="BV14" s="257">
        <v>0.15194917079474479</v>
      </c>
      <c r="BW14" s="257">
        <v>0</v>
      </c>
      <c r="BX14" s="257">
        <v>6.1598104673702352E-2</v>
      </c>
      <c r="BY14" s="257">
        <v>0.36754253715270307</v>
      </c>
      <c r="BZ14" s="257">
        <v>0</v>
      </c>
      <c r="CA14" s="257">
        <v>3.1337497307775151E-2</v>
      </c>
      <c r="CB14" s="257">
        <v>0</v>
      </c>
      <c r="CC14" s="257">
        <v>0</v>
      </c>
      <c r="CD14" s="257">
        <v>9.1535645057075187E-3</v>
      </c>
    </row>
    <row r="15" spans="1:82" x14ac:dyDescent="0.2">
      <c r="A15" s="30" t="s">
        <v>172</v>
      </c>
      <c r="C15" s="32">
        <v>500</v>
      </c>
      <c r="D15" s="32">
        <v>600</v>
      </c>
      <c r="E15" s="46">
        <f t="shared" si="0"/>
        <v>550</v>
      </c>
      <c r="F15" s="42">
        <v>62.34</v>
      </c>
      <c r="G15" s="42">
        <v>18.100000000000001</v>
      </c>
      <c r="H15" s="42">
        <v>5.56</v>
      </c>
      <c r="I15" s="42">
        <v>9.2999999999999999E-2</v>
      </c>
      <c r="J15" s="42">
        <v>1.84</v>
      </c>
      <c r="K15" s="42">
        <v>1.28</v>
      </c>
      <c r="L15" s="42">
        <v>2.58</v>
      </c>
      <c r="M15" s="42">
        <v>3.07</v>
      </c>
      <c r="N15" s="42">
        <v>0.81299999999999994</v>
      </c>
      <c r="O15" s="42">
        <v>0.05</v>
      </c>
      <c r="P15" s="42">
        <v>4.13</v>
      </c>
      <c r="Q15" s="42">
        <v>99.85</v>
      </c>
      <c r="R15" s="42">
        <v>9</v>
      </c>
      <c r="S15" s="42">
        <v>2</v>
      </c>
      <c r="T15" s="42">
        <v>72</v>
      </c>
      <c r="U15" s="42" t="s">
        <v>69</v>
      </c>
      <c r="V15" s="42">
        <v>7</v>
      </c>
      <c r="W15" s="42" t="s">
        <v>69</v>
      </c>
      <c r="X15" s="42">
        <v>20</v>
      </c>
      <c r="Y15" s="42">
        <v>70</v>
      </c>
      <c r="Z15" s="42">
        <v>16</v>
      </c>
      <c r="AA15" s="42">
        <v>1</v>
      </c>
      <c r="AB15" s="42" t="s">
        <v>71</v>
      </c>
      <c r="AC15" s="42">
        <v>106</v>
      </c>
      <c r="AD15" s="42">
        <v>449</v>
      </c>
      <c r="AE15" s="42">
        <v>19</v>
      </c>
      <c r="AF15" s="42">
        <v>410</v>
      </c>
      <c r="AG15" s="42">
        <v>9</v>
      </c>
      <c r="AH15" s="42" t="s">
        <v>72</v>
      </c>
      <c r="AI15" s="42">
        <v>1.6</v>
      </c>
      <c r="AJ15" s="42" t="s">
        <v>73</v>
      </c>
      <c r="AK15" s="42">
        <v>1</v>
      </c>
      <c r="AL15" s="42" t="s">
        <v>74</v>
      </c>
      <c r="AM15" s="42">
        <v>2.2000000000000002</v>
      </c>
      <c r="AN15" s="42">
        <v>1079</v>
      </c>
      <c r="AO15" s="42" t="s">
        <v>75</v>
      </c>
      <c r="AP15" s="42">
        <v>134</v>
      </c>
      <c r="AQ15" s="42">
        <v>239</v>
      </c>
      <c r="AR15" s="42">
        <v>26.3</v>
      </c>
      <c r="AS15" s="42">
        <v>88.9</v>
      </c>
      <c r="AT15" s="42">
        <v>12</v>
      </c>
      <c r="AU15" s="42">
        <v>2.4500000000000002</v>
      </c>
      <c r="AV15" s="42">
        <v>7</v>
      </c>
      <c r="AW15" s="42">
        <v>0.9</v>
      </c>
      <c r="AX15" s="42">
        <v>4.5</v>
      </c>
      <c r="AY15" s="42">
        <v>0.8</v>
      </c>
      <c r="AZ15" s="42">
        <v>2.2999999999999998</v>
      </c>
      <c r="BA15" s="42">
        <v>0.3</v>
      </c>
      <c r="BB15" s="42">
        <v>1.9</v>
      </c>
      <c r="BC15" s="42">
        <v>0.31</v>
      </c>
      <c r="BD15" s="42">
        <v>8.9</v>
      </c>
      <c r="BE15" s="42">
        <v>0.4</v>
      </c>
      <c r="BF15" s="42">
        <v>2</v>
      </c>
      <c r="BG15" s="42">
        <v>0.4</v>
      </c>
      <c r="BH15" s="42">
        <v>24</v>
      </c>
      <c r="BI15" s="42">
        <v>28.3</v>
      </c>
      <c r="BJ15" s="42">
        <v>2</v>
      </c>
      <c r="BK15" s="39">
        <f t="shared" si="1"/>
        <v>76.05042016806722</v>
      </c>
      <c r="BL15" s="257">
        <v>0.25049331286998461</v>
      </c>
      <c r="BM15" s="257">
        <v>0</v>
      </c>
      <c r="BN15" s="257">
        <v>0.17381604911203682</v>
      </c>
      <c r="BO15" s="257">
        <v>9.1482131111598336E-3</v>
      </c>
      <c r="BP15" s="257">
        <v>0</v>
      </c>
      <c r="BQ15" s="257">
        <v>0</v>
      </c>
      <c r="BR15" s="257">
        <v>0</v>
      </c>
      <c r="BS15" s="257">
        <v>0</v>
      </c>
      <c r="BT15" s="257">
        <v>0</v>
      </c>
      <c r="BU15" s="257">
        <v>0</v>
      </c>
      <c r="BV15" s="257">
        <v>0.17167287875465903</v>
      </c>
      <c r="BW15" s="257">
        <v>0</v>
      </c>
      <c r="BX15" s="257">
        <v>6.3363297522473133E-2</v>
      </c>
      <c r="BY15" s="257">
        <v>0.25849594387195785</v>
      </c>
      <c r="BZ15" s="257">
        <v>0</v>
      </c>
      <c r="CA15" s="257">
        <v>3.5408901556676163E-2</v>
      </c>
      <c r="CB15" s="257">
        <v>0</v>
      </c>
      <c r="CC15" s="257">
        <v>0</v>
      </c>
      <c r="CD15" s="257">
        <v>3.7601403201052395E-2</v>
      </c>
    </row>
    <row r="16" spans="1:82" x14ac:dyDescent="0.2">
      <c r="A16" s="30" t="s">
        <v>173</v>
      </c>
      <c r="C16" s="32">
        <v>600</v>
      </c>
      <c r="D16" s="32">
        <v>700</v>
      </c>
      <c r="E16" s="46">
        <f t="shared" si="0"/>
        <v>650</v>
      </c>
      <c r="F16" s="42">
        <v>62.91</v>
      </c>
      <c r="G16" s="42">
        <v>18.22</v>
      </c>
      <c r="H16" s="42">
        <v>5.81</v>
      </c>
      <c r="I16" s="42">
        <v>0.107</v>
      </c>
      <c r="J16" s="42">
        <v>1.52</v>
      </c>
      <c r="K16" s="42">
        <v>1.71</v>
      </c>
      <c r="L16" s="42">
        <v>2.89</v>
      </c>
      <c r="M16" s="42">
        <v>2.33</v>
      </c>
      <c r="N16" s="42">
        <v>0.85</v>
      </c>
      <c r="O16" s="42">
        <v>0.03</v>
      </c>
      <c r="P16" s="42">
        <v>3.92</v>
      </c>
      <c r="Q16" s="42">
        <v>100.3</v>
      </c>
      <c r="R16" s="42">
        <v>12</v>
      </c>
      <c r="S16" s="42">
        <v>3</v>
      </c>
      <c r="T16" s="42">
        <v>77</v>
      </c>
      <c r="U16" s="42" t="s">
        <v>69</v>
      </c>
      <c r="V16" s="42">
        <v>8</v>
      </c>
      <c r="W16" s="42" t="s">
        <v>69</v>
      </c>
      <c r="X16" s="42" t="s">
        <v>114</v>
      </c>
      <c r="Y16" s="42">
        <v>70</v>
      </c>
      <c r="Z16" s="42">
        <v>15</v>
      </c>
      <c r="AA16" s="42" t="s">
        <v>68</v>
      </c>
      <c r="AB16" s="42" t="s">
        <v>71</v>
      </c>
      <c r="AC16" s="42">
        <v>79</v>
      </c>
      <c r="AD16" s="42">
        <v>407</v>
      </c>
      <c r="AE16" s="42">
        <v>16</v>
      </c>
      <c r="AF16" s="42">
        <v>220</v>
      </c>
      <c r="AG16" s="42">
        <v>7</v>
      </c>
      <c r="AH16" s="42" t="s">
        <v>72</v>
      </c>
      <c r="AI16" s="42">
        <v>0.6</v>
      </c>
      <c r="AJ16" s="42" t="s">
        <v>73</v>
      </c>
      <c r="AK16" s="42">
        <v>2</v>
      </c>
      <c r="AL16" s="42" t="s">
        <v>74</v>
      </c>
      <c r="AM16" s="42">
        <v>1.5</v>
      </c>
      <c r="AN16" s="42">
        <v>876</v>
      </c>
      <c r="AO16" s="42" t="s">
        <v>75</v>
      </c>
      <c r="AP16" s="42">
        <v>41.1</v>
      </c>
      <c r="AQ16" s="42">
        <v>81.599999999999994</v>
      </c>
      <c r="AR16" s="42">
        <v>9.31</v>
      </c>
      <c r="AS16" s="42">
        <v>34.4</v>
      </c>
      <c r="AT16" s="42">
        <v>6.2</v>
      </c>
      <c r="AU16" s="42">
        <v>1.55</v>
      </c>
      <c r="AV16" s="42">
        <v>4.5</v>
      </c>
      <c r="AW16" s="42">
        <v>0.6</v>
      </c>
      <c r="AX16" s="42">
        <v>3.2</v>
      </c>
      <c r="AY16" s="42">
        <v>0.6</v>
      </c>
      <c r="AZ16" s="42">
        <v>1.9</v>
      </c>
      <c r="BA16" s="42">
        <v>0.25</v>
      </c>
      <c r="BB16" s="42">
        <v>1.7</v>
      </c>
      <c r="BC16" s="42">
        <v>0.27</v>
      </c>
      <c r="BD16" s="42">
        <v>5.0999999999999996</v>
      </c>
      <c r="BE16" s="42">
        <v>0.3</v>
      </c>
      <c r="BF16" s="42" t="s">
        <v>68</v>
      </c>
      <c r="BG16" s="42">
        <v>0.3</v>
      </c>
      <c r="BH16" s="42">
        <v>32</v>
      </c>
      <c r="BI16" s="42">
        <v>6.2</v>
      </c>
      <c r="BJ16" s="42">
        <v>0.8</v>
      </c>
      <c r="BK16" s="39">
        <f t="shared" si="1"/>
        <v>74.856203779786355</v>
      </c>
      <c r="BL16" s="257">
        <v>0.22387898433279307</v>
      </c>
      <c r="BM16" s="257">
        <v>0</v>
      </c>
      <c r="BN16" s="257">
        <v>0.21155591572123178</v>
      </c>
      <c r="BO16" s="257">
        <v>1.113452188006483E-2</v>
      </c>
      <c r="BP16" s="257">
        <v>0</v>
      </c>
      <c r="BQ16" s="257">
        <v>0</v>
      </c>
      <c r="BR16" s="257">
        <v>0</v>
      </c>
      <c r="BS16" s="257">
        <v>0</v>
      </c>
      <c r="BT16" s="257">
        <v>0</v>
      </c>
      <c r="BU16" s="257">
        <v>0</v>
      </c>
      <c r="BV16" s="257">
        <v>0.16002160994057268</v>
      </c>
      <c r="BW16" s="257">
        <v>0</v>
      </c>
      <c r="BX16" s="257">
        <v>4.095083738519719E-2</v>
      </c>
      <c r="BY16" s="257">
        <v>0.28860075634792004</v>
      </c>
      <c r="BZ16" s="257">
        <v>0</v>
      </c>
      <c r="CA16" s="257">
        <v>3.295515937331172E-2</v>
      </c>
      <c r="CB16" s="257">
        <v>0</v>
      </c>
      <c r="CC16" s="257">
        <v>0</v>
      </c>
      <c r="CD16" s="257">
        <v>3.0902215018908698E-2</v>
      </c>
    </row>
    <row r="17" spans="1:82" s="294" customFormat="1" ht="16" thickBot="1" x14ac:dyDescent="0.25">
      <c r="A17" s="299" t="s">
        <v>174</v>
      </c>
      <c r="C17" s="154">
        <v>700</v>
      </c>
      <c r="D17" s="154">
        <v>800</v>
      </c>
      <c r="E17" s="300">
        <f t="shared" si="0"/>
        <v>750</v>
      </c>
      <c r="F17" s="301">
        <v>62.34</v>
      </c>
      <c r="G17" s="301">
        <v>17.14</v>
      </c>
      <c r="H17" s="301">
        <v>5.94</v>
      </c>
      <c r="I17" s="301">
        <v>0.114</v>
      </c>
      <c r="J17" s="301">
        <v>1.84</v>
      </c>
      <c r="K17" s="301">
        <v>1.89</v>
      </c>
      <c r="L17" s="301">
        <v>3.08</v>
      </c>
      <c r="M17" s="301">
        <v>2.09</v>
      </c>
      <c r="N17" s="301">
        <v>0.92</v>
      </c>
      <c r="O17" s="301">
        <v>0.04</v>
      </c>
      <c r="P17" s="301">
        <v>3.85</v>
      </c>
      <c r="Q17" s="301">
        <v>99.23</v>
      </c>
      <c r="R17" s="301">
        <v>14</v>
      </c>
      <c r="S17" s="301">
        <v>3</v>
      </c>
      <c r="T17" s="301">
        <v>94</v>
      </c>
      <c r="U17" s="301" t="s">
        <v>69</v>
      </c>
      <c r="V17" s="301">
        <v>10</v>
      </c>
      <c r="W17" s="301" t="s">
        <v>69</v>
      </c>
      <c r="X17" s="301" t="s">
        <v>114</v>
      </c>
      <c r="Y17" s="301">
        <v>90</v>
      </c>
      <c r="Z17" s="301">
        <v>16</v>
      </c>
      <c r="AA17" s="301">
        <v>1</v>
      </c>
      <c r="AB17" s="301" t="s">
        <v>71</v>
      </c>
      <c r="AC17" s="301">
        <v>85</v>
      </c>
      <c r="AD17" s="301">
        <v>596</v>
      </c>
      <c r="AE17" s="301">
        <v>22</v>
      </c>
      <c r="AF17" s="301">
        <v>194</v>
      </c>
      <c r="AG17" s="301">
        <v>11</v>
      </c>
      <c r="AH17" s="301" t="s">
        <v>72</v>
      </c>
      <c r="AI17" s="301">
        <v>0.5</v>
      </c>
      <c r="AJ17" s="301" t="s">
        <v>73</v>
      </c>
      <c r="AK17" s="301">
        <v>2</v>
      </c>
      <c r="AL17" s="301" t="s">
        <v>74</v>
      </c>
      <c r="AM17" s="301">
        <v>1.9</v>
      </c>
      <c r="AN17" s="301">
        <v>673</v>
      </c>
      <c r="AO17" s="301" t="s">
        <v>75</v>
      </c>
      <c r="AP17" s="301">
        <v>82.4</v>
      </c>
      <c r="AQ17" s="301">
        <v>159</v>
      </c>
      <c r="AR17" s="301">
        <v>19.2</v>
      </c>
      <c r="AS17" s="301">
        <v>70.7</v>
      </c>
      <c r="AT17" s="301">
        <v>11.3</v>
      </c>
      <c r="AU17" s="301">
        <v>2.41</v>
      </c>
      <c r="AV17" s="301">
        <v>7.2</v>
      </c>
      <c r="AW17" s="301">
        <v>0.9</v>
      </c>
      <c r="AX17" s="301">
        <v>4.8</v>
      </c>
      <c r="AY17" s="301">
        <v>0.9</v>
      </c>
      <c r="AZ17" s="301">
        <v>2.5</v>
      </c>
      <c r="BA17" s="301">
        <v>0.34</v>
      </c>
      <c r="BB17" s="301">
        <v>2.2000000000000002</v>
      </c>
      <c r="BC17" s="301">
        <v>0.33</v>
      </c>
      <c r="BD17" s="301">
        <v>4.5999999999999996</v>
      </c>
      <c r="BE17" s="301">
        <v>0.5</v>
      </c>
      <c r="BF17" s="301" t="s">
        <v>68</v>
      </c>
      <c r="BG17" s="301">
        <v>0.3</v>
      </c>
      <c r="BH17" s="301">
        <v>20</v>
      </c>
      <c r="BI17" s="301">
        <v>12.6</v>
      </c>
      <c r="BJ17" s="301">
        <v>1.8</v>
      </c>
      <c r="BK17" s="302">
        <f t="shared" si="1"/>
        <v>71.565762004175355</v>
      </c>
      <c r="BL17" s="296">
        <v>0.19689400521285841</v>
      </c>
      <c r="BM17" s="296">
        <v>0</v>
      </c>
      <c r="BN17" s="296">
        <v>0.19839813205907908</v>
      </c>
      <c r="BO17" s="296">
        <v>1.0442006950477848E-2</v>
      </c>
      <c r="BP17" s="296">
        <v>0</v>
      </c>
      <c r="BQ17" s="296">
        <v>3.4860990443092967E-2</v>
      </c>
      <c r="BR17" s="296">
        <v>0</v>
      </c>
      <c r="BS17" s="296">
        <v>0</v>
      </c>
      <c r="BT17" s="296">
        <v>0</v>
      </c>
      <c r="BU17" s="296">
        <v>0</v>
      </c>
      <c r="BV17" s="296">
        <v>0.14205039096437883</v>
      </c>
      <c r="BW17" s="296">
        <v>0</v>
      </c>
      <c r="BX17" s="296">
        <v>5.9404865334491755E-2</v>
      </c>
      <c r="BY17" s="296">
        <v>0.32428323197219816</v>
      </c>
      <c r="BZ17" s="296">
        <v>0</v>
      </c>
      <c r="CA17" s="296">
        <v>2.9213727193744574E-2</v>
      </c>
      <c r="CB17" s="296">
        <v>0</v>
      </c>
      <c r="CC17" s="296">
        <v>0</v>
      </c>
      <c r="CD17" s="296">
        <v>4.4526498696785405E-3</v>
      </c>
    </row>
    <row r="18" spans="1:82" x14ac:dyDescent="0.2">
      <c r="A18" s="297" t="s">
        <v>175</v>
      </c>
      <c r="C18" s="150">
        <v>800</v>
      </c>
      <c r="D18" s="150">
        <v>900</v>
      </c>
      <c r="E18" s="298">
        <f t="shared" si="0"/>
        <v>850</v>
      </c>
      <c r="F18" s="42">
        <v>53.2</v>
      </c>
      <c r="G18" s="42">
        <v>17.260000000000002</v>
      </c>
      <c r="H18" s="42">
        <v>8.69</v>
      </c>
      <c r="I18" s="42">
        <v>0.14199999999999999</v>
      </c>
      <c r="J18" s="42">
        <v>3.06</v>
      </c>
      <c r="K18" s="42">
        <v>2.5299999999999998</v>
      </c>
      <c r="L18" s="42">
        <v>2.77</v>
      </c>
      <c r="M18" s="42">
        <v>4</v>
      </c>
      <c r="N18" s="42">
        <v>2.2330000000000001</v>
      </c>
      <c r="O18" s="42">
        <v>0.89</v>
      </c>
      <c r="P18" s="42">
        <v>4.21</v>
      </c>
      <c r="Q18" s="42">
        <v>98.98</v>
      </c>
      <c r="R18" s="42">
        <v>10</v>
      </c>
      <c r="S18" s="42">
        <v>5</v>
      </c>
      <c r="T18" s="42">
        <v>173</v>
      </c>
      <c r="U18" s="42" t="s">
        <v>69</v>
      </c>
      <c r="V18" s="42">
        <v>14</v>
      </c>
      <c r="W18" s="42" t="s">
        <v>69</v>
      </c>
      <c r="X18" s="42">
        <v>30</v>
      </c>
      <c r="Y18" s="42">
        <v>140</v>
      </c>
      <c r="Z18" s="42">
        <v>22</v>
      </c>
      <c r="AA18" s="42">
        <v>1</v>
      </c>
      <c r="AB18" s="42" t="s">
        <v>71</v>
      </c>
      <c r="AC18" s="42">
        <v>159</v>
      </c>
      <c r="AD18" s="42">
        <v>1030</v>
      </c>
      <c r="AE18" s="42">
        <v>44</v>
      </c>
      <c r="AF18" s="42">
        <v>451</v>
      </c>
      <c r="AG18" s="42">
        <v>32</v>
      </c>
      <c r="AH18" s="42" t="s">
        <v>72</v>
      </c>
      <c r="AI18" s="42">
        <v>1.5</v>
      </c>
      <c r="AJ18" s="42" t="s">
        <v>73</v>
      </c>
      <c r="AK18" s="42">
        <v>3</v>
      </c>
      <c r="AL18" s="42" t="s">
        <v>74</v>
      </c>
      <c r="AM18" s="42">
        <v>3.3</v>
      </c>
      <c r="AN18" s="42">
        <v>1650</v>
      </c>
      <c r="AO18" s="42" t="s">
        <v>75</v>
      </c>
      <c r="AP18" s="42">
        <v>229</v>
      </c>
      <c r="AQ18" s="42">
        <v>465</v>
      </c>
      <c r="AR18" s="42">
        <v>52.8</v>
      </c>
      <c r="AS18" s="42">
        <v>189</v>
      </c>
      <c r="AT18" s="42">
        <v>27.9</v>
      </c>
      <c r="AU18" s="42">
        <v>5.51</v>
      </c>
      <c r="AV18" s="42">
        <v>15.4</v>
      </c>
      <c r="AW18" s="42">
        <v>1.9</v>
      </c>
      <c r="AX18" s="42">
        <v>9.6999999999999993</v>
      </c>
      <c r="AY18" s="42">
        <v>1.7</v>
      </c>
      <c r="AZ18" s="42">
        <v>4.5</v>
      </c>
      <c r="BA18" s="42">
        <v>0.63</v>
      </c>
      <c r="BB18" s="42">
        <v>3.8</v>
      </c>
      <c r="BC18" s="42">
        <v>0.56999999999999995</v>
      </c>
      <c r="BD18" s="42">
        <v>9.3000000000000007</v>
      </c>
      <c r="BE18" s="42">
        <v>2.2999999999999998</v>
      </c>
      <c r="BF18" s="42" t="s">
        <v>68</v>
      </c>
      <c r="BG18" s="42">
        <v>0.6</v>
      </c>
      <c r="BH18" s="42">
        <v>29</v>
      </c>
      <c r="BI18" s="42">
        <v>30.2</v>
      </c>
      <c r="BJ18" s="42">
        <v>5.3</v>
      </c>
      <c r="BK18" s="39">
        <f t="shared" si="1"/>
        <v>67.36924277907886</v>
      </c>
      <c r="BL18" s="257">
        <v>0.10686612139474819</v>
      </c>
      <c r="BM18" s="257">
        <v>0</v>
      </c>
      <c r="BN18" s="257">
        <v>0.1692046922083513</v>
      </c>
      <c r="BO18" s="257">
        <v>8.9055101162290162E-3</v>
      </c>
      <c r="BP18" s="257">
        <v>0</v>
      </c>
      <c r="BQ18" s="257">
        <v>5.1872578562204057E-2</v>
      </c>
      <c r="BR18" s="257">
        <v>0</v>
      </c>
      <c r="BS18" s="257">
        <v>0</v>
      </c>
      <c r="BT18" s="257">
        <v>0</v>
      </c>
      <c r="BU18" s="257">
        <v>0</v>
      </c>
      <c r="BV18" s="257">
        <v>0.15594059405940597</v>
      </c>
      <c r="BW18" s="257">
        <v>0</v>
      </c>
      <c r="BX18" s="257">
        <v>0.12096427034007751</v>
      </c>
      <c r="BY18" s="257">
        <v>0.34750322858372795</v>
      </c>
      <c r="BZ18" s="257">
        <v>0</v>
      </c>
      <c r="CA18" s="257">
        <v>3.2178217821782186E-2</v>
      </c>
      <c r="CB18" s="257">
        <v>0</v>
      </c>
      <c r="CC18" s="257">
        <v>0</v>
      </c>
      <c r="CD18" s="257">
        <v>6.5647869134739566E-3</v>
      </c>
    </row>
    <row r="19" spans="1:82" ht="16" thickBot="1" x14ac:dyDescent="0.25">
      <c r="A19" s="30" t="s">
        <v>176</v>
      </c>
      <c r="C19" s="154">
        <v>900</v>
      </c>
      <c r="D19" s="154">
        <v>1000</v>
      </c>
      <c r="E19" s="46">
        <f t="shared" si="0"/>
        <v>950</v>
      </c>
      <c r="F19" s="42">
        <v>52.63</v>
      </c>
      <c r="G19" s="42">
        <v>16.98</v>
      </c>
      <c r="H19" s="42">
        <v>8.56</v>
      </c>
      <c r="I19" s="42">
        <v>0.13400000000000001</v>
      </c>
      <c r="J19" s="42">
        <v>3.02</v>
      </c>
      <c r="K19" s="42">
        <v>3.62</v>
      </c>
      <c r="L19" s="42">
        <v>3.22</v>
      </c>
      <c r="M19" s="42">
        <v>4.13</v>
      </c>
      <c r="N19" s="42">
        <v>1.954</v>
      </c>
      <c r="O19" s="42">
        <v>1.26</v>
      </c>
      <c r="P19" s="42">
        <v>3.38</v>
      </c>
      <c r="Q19" s="42">
        <v>98.9</v>
      </c>
      <c r="R19" s="42">
        <v>10</v>
      </c>
      <c r="S19" s="42">
        <v>3</v>
      </c>
      <c r="T19" s="42">
        <v>159</v>
      </c>
      <c r="U19" s="42">
        <v>30</v>
      </c>
      <c r="V19" s="42">
        <v>13</v>
      </c>
      <c r="W19" s="42" t="s">
        <v>69</v>
      </c>
      <c r="X19" s="42">
        <v>40</v>
      </c>
      <c r="Y19" s="42">
        <v>130</v>
      </c>
      <c r="Z19" s="42">
        <v>20</v>
      </c>
      <c r="AA19" s="42">
        <v>1</v>
      </c>
      <c r="AB19" s="42" t="s">
        <v>71</v>
      </c>
      <c r="AC19" s="42">
        <v>141</v>
      </c>
      <c r="AD19" s="42">
        <v>1319</v>
      </c>
      <c r="AE19" s="42">
        <v>39</v>
      </c>
      <c r="AF19" s="42">
        <v>136</v>
      </c>
      <c r="AG19" s="42">
        <v>26</v>
      </c>
      <c r="AH19" s="42">
        <v>2</v>
      </c>
      <c r="AI19" s="42">
        <v>0.5</v>
      </c>
      <c r="AJ19" s="42" t="s">
        <v>73</v>
      </c>
      <c r="AK19" s="42">
        <v>2</v>
      </c>
      <c r="AL19" s="42" t="s">
        <v>74</v>
      </c>
      <c r="AM19" s="42">
        <v>2.6</v>
      </c>
      <c r="AN19" s="42">
        <v>1724</v>
      </c>
      <c r="AO19" s="42" t="s">
        <v>75</v>
      </c>
      <c r="AP19" s="42">
        <v>237</v>
      </c>
      <c r="AQ19" s="42">
        <v>488</v>
      </c>
      <c r="AR19" s="42">
        <v>56.3</v>
      </c>
      <c r="AS19" s="42">
        <v>198</v>
      </c>
      <c r="AT19" s="42">
        <v>28</v>
      </c>
      <c r="AU19" s="42">
        <v>5.64</v>
      </c>
      <c r="AV19" s="42">
        <v>15.2</v>
      </c>
      <c r="AW19" s="42">
        <v>1.8</v>
      </c>
      <c r="AX19" s="42">
        <v>8.6999999999999993</v>
      </c>
      <c r="AY19" s="42">
        <v>1.5</v>
      </c>
      <c r="AZ19" s="42">
        <v>4</v>
      </c>
      <c r="BA19" s="42">
        <v>0.53</v>
      </c>
      <c r="BB19" s="42">
        <v>3</v>
      </c>
      <c r="BC19" s="42">
        <v>0.44</v>
      </c>
      <c r="BD19" s="42">
        <v>3.7</v>
      </c>
      <c r="BE19" s="42">
        <v>1.6</v>
      </c>
      <c r="BF19" s="42">
        <v>2</v>
      </c>
      <c r="BG19" s="42">
        <v>0.5</v>
      </c>
      <c r="BH19" s="42">
        <v>26</v>
      </c>
      <c r="BI19" s="42">
        <v>26.3</v>
      </c>
      <c r="BJ19" s="42">
        <v>3.6</v>
      </c>
      <c r="BK19" s="39">
        <f t="shared" si="1"/>
        <v>63.263785394932938</v>
      </c>
      <c r="BL19" s="257">
        <v>8.1828991460382666E-2</v>
      </c>
      <c r="BM19" s="257">
        <v>0</v>
      </c>
      <c r="BN19" s="257">
        <v>0.23803913090476705</v>
      </c>
      <c r="BO19" s="257">
        <v>1.2528375310777214E-2</v>
      </c>
      <c r="BP19" s="257">
        <v>0</v>
      </c>
      <c r="BQ19" s="257">
        <v>4.1941411739271434E-2</v>
      </c>
      <c r="BR19" s="257">
        <v>0</v>
      </c>
      <c r="BS19" s="257">
        <v>0</v>
      </c>
      <c r="BT19" s="257">
        <v>0</v>
      </c>
      <c r="BU19" s="257">
        <v>0</v>
      </c>
      <c r="BV19" s="257">
        <v>0.15555075127013299</v>
      </c>
      <c r="BW19" s="257">
        <v>0</v>
      </c>
      <c r="BX19" s="257">
        <v>0.16160415090260513</v>
      </c>
      <c r="BY19" s="257">
        <v>0.26991676575505352</v>
      </c>
      <c r="BZ19" s="257">
        <v>0</v>
      </c>
      <c r="CA19" s="257">
        <v>3.210463733650417E-2</v>
      </c>
      <c r="CB19" s="257">
        <v>0</v>
      </c>
      <c r="CC19" s="257">
        <v>0</v>
      </c>
      <c r="CD19" s="257">
        <v>6.4857853205058918E-3</v>
      </c>
    </row>
    <row r="20" spans="1:82" x14ac:dyDescent="0.2">
      <c r="A20" s="44" t="s">
        <v>454</v>
      </c>
      <c r="B20" s="47" t="s">
        <v>470</v>
      </c>
      <c r="C20" s="47"/>
      <c r="D20" s="47"/>
      <c r="E20" s="47">
        <v>1500</v>
      </c>
      <c r="F20" s="42">
        <v>76.819999999999993</v>
      </c>
      <c r="G20" s="42">
        <v>13.74</v>
      </c>
      <c r="H20" s="42">
        <v>1.01</v>
      </c>
      <c r="I20" s="42">
        <v>1.6E-2</v>
      </c>
      <c r="J20" s="42">
        <v>0.09</v>
      </c>
      <c r="K20" s="42">
        <v>3.37</v>
      </c>
      <c r="L20" s="42">
        <v>3.91</v>
      </c>
      <c r="M20" s="42">
        <v>0.92</v>
      </c>
      <c r="N20" s="42">
        <v>2.7E-2</v>
      </c>
      <c r="O20" s="42" t="s">
        <v>94</v>
      </c>
      <c r="P20" s="42">
        <v>0.89</v>
      </c>
      <c r="Q20" s="42">
        <v>100.8</v>
      </c>
      <c r="R20" s="42" t="s">
        <v>68</v>
      </c>
      <c r="S20" s="42">
        <v>1</v>
      </c>
      <c r="T20" s="42">
        <v>7</v>
      </c>
      <c r="U20" s="42" t="s">
        <v>69</v>
      </c>
      <c r="V20" s="42">
        <v>3</v>
      </c>
      <c r="W20" s="42" t="s">
        <v>69</v>
      </c>
      <c r="X20" s="42">
        <v>60</v>
      </c>
      <c r="Y20" s="42" t="s">
        <v>70</v>
      </c>
      <c r="Z20" s="42">
        <v>11</v>
      </c>
      <c r="AA20" s="42" t="s">
        <v>68</v>
      </c>
      <c r="AB20" s="42" t="s">
        <v>71</v>
      </c>
      <c r="AC20" s="42">
        <v>25</v>
      </c>
      <c r="AD20" s="42">
        <v>431</v>
      </c>
      <c r="AE20" s="42">
        <v>2</v>
      </c>
      <c r="AF20" s="42">
        <v>59</v>
      </c>
      <c r="AG20" s="42" t="s">
        <v>68</v>
      </c>
      <c r="AH20" s="42" t="s">
        <v>72</v>
      </c>
      <c r="AI20" s="42" t="s">
        <v>74</v>
      </c>
      <c r="AJ20" s="42" t="s">
        <v>73</v>
      </c>
      <c r="AK20" s="42" t="s">
        <v>68</v>
      </c>
      <c r="AL20" s="42" t="s">
        <v>74</v>
      </c>
      <c r="AM20" s="42" t="s">
        <v>74</v>
      </c>
      <c r="AN20" s="42">
        <v>113</v>
      </c>
      <c r="AO20" s="42" t="s">
        <v>75</v>
      </c>
      <c r="AP20" s="42">
        <v>2.5</v>
      </c>
      <c r="AQ20" s="42">
        <v>4.0999999999999996</v>
      </c>
      <c r="AR20" s="42">
        <v>0.4</v>
      </c>
      <c r="AS20" s="42">
        <v>1.4</v>
      </c>
      <c r="AT20" s="42">
        <v>0.2</v>
      </c>
      <c r="AU20" s="42">
        <v>0.37</v>
      </c>
      <c r="AV20" s="42">
        <v>0.2</v>
      </c>
      <c r="AW20" s="42">
        <v>0</v>
      </c>
      <c r="AX20" s="42">
        <v>0.2</v>
      </c>
      <c r="AY20" s="42">
        <v>0</v>
      </c>
      <c r="AZ20" s="42">
        <v>0.1</v>
      </c>
      <c r="BA20" s="42">
        <v>0</v>
      </c>
      <c r="BB20" s="42">
        <v>0.3</v>
      </c>
      <c r="BC20" s="42">
        <v>0.05</v>
      </c>
      <c r="BD20" s="42">
        <v>2</v>
      </c>
      <c r="BE20" s="42" t="s">
        <v>79</v>
      </c>
      <c r="BF20" s="42" t="s">
        <v>68</v>
      </c>
      <c r="BG20" s="42">
        <v>0.1</v>
      </c>
      <c r="BH20" s="42">
        <v>6</v>
      </c>
      <c r="BI20" s="42">
        <v>0.7</v>
      </c>
      <c r="BJ20" s="42">
        <v>0.3</v>
      </c>
      <c r="BK20" s="39">
        <f t="shared" si="1"/>
        <v>65.087636191378493</v>
      </c>
    </row>
    <row r="21" spans="1:82" x14ac:dyDescent="0.2">
      <c r="A21" s="44" t="s">
        <v>455</v>
      </c>
      <c r="B21" s="47" t="s">
        <v>470</v>
      </c>
      <c r="C21" s="47"/>
      <c r="D21" s="47"/>
      <c r="E21" s="47">
        <v>1500</v>
      </c>
      <c r="F21" s="42">
        <v>69.12</v>
      </c>
      <c r="G21" s="42">
        <v>15.87</v>
      </c>
      <c r="H21" s="42">
        <v>2.4500000000000002</v>
      </c>
      <c r="I21" s="42">
        <v>6.2E-2</v>
      </c>
      <c r="J21" s="42">
        <v>1.1100000000000001</v>
      </c>
      <c r="K21" s="42">
        <v>2.27</v>
      </c>
      <c r="L21" s="42">
        <v>4.8</v>
      </c>
      <c r="M21" s="42">
        <v>3.17</v>
      </c>
      <c r="N21" s="42">
        <v>0.25700000000000001</v>
      </c>
      <c r="O21" s="42">
        <v>0.06</v>
      </c>
      <c r="P21" s="42">
        <v>0.37</v>
      </c>
      <c r="Q21" s="42">
        <v>99.53</v>
      </c>
      <c r="R21" s="42">
        <v>4</v>
      </c>
      <c r="S21" s="42">
        <v>2</v>
      </c>
      <c r="T21" s="42">
        <v>25</v>
      </c>
      <c r="U21" s="42">
        <v>190</v>
      </c>
      <c r="V21" s="42">
        <v>4</v>
      </c>
      <c r="W21" s="42">
        <v>40</v>
      </c>
      <c r="X21" s="42">
        <v>30</v>
      </c>
      <c r="Y21" s="42">
        <v>50</v>
      </c>
      <c r="Z21" s="42">
        <v>16</v>
      </c>
      <c r="AA21" s="42">
        <v>1</v>
      </c>
      <c r="AB21" s="42" t="s">
        <v>71</v>
      </c>
      <c r="AC21" s="42">
        <v>95</v>
      </c>
      <c r="AD21" s="42">
        <v>452</v>
      </c>
      <c r="AE21" s="42">
        <v>14</v>
      </c>
      <c r="AF21" s="42">
        <v>157</v>
      </c>
      <c r="AG21" s="42">
        <v>4</v>
      </c>
      <c r="AH21" s="42">
        <v>4</v>
      </c>
      <c r="AI21" s="42" t="s">
        <v>74</v>
      </c>
      <c r="AJ21" s="42" t="s">
        <v>73</v>
      </c>
      <c r="AK21" s="42">
        <v>1</v>
      </c>
      <c r="AL21" s="42" t="s">
        <v>74</v>
      </c>
      <c r="AM21" s="42">
        <v>1.8</v>
      </c>
      <c r="AN21" s="42">
        <v>667</v>
      </c>
      <c r="AO21" s="42" t="s">
        <v>75</v>
      </c>
      <c r="AP21" s="42">
        <v>15.6</v>
      </c>
      <c r="AQ21" s="42">
        <v>32.700000000000003</v>
      </c>
      <c r="AR21" s="42">
        <v>3.6</v>
      </c>
      <c r="AS21" s="42">
        <v>13.5</v>
      </c>
      <c r="AT21" s="42">
        <v>2.5</v>
      </c>
      <c r="AU21" s="42">
        <v>0.63</v>
      </c>
      <c r="AV21" s="42">
        <v>2.2999999999999998</v>
      </c>
      <c r="AW21" s="42">
        <v>0.4</v>
      </c>
      <c r="AX21" s="42">
        <v>2.4</v>
      </c>
      <c r="AY21" s="42">
        <v>0.5</v>
      </c>
      <c r="AZ21" s="42">
        <v>1.6</v>
      </c>
      <c r="BA21" s="42">
        <v>0.28000000000000003</v>
      </c>
      <c r="BB21" s="42">
        <v>2</v>
      </c>
      <c r="BC21" s="42">
        <v>0.33</v>
      </c>
      <c r="BD21" s="42">
        <v>4.7</v>
      </c>
      <c r="BE21" s="42">
        <v>0.6</v>
      </c>
      <c r="BF21" s="42" t="s">
        <v>68</v>
      </c>
      <c r="BG21" s="42">
        <v>0.3</v>
      </c>
      <c r="BH21" s="42">
        <v>15</v>
      </c>
      <c r="BI21" s="42">
        <v>5.9</v>
      </c>
      <c r="BJ21" s="42">
        <v>1.6</v>
      </c>
      <c r="BK21" s="39">
        <f t="shared" si="1"/>
        <v>65.987525987525984</v>
      </c>
    </row>
    <row r="22" spans="1:82" x14ac:dyDescent="0.2">
      <c r="A22" s="7" t="s">
        <v>496</v>
      </c>
    </row>
    <row r="23" spans="1:82" x14ac:dyDescent="0.2">
      <c r="AE23" s="260" t="s">
        <v>660</v>
      </c>
      <c r="AG23" s="260" t="s">
        <v>661</v>
      </c>
      <c r="AM23" s="260" t="s">
        <v>657</v>
      </c>
      <c r="AP23" t="str">
        <f>AP3</f>
        <v>La</v>
      </c>
      <c r="AQ23" t="str">
        <f t="shared" ref="AQ23:BC23" si="2">AQ3</f>
        <v>Ce</v>
      </c>
      <c r="AR23" t="str">
        <f t="shared" si="2"/>
        <v>Pr</v>
      </c>
      <c r="AS23" t="str">
        <f t="shared" si="2"/>
        <v>Nd</v>
      </c>
      <c r="AT23" t="str">
        <f t="shared" si="2"/>
        <v>Sm</v>
      </c>
      <c r="AU23" t="str">
        <f t="shared" si="2"/>
        <v>Eu</v>
      </c>
      <c r="AV23" t="str">
        <f t="shared" si="2"/>
        <v>Gd</v>
      </c>
      <c r="AW23" t="str">
        <f t="shared" si="2"/>
        <v>Tb</v>
      </c>
      <c r="AX23" t="str">
        <f t="shared" si="2"/>
        <v>Dy</v>
      </c>
      <c r="AY23" t="str">
        <f t="shared" si="2"/>
        <v>Ho</v>
      </c>
      <c r="AZ23" t="str">
        <f t="shared" si="2"/>
        <v>Er</v>
      </c>
      <c r="BA23" t="str">
        <f t="shared" si="2"/>
        <v>Tm</v>
      </c>
      <c r="BB23" t="str">
        <f t="shared" si="2"/>
        <v>Yb</v>
      </c>
      <c r="BC23" t="str">
        <f t="shared" si="2"/>
        <v>Lu</v>
      </c>
    </row>
    <row r="24" spans="1:82" x14ac:dyDescent="0.2">
      <c r="AE24" s="352">
        <v>1.56</v>
      </c>
      <c r="AG24" s="351">
        <v>5.5599999999999997E-2</v>
      </c>
      <c r="AO24" s="11" t="s">
        <v>440</v>
      </c>
      <c r="AP24" s="12">
        <v>0.36699999999999999</v>
      </c>
      <c r="AQ24" s="12">
        <v>0.95699999999999996</v>
      </c>
      <c r="AR24" s="12">
        <v>0.13700000000000001</v>
      </c>
      <c r="AS24" s="12">
        <v>0.71099999999999997</v>
      </c>
      <c r="AT24" s="12">
        <v>0.23100000000000001</v>
      </c>
      <c r="AU24" s="12">
        <v>8.6999999999999994E-2</v>
      </c>
      <c r="AV24" s="12">
        <v>0.30599999999999999</v>
      </c>
      <c r="AW24" s="12">
        <v>5.8000000000000003E-2</v>
      </c>
      <c r="AX24" s="12">
        <v>0.38100000000000001</v>
      </c>
      <c r="AY24" s="12">
        <v>8.5000000000000006E-2</v>
      </c>
      <c r="AZ24" s="12">
        <v>0.249</v>
      </c>
      <c r="BA24" s="12">
        <v>3.5999999999999997E-2</v>
      </c>
      <c r="BB24" s="12">
        <v>0.248</v>
      </c>
      <c r="BC24" s="12">
        <v>3.7999999999999999E-2</v>
      </c>
      <c r="BD24" s="16" t="s">
        <v>441</v>
      </c>
      <c r="BE24" t="s">
        <v>625</v>
      </c>
      <c r="BF24" t="s">
        <v>626</v>
      </c>
      <c r="BH24" s="260" t="s">
        <v>648</v>
      </c>
    </row>
    <row r="25" spans="1:82" x14ac:dyDescent="0.2">
      <c r="B25" s="25"/>
      <c r="C25" s="25"/>
      <c r="D25" s="25"/>
      <c r="E25" s="25"/>
      <c r="AE25" s="257"/>
      <c r="AO25" s="13" t="str">
        <f t="shared" ref="AO25:AO31" si="3">E6</f>
        <v>Average (cm)</v>
      </c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6"/>
      <c r="BE25" s="38"/>
      <c r="BR25" s="260" t="s">
        <v>609</v>
      </c>
    </row>
    <row r="26" spans="1:82" x14ac:dyDescent="0.2">
      <c r="B26" s="25"/>
      <c r="C26" s="25"/>
      <c r="D26" s="25"/>
      <c r="E26" s="25"/>
      <c r="AE26" s="90">
        <f t="shared" ref="AE26" si="4">AE7/AE$24</f>
        <v>7.0512820512820511</v>
      </c>
      <c r="AG26">
        <f>AY7/AG$24</f>
        <v>7.1942446043165473</v>
      </c>
      <c r="AM26">
        <f t="shared" ref="AM26:AM38" si="5">AE26/AG26</f>
        <v>0.98012820512820498</v>
      </c>
      <c r="AO26" s="310">
        <f t="shared" si="3"/>
        <v>7.5</v>
      </c>
      <c r="AP26" s="90">
        <f t="shared" ref="AP26:BC26" si="6">AP7/AP$24</f>
        <v>74.931880108991834</v>
      </c>
      <c r="AQ26" s="90">
        <f t="shared" si="6"/>
        <v>57.262277951933122</v>
      </c>
      <c r="AR26" s="90">
        <f t="shared" si="6"/>
        <v>40.510948905109487</v>
      </c>
      <c r="AS26" s="90">
        <f t="shared" si="6"/>
        <v>25.879043600562586</v>
      </c>
      <c r="AT26" s="90">
        <f t="shared" si="6"/>
        <v>13.852813852813853</v>
      </c>
      <c r="AU26" s="90">
        <f t="shared" si="6"/>
        <v>8.9655172413793114</v>
      </c>
      <c r="AV26" s="90">
        <f t="shared" si="6"/>
        <v>8.4967320261437909</v>
      </c>
      <c r="AW26" s="90">
        <f t="shared" si="6"/>
        <v>6.8965517241379315</v>
      </c>
      <c r="AX26" s="90">
        <f t="shared" si="6"/>
        <v>5.7742782152230978</v>
      </c>
      <c r="AY26" s="90">
        <f t="shared" si="6"/>
        <v>4.7058823529411766</v>
      </c>
      <c r="AZ26" s="90">
        <f t="shared" si="6"/>
        <v>5.6224899598393572</v>
      </c>
      <c r="BA26" s="90">
        <f t="shared" si="6"/>
        <v>6.1111111111111116</v>
      </c>
      <c r="BB26" s="90">
        <f t="shared" si="6"/>
        <v>6.4516129032258069</v>
      </c>
      <c r="BC26" s="90">
        <f t="shared" si="6"/>
        <v>7.8947368421052628</v>
      </c>
      <c r="BD26" s="91">
        <f>SUM(AP7:BC7)</f>
        <v>119.35000000000001</v>
      </c>
      <c r="BE26" s="90">
        <f>AQ7/(AQ7+AP7)</f>
        <v>0.66585662211421626</v>
      </c>
      <c r="BF26">
        <f>G7+H7+P7</f>
        <v>25.9</v>
      </c>
      <c r="BH26" s="333">
        <f>3*AQ26/(2*AP26+AS26)</f>
        <v>0.97749000313645029</v>
      </c>
    </row>
    <row r="27" spans="1:82" x14ac:dyDescent="0.2">
      <c r="B27" s="25"/>
      <c r="C27" s="25"/>
      <c r="D27" s="25"/>
      <c r="E27" s="25"/>
      <c r="AE27" s="90">
        <f t="shared" ref="AE27" si="7">AE8/AE$24</f>
        <v>3.2051282051282048</v>
      </c>
      <c r="AG27">
        <f t="shared" ref="AG27:AG38" si="8">AY8/AG$24</f>
        <v>5.3956834532374103</v>
      </c>
      <c r="AM27">
        <f t="shared" si="5"/>
        <v>0.59401709401709391</v>
      </c>
      <c r="AO27" s="310">
        <f t="shared" si="3"/>
        <v>20.5</v>
      </c>
      <c r="AP27" s="90">
        <f t="shared" ref="AP27:BC27" si="9">AP8/AP$24</f>
        <v>53.950953678474114</v>
      </c>
      <c r="AQ27" s="90">
        <f t="shared" si="9"/>
        <v>34.900731452455588</v>
      </c>
      <c r="AR27" s="90">
        <f t="shared" si="9"/>
        <v>26.642335766423354</v>
      </c>
      <c r="AS27" s="90">
        <f t="shared" si="9"/>
        <v>18.284106891701828</v>
      </c>
      <c r="AT27" s="90">
        <f t="shared" si="9"/>
        <v>9.0909090909090917</v>
      </c>
      <c r="AU27" s="90">
        <f t="shared" si="9"/>
        <v>6.3218390804597711</v>
      </c>
      <c r="AV27" s="90">
        <f t="shared" si="9"/>
        <v>4.9019607843137258</v>
      </c>
      <c r="AW27" s="90">
        <f t="shared" si="9"/>
        <v>3.4482758620689657</v>
      </c>
      <c r="AX27" s="90">
        <f t="shared" si="9"/>
        <v>3.4120734908136483</v>
      </c>
      <c r="AY27" s="90">
        <f t="shared" si="9"/>
        <v>3.5294117647058818</v>
      </c>
      <c r="AZ27" s="90">
        <f t="shared" si="9"/>
        <v>2.8112449799196786</v>
      </c>
      <c r="BA27" s="90">
        <f t="shared" si="9"/>
        <v>3.3333333333333335</v>
      </c>
      <c r="BB27" s="90">
        <f t="shared" si="9"/>
        <v>3.2258064516129035</v>
      </c>
      <c r="BC27" s="90">
        <f t="shared" si="9"/>
        <v>3.4210526315789478</v>
      </c>
      <c r="BD27" s="91">
        <f t="shared" ref="BD27:BD31" si="10">SUM(AP8:BC8)</f>
        <v>77.549999999999983</v>
      </c>
      <c r="BE27" s="90">
        <f t="shared" ref="BE27:BE38" si="11">AQ8/(AQ8+AP8)</f>
        <v>0.62781954887218039</v>
      </c>
      <c r="BF27">
        <f t="shared" ref="BF27:BF38" si="12">G8+H8+P8</f>
        <v>43.8</v>
      </c>
      <c r="BH27" s="333">
        <f t="shared" ref="BH27:BH38" si="13">3*AQ27/(2*AP27+AS27)</f>
        <v>0.82974484122345493</v>
      </c>
    </row>
    <row r="28" spans="1:82" x14ac:dyDescent="0.2">
      <c r="B28" s="25"/>
      <c r="C28" s="25"/>
      <c r="D28" s="25"/>
      <c r="E28" s="25"/>
      <c r="AE28" s="90">
        <f t="shared" ref="AE28" si="14">AE9/AE$24</f>
        <v>3.8461538461538458</v>
      </c>
      <c r="AG28">
        <f t="shared" si="8"/>
        <v>3.5971223021582737</v>
      </c>
      <c r="AM28">
        <f t="shared" si="5"/>
        <v>1.069230769230769</v>
      </c>
      <c r="AO28" s="310">
        <f t="shared" si="3"/>
        <v>51.5</v>
      </c>
      <c r="AP28" s="90">
        <f t="shared" ref="AP28:BC28" si="15">AP9/AP$24</f>
        <v>50.95367847411444</v>
      </c>
      <c r="AQ28" s="90">
        <f t="shared" si="15"/>
        <v>42.52873563218391</v>
      </c>
      <c r="AR28" s="90">
        <f t="shared" si="15"/>
        <v>29.197080291970799</v>
      </c>
      <c r="AS28" s="90">
        <f t="shared" si="15"/>
        <v>20.815752461322084</v>
      </c>
      <c r="AT28" s="90">
        <f t="shared" si="15"/>
        <v>9.9567099567099557</v>
      </c>
      <c r="AU28" s="90">
        <f t="shared" si="15"/>
        <v>6.7816091954022992</v>
      </c>
      <c r="AV28" s="90">
        <f t="shared" si="15"/>
        <v>4.2483660130718954</v>
      </c>
      <c r="AW28" s="90">
        <f t="shared" si="15"/>
        <v>3.4482758620689657</v>
      </c>
      <c r="AX28" s="90">
        <f t="shared" si="15"/>
        <v>3.1496062992125982</v>
      </c>
      <c r="AY28" s="90">
        <f t="shared" si="15"/>
        <v>2.3529411764705883</v>
      </c>
      <c r="AZ28" s="90">
        <f t="shared" si="15"/>
        <v>2.4096385542168672</v>
      </c>
      <c r="BA28" s="90">
        <f t="shared" si="15"/>
        <v>3.0555555555555558</v>
      </c>
      <c r="BB28" s="90">
        <f t="shared" si="15"/>
        <v>3.2258064516129035</v>
      </c>
      <c r="BC28" s="90">
        <f t="shared" si="15"/>
        <v>3.6842105263157898</v>
      </c>
      <c r="BD28" s="91">
        <f t="shared" si="10"/>
        <v>85.64</v>
      </c>
      <c r="BE28" s="90">
        <f t="shared" si="11"/>
        <v>0.68518518518518512</v>
      </c>
      <c r="BF28">
        <f t="shared" si="12"/>
        <v>44.129999999999995</v>
      </c>
      <c r="BH28" s="333">
        <f t="shared" si="13"/>
        <v>1.0396265830486062</v>
      </c>
    </row>
    <row r="29" spans="1:82" x14ac:dyDescent="0.2">
      <c r="B29" s="25"/>
      <c r="C29" s="25"/>
      <c r="D29" s="25"/>
      <c r="E29" s="25"/>
      <c r="AE29" s="90">
        <f t="shared" ref="AE29" si="16">AE10/AE$24</f>
        <v>4.4871794871794872</v>
      </c>
      <c r="AG29">
        <f t="shared" si="8"/>
        <v>5.3956834532374103</v>
      </c>
      <c r="AM29">
        <f t="shared" si="5"/>
        <v>0.83162393162393156</v>
      </c>
      <c r="AO29" s="310">
        <f t="shared" si="3"/>
        <v>103</v>
      </c>
      <c r="AP29" s="90">
        <f t="shared" ref="AP29:BC29" si="17">AP10/AP$24</f>
        <v>87.738419618528624</v>
      </c>
      <c r="AQ29" s="90">
        <f t="shared" si="17"/>
        <v>77.220480668756537</v>
      </c>
      <c r="AR29" s="90">
        <f t="shared" si="17"/>
        <v>57.737226277372258</v>
      </c>
      <c r="AS29" s="90">
        <f t="shared" si="17"/>
        <v>42.053445850914208</v>
      </c>
      <c r="AT29" s="90">
        <f t="shared" si="17"/>
        <v>19.480519480519479</v>
      </c>
      <c r="AU29" s="90">
        <f t="shared" si="17"/>
        <v>11.494252873563219</v>
      </c>
      <c r="AV29" s="90">
        <f t="shared" si="17"/>
        <v>9.1503267973856204</v>
      </c>
      <c r="AW29" s="90">
        <f t="shared" si="17"/>
        <v>5.1724137931034475</v>
      </c>
      <c r="AX29" s="90">
        <f t="shared" si="17"/>
        <v>4.7244094488188981</v>
      </c>
      <c r="AY29" s="90">
        <f t="shared" si="17"/>
        <v>3.5294117647058818</v>
      </c>
      <c r="AZ29" s="90">
        <f t="shared" si="17"/>
        <v>4.0160642570281126</v>
      </c>
      <c r="BA29" s="90">
        <f t="shared" si="17"/>
        <v>4.166666666666667</v>
      </c>
      <c r="BB29" s="90">
        <f t="shared" si="17"/>
        <v>4.435483870967742</v>
      </c>
      <c r="BC29" s="90">
        <f t="shared" si="17"/>
        <v>4.7368421052631575</v>
      </c>
      <c r="BD29" s="91">
        <f t="shared" si="10"/>
        <v>157.04000000000005</v>
      </c>
      <c r="BE29" s="90">
        <f t="shared" si="11"/>
        <v>0.69651272384542884</v>
      </c>
      <c r="BF29">
        <f t="shared" si="12"/>
        <v>41.989999999999995</v>
      </c>
      <c r="BH29" s="333">
        <f t="shared" si="13"/>
        <v>1.0649617910103109</v>
      </c>
    </row>
    <row r="30" spans="1:82" ht="17" x14ac:dyDescent="0.25">
      <c r="B30" t="s">
        <v>466</v>
      </c>
      <c r="C30" t="s">
        <v>467</v>
      </c>
      <c r="D30" t="s">
        <v>468</v>
      </c>
      <c r="E30" t="s">
        <v>494</v>
      </c>
      <c r="F30" s="260" t="s">
        <v>622</v>
      </c>
      <c r="G30" s="260" t="s">
        <v>623</v>
      </c>
      <c r="H30" s="260" t="s">
        <v>5</v>
      </c>
      <c r="I30" s="293" t="s">
        <v>620</v>
      </c>
      <c r="J30" s="260" t="s">
        <v>7</v>
      </c>
      <c r="K30" s="260" t="s">
        <v>8</v>
      </c>
      <c r="L30" s="260" t="s">
        <v>9</v>
      </c>
      <c r="M30" s="260" t="s">
        <v>10</v>
      </c>
      <c r="N30" s="260" t="s">
        <v>11</v>
      </c>
      <c r="O30" s="293" t="s">
        <v>621</v>
      </c>
      <c r="P30" s="260" t="s">
        <v>624</v>
      </c>
      <c r="AE30" s="90">
        <f t="shared" ref="AE30" si="18">AE11/AE$24</f>
        <v>5.1282051282051277</v>
      </c>
      <c r="AG30">
        <f t="shared" si="8"/>
        <v>7.1942446043165473</v>
      </c>
      <c r="AM30">
        <f t="shared" si="5"/>
        <v>0.71282051282051273</v>
      </c>
      <c r="AO30" s="310">
        <f t="shared" si="3"/>
        <v>157.5</v>
      </c>
      <c r="AP30" s="90">
        <f t="shared" ref="AP30:BC30" si="19">AP11/AP$24</f>
        <v>94.822888283378745</v>
      </c>
      <c r="AQ30" s="90">
        <f t="shared" si="19"/>
        <v>119.12225705329153</v>
      </c>
      <c r="AR30" s="90">
        <f t="shared" si="19"/>
        <v>61.970802919708028</v>
      </c>
      <c r="AS30" s="90">
        <f t="shared" si="19"/>
        <v>44.44444444444445</v>
      </c>
      <c r="AT30" s="90">
        <f t="shared" si="19"/>
        <v>22.510822510822511</v>
      </c>
      <c r="AU30" s="90">
        <f t="shared" si="19"/>
        <v>15.747126436781612</v>
      </c>
      <c r="AV30" s="90">
        <f t="shared" si="19"/>
        <v>10.457516339869281</v>
      </c>
      <c r="AW30" s="90">
        <f t="shared" si="19"/>
        <v>6.8965517241379315</v>
      </c>
      <c r="AX30" s="90">
        <f t="shared" si="19"/>
        <v>5.5118110236220472</v>
      </c>
      <c r="AY30" s="90">
        <f t="shared" si="19"/>
        <v>4.7058823529411766</v>
      </c>
      <c r="AZ30" s="90">
        <f t="shared" si="19"/>
        <v>4.4176706827309244</v>
      </c>
      <c r="BA30" s="90">
        <f t="shared" si="19"/>
        <v>4.4444444444444446</v>
      </c>
      <c r="BB30" s="90">
        <f t="shared" si="19"/>
        <v>4.032258064516129</v>
      </c>
      <c r="BC30" s="90">
        <f t="shared" si="19"/>
        <v>4.2105263157894735</v>
      </c>
      <c r="BD30" s="91">
        <f t="shared" si="10"/>
        <v>203.98</v>
      </c>
      <c r="BE30" s="90">
        <f t="shared" si="11"/>
        <v>0.7661290322580645</v>
      </c>
      <c r="BF30">
        <f t="shared" si="12"/>
        <v>36.32</v>
      </c>
      <c r="BH30" s="333">
        <f t="shared" si="13"/>
        <v>1.5266198204100694</v>
      </c>
    </row>
    <row r="31" spans="1:82" ht="16" thickBot="1" x14ac:dyDescent="0.25">
      <c r="A31" t="str">
        <f>A7</f>
        <v>R8H1EA01</v>
      </c>
      <c r="B31" s="25">
        <f>100*G7/(G7+K7+L7)</f>
        <v>92.224475997295471</v>
      </c>
      <c r="C31" s="25">
        <f>100*G7/(G7+K7+M7+L7)</f>
        <v>81.093935790725325</v>
      </c>
      <c r="D31" s="25">
        <f>100*((2*L7/0.35)+(J7/0.9)+(2*M7/0.25)+(K7/0.7))</f>
        <v>2235.4285714285716</v>
      </c>
      <c r="E31" s="25">
        <f>100*C31/B31</f>
        <v>87.931034482758619</v>
      </c>
      <c r="F31" s="296">
        <f t="shared" ref="F31:P40" si="20">((F7/F$17)*($N$17/$N7))-1</f>
        <v>8.0911962209463173E-2</v>
      </c>
      <c r="G31" s="296">
        <f t="shared" si="20"/>
        <v>-0.21106103890878358</v>
      </c>
      <c r="H31" s="296">
        <f t="shared" si="20"/>
        <v>-0.20055439451991175</v>
      </c>
      <c r="I31" s="296">
        <f t="shared" si="20"/>
        <v>-0.32168784029038111</v>
      </c>
      <c r="J31" s="296">
        <f t="shared" si="20"/>
        <v>-0.51508620689655171</v>
      </c>
      <c r="K31" s="296">
        <f t="shared" si="20"/>
        <v>-0.82165663200145955</v>
      </c>
      <c r="L31" s="296">
        <f t="shared" si="20"/>
        <v>-0.7392801164352889</v>
      </c>
      <c r="M31" s="296">
        <f t="shared" si="20"/>
        <v>-3.7081339712918715E-2</v>
      </c>
      <c r="N31" s="296">
        <f t="shared" si="20"/>
        <v>0</v>
      </c>
      <c r="O31" s="296">
        <f t="shared" si="20"/>
        <v>0.23922413793103448</v>
      </c>
      <c r="P31" s="296">
        <f t="shared" si="20"/>
        <v>0.92353336318853563</v>
      </c>
      <c r="AE31" s="90">
        <f t="shared" ref="AE31" si="21">AE12/AE$24</f>
        <v>11.538461538461538</v>
      </c>
      <c r="AG31">
        <f t="shared" si="8"/>
        <v>14.388489208633095</v>
      </c>
      <c r="AM31">
        <f t="shared" si="5"/>
        <v>0.80192307692307685</v>
      </c>
      <c r="AO31" s="310">
        <f t="shared" si="3"/>
        <v>230.5</v>
      </c>
      <c r="AP31" s="90">
        <f t="shared" ref="AP31:BC31" si="22">AP12/AP$24</f>
        <v>249.31880108991825</v>
      </c>
      <c r="AQ31" s="90">
        <f t="shared" si="22"/>
        <v>175.5485893416928</v>
      </c>
      <c r="AR31" s="90">
        <f t="shared" si="22"/>
        <v>153.28467153284672</v>
      </c>
      <c r="AS31" s="90">
        <f t="shared" si="22"/>
        <v>106.32911392405063</v>
      </c>
      <c r="AT31" s="90">
        <f t="shared" si="22"/>
        <v>51.082251082251084</v>
      </c>
      <c r="AU31" s="90">
        <f t="shared" si="22"/>
        <v>31.954022988505749</v>
      </c>
      <c r="AV31" s="90">
        <f t="shared" si="22"/>
        <v>23.529411764705884</v>
      </c>
      <c r="AW31" s="90">
        <f t="shared" si="22"/>
        <v>15.517241379310345</v>
      </c>
      <c r="AX31" s="90">
        <f t="shared" si="22"/>
        <v>11.548556430446196</v>
      </c>
      <c r="AY31" s="90">
        <f t="shared" si="22"/>
        <v>9.4117647058823533</v>
      </c>
      <c r="AZ31" s="90">
        <f t="shared" si="22"/>
        <v>9.236947791164658</v>
      </c>
      <c r="BA31" s="90">
        <f t="shared" si="22"/>
        <v>9.1666666666666679</v>
      </c>
      <c r="BB31" s="90">
        <f t="shared" si="22"/>
        <v>9.67741935483871</v>
      </c>
      <c r="BC31" s="90">
        <f t="shared" si="22"/>
        <v>9.7368421052631575</v>
      </c>
      <c r="BD31" s="91">
        <f t="shared" si="10"/>
        <v>389.37999999999994</v>
      </c>
      <c r="BE31" s="90">
        <f t="shared" si="11"/>
        <v>0.64739884393063585</v>
      </c>
      <c r="BF31">
        <f t="shared" si="12"/>
        <v>36.339999999999996</v>
      </c>
      <c r="BH31" s="333">
        <f t="shared" si="13"/>
        <v>0.87053676509145472</v>
      </c>
    </row>
    <row r="32" spans="1:82" ht="16" thickBot="1" x14ac:dyDescent="0.25">
      <c r="A32" t="str">
        <f t="shared" ref="A32:A45" si="23">A8</f>
        <v>R8H1EA02</v>
      </c>
      <c r="B32" s="25">
        <f t="shared" ref="B32:B45" si="24">100*G8/(G8+K8+L8)</f>
        <v>97.921862011637572</v>
      </c>
      <c r="C32" s="25">
        <f t="shared" ref="C32:C45" si="25">100*G8/(G8+K8+M8+L8)</f>
        <v>92.464678178963894</v>
      </c>
      <c r="D32" s="25">
        <f t="shared" ref="D32:D45" si="26">100*((2*L8/0.35)+(J8/0.9)+(2*M8/0.25)+(K8/0.7))</f>
        <v>1493.1428571428571</v>
      </c>
      <c r="E32" s="25">
        <f t="shared" ref="E32:E45" si="27">100*C32/B32</f>
        <v>94.427001569858717</v>
      </c>
      <c r="F32" s="296">
        <f t="shared" si="20"/>
        <v>-0.33500934806898752</v>
      </c>
      <c r="G32" s="296">
        <f t="shared" si="20"/>
        <v>9.0170200780590015E-2</v>
      </c>
      <c r="H32" s="296">
        <f t="shared" si="20"/>
        <v>0.1148844769534425</v>
      </c>
      <c r="I32" s="296">
        <f t="shared" si="20"/>
        <v>-0.63823351482153656</v>
      </c>
      <c r="J32" s="296">
        <f t="shared" si="20"/>
        <v>-0.4568965517241379</v>
      </c>
      <c r="K32" s="296">
        <f t="shared" si="20"/>
        <v>-0.93285896734172591</v>
      </c>
      <c r="L32" s="296">
        <f t="shared" si="20"/>
        <v>-0.91244961934617108</v>
      </c>
      <c r="M32" s="296">
        <f t="shared" si="20"/>
        <v>-0.4611450255733377</v>
      </c>
      <c r="N32" s="296">
        <f t="shared" si="20"/>
        <v>0</v>
      </c>
      <c r="O32" s="296">
        <f t="shared" si="20"/>
        <v>-8.6206896551722645E-3</v>
      </c>
      <c r="P32" s="296">
        <f t="shared" si="20"/>
        <v>1.4493506493506501</v>
      </c>
      <c r="AE32" s="90">
        <f t="shared" ref="AE32" si="28">AE13/AE$24</f>
        <v>12.820512820512819</v>
      </c>
      <c r="AG32">
        <f t="shared" si="8"/>
        <v>14.388489208633095</v>
      </c>
      <c r="AM32">
        <f t="shared" si="5"/>
        <v>0.89102564102564086</v>
      </c>
      <c r="AO32" s="310">
        <f t="shared" ref="AO32:AO38" si="29">E13</f>
        <v>350</v>
      </c>
      <c r="AP32" s="90">
        <f t="shared" ref="AP32:BC32" si="30">AP13/AP$24</f>
        <v>316.07629427792915</v>
      </c>
      <c r="AQ32" s="90">
        <f t="shared" si="30"/>
        <v>197.49216300940441</v>
      </c>
      <c r="AR32" s="90">
        <f t="shared" si="30"/>
        <v>171.53284671532845</v>
      </c>
      <c r="AS32" s="90">
        <f t="shared" si="30"/>
        <v>109.84528832630099</v>
      </c>
      <c r="AT32" s="90">
        <f t="shared" si="30"/>
        <v>48.051948051948045</v>
      </c>
      <c r="AU32" s="90">
        <f t="shared" si="30"/>
        <v>27.126436781609197</v>
      </c>
      <c r="AV32" s="90">
        <f t="shared" si="30"/>
        <v>21.56862745098039</v>
      </c>
      <c r="AW32" s="90">
        <f t="shared" si="30"/>
        <v>13.793103448275863</v>
      </c>
      <c r="AX32" s="90">
        <f t="shared" si="30"/>
        <v>11.286089238845143</v>
      </c>
      <c r="AY32" s="90">
        <f t="shared" si="30"/>
        <v>9.4117647058823533</v>
      </c>
      <c r="AZ32" s="90">
        <f t="shared" si="30"/>
        <v>9.236947791164658</v>
      </c>
      <c r="BA32" s="90">
        <f t="shared" si="30"/>
        <v>8.8888888888888893</v>
      </c>
      <c r="BB32" s="90">
        <f t="shared" si="30"/>
        <v>8.4677419354838719</v>
      </c>
      <c r="BC32" s="90">
        <f t="shared" si="30"/>
        <v>8.9473684210526319</v>
      </c>
      <c r="BD32" s="91">
        <f>SUM(AP13:BC13)</f>
        <v>437.62000000000012</v>
      </c>
      <c r="BE32" s="90">
        <f t="shared" si="11"/>
        <v>0.61967213114754094</v>
      </c>
      <c r="BF32">
        <f t="shared" si="12"/>
        <v>29.73</v>
      </c>
      <c r="BH32" s="333">
        <f t="shared" si="13"/>
        <v>0.79848811901965544</v>
      </c>
    </row>
    <row r="33" spans="1:60" ht="16" thickBot="1" x14ac:dyDescent="0.25">
      <c r="A33" t="str">
        <f t="shared" si="23"/>
        <v xml:space="preserve">R8H1EA03 </v>
      </c>
      <c r="B33" s="25">
        <f t="shared" si="24"/>
        <v>97.47932256794013</v>
      </c>
      <c r="C33" s="25">
        <f t="shared" si="25"/>
        <v>92.38521836506159</v>
      </c>
      <c r="D33" s="25">
        <f t="shared" si="26"/>
        <v>1565.3968253968255</v>
      </c>
      <c r="E33" s="25">
        <f t="shared" si="27"/>
        <v>94.774169466218737</v>
      </c>
      <c r="F33" s="296">
        <f t="shared" si="20"/>
        <v>-0.32552744278020784</v>
      </c>
      <c r="G33" s="296">
        <f t="shared" si="20"/>
        <v>0.18191406752845518</v>
      </c>
      <c r="H33" s="296">
        <f t="shared" si="20"/>
        <v>0.11889955306325373</v>
      </c>
      <c r="I33" s="296">
        <f t="shared" si="20"/>
        <v>-0.61228694512080928</v>
      </c>
      <c r="J33" s="296">
        <f t="shared" si="20"/>
        <v>-0.35498220640569411</v>
      </c>
      <c r="K33" s="296">
        <f t="shared" si="20"/>
        <v>-0.91771639458472198</v>
      </c>
      <c r="L33" s="296">
        <f t="shared" si="20"/>
        <v>-0.88041318112492495</v>
      </c>
      <c r="M33" s="296">
        <f t="shared" si="20"/>
        <v>-0.4517189122920533</v>
      </c>
      <c r="N33" s="296">
        <f t="shared" si="20"/>
        <v>0</v>
      </c>
      <c r="O33" s="296">
        <f t="shared" si="20"/>
        <v>-0.18149466192170827</v>
      </c>
      <c r="P33" s="296">
        <f t="shared" si="20"/>
        <v>1.3938623653926143</v>
      </c>
      <c r="AE33" s="90">
        <f t="shared" ref="AE33" si="31">AE14/AE$24</f>
        <v>13.461538461538462</v>
      </c>
      <c r="AG33">
        <f t="shared" si="8"/>
        <v>14.388489208633095</v>
      </c>
      <c r="AM33">
        <f t="shared" si="5"/>
        <v>0.93557692307692297</v>
      </c>
      <c r="AO33" s="310">
        <f t="shared" si="29"/>
        <v>450</v>
      </c>
      <c r="AP33" s="90">
        <f t="shared" ref="AP33:BC33" si="32">AP14/AP$24</f>
        <v>243.86920980926431</v>
      </c>
      <c r="AQ33" s="90">
        <f t="shared" si="32"/>
        <v>160.91954022988506</v>
      </c>
      <c r="AR33" s="90">
        <f t="shared" si="32"/>
        <v>129.19708029197079</v>
      </c>
      <c r="AS33" s="90">
        <f t="shared" si="32"/>
        <v>85.091420534458507</v>
      </c>
      <c r="AT33" s="90">
        <f t="shared" si="32"/>
        <v>38.095238095238095</v>
      </c>
      <c r="AU33" s="90">
        <f t="shared" si="32"/>
        <v>24.942528735632184</v>
      </c>
      <c r="AV33" s="90">
        <f t="shared" si="32"/>
        <v>19.607843137254903</v>
      </c>
      <c r="AW33" s="90">
        <f t="shared" si="32"/>
        <v>13.793103448275863</v>
      </c>
      <c r="AX33" s="90">
        <f t="shared" si="32"/>
        <v>11.023622047244094</v>
      </c>
      <c r="AY33" s="90">
        <f t="shared" si="32"/>
        <v>9.4117647058823533</v>
      </c>
      <c r="AZ33" s="90">
        <f t="shared" si="32"/>
        <v>9.236947791164658</v>
      </c>
      <c r="BA33" s="90">
        <f t="shared" si="32"/>
        <v>8.6111111111111125</v>
      </c>
      <c r="BB33" s="90">
        <f t="shared" si="32"/>
        <v>8.064516129032258</v>
      </c>
      <c r="BC33" s="90">
        <f t="shared" si="32"/>
        <v>8.6842105263157894</v>
      </c>
      <c r="BD33" s="91">
        <f t="shared" ref="BD33:BD38" si="33">SUM(AP14:BC14)</f>
        <v>349.41</v>
      </c>
      <c r="BE33" s="90">
        <f t="shared" si="11"/>
        <v>0.63244353182751545</v>
      </c>
      <c r="BF33">
        <f t="shared" si="12"/>
        <v>27.22</v>
      </c>
      <c r="BH33" s="333">
        <f t="shared" si="13"/>
        <v>0.84276095072268509</v>
      </c>
    </row>
    <row r="34" spans="1:60" ht="16" thickBot="1" x14ac:dyDescent="0.25">
      <c r="A34" t="str">
        <f t="shared" si="23"/>
        <v xml:space="preserve">R8H1EA04 </v>
      </c>
      <c r="B34" s="25">
        <f t="shared" si="24"/>
        <v>97.370617696160267</v>
      </c>
      <c r="C34" s="25">
        <f t="shared" si="25"/>
        <v>91.239734063355499</v>
      </c>
      <c r="D34" s="25">
        <f t="shared" si="26"/>
        <v>1753.5555555555557</v>
      </c>
      <c r="E34" s="25">
        <f t="shared" si="27"/>
        <v>93.703558858036772</v>
      </c>
      <c r="F34" s="296">
        <f t="shared" si="20"/>
        <v>-0.30843888470955161</v>
      </c>
      <c r="G34" s="296">
        <f t="shared" si="20"/>
        <v>0.13944680801364973</v>
      </c>
      <c r="H34" s="296">
        <f t="shared" si="20"/>
        <v>0.11757551247997111</v>
      </c>
      <c r="I34" s="296">
        <f t="shared" si="20"/>
        <v>-0.52269208051977079</v>
      </c>
      <c r="J34" s="296">
        <f t="shared" si="20"/>
        <v>-0.19927206551410381</v>
      </c>
      <c r="K34" s="296">
        <f t="shared" si="20"/>
        <v>-0.90698614902436558</v>
      </c>
      <c r="L34" s="296">
        <f t="shared" si="20"/>
        <v>-0.88584663743899417</v>
      </c>
      <c r="M34" s="296">
        <f t="shared" si="20"/>
        <v>-0.35513363605887893</v>
      </c>
      <c r="N34" s="296">
        <f t="shared" si="20"/>
        <v>0</v>
      </c>
      <c r="O34" s="296">
        <f t="shared" si="20"/>
        <v>-0.37215650591446769</v>
      </c>
      <c r="P34" s="296">
        <f t="shared" si="20"/>
        <v>1.3330772957706536</v>
      </c>
      <c r="AE34" s="90">
        <f t="shared" ref="AE34" si="34">AE15/AE$24</f>
        <v>12.179487179487179</v>
      </c>
      <c r="AG34">
        <f t="shared" si="8"/>
        <v>14.388489208633095</v>
      </c>
      <c r="AM34">
        <f t="shared" si="5"/>
        <v>0.84647435897435885</v>
      </c>
      <c r="AO34" s="310">
        <f t="shared" si="29"/>
        <v>550</v>
      </c>
      <c r="AP34" s="90">
        <f t="shared" ref="AP34:BC34" si="35">AP15/AP$24</f>
        <v>365.12261580381471</v>
      </c>
      <c r="AQ34" s="90">
        <f t="shared" si="35"/>
        <v>249.73876698014629</v>
      </c>
      <c r="AR34" s="90">
        <f t="shared" si="35"/>
        <v>191.97080291970801</v>
      </c>
      <c r="AS34" s="90">
        <f t="shared" si="35"/>
        <v>125.03516174402252</v>
      </c>
      <c r="AT34" s="90">
        <f t="shared" si="35"/>
        <v>51.948051948051948</v>
      </c>
      <c r="AU34" s="90">
        <f t="shared" si="35"/>
        <v>28.160919540229887</v>
      </c>
      <c r="AV34" s="90">
        <f t="shared" si="35"/>
        <v>22.875816993464053</v>
      </c>
      <c r="AW34" s="90">
        <f t="shared" si="35"/>
        <v>15.517241379310345</v>
      </c>
      <c r="AX34" s="90">
        <f t="shared" si="35"/>
        <v>11.811023622047244</v>
      </c>
      <c r="AY34" s="90">
        <f t="shared" si="35"/>
        <v>9.4117647058823533</v>
      </c>
      <c r="AZ34" s="90">
        <f t="shared" si="35"/>
        <v>9.236947791164658</v>
      </c>
      <c r="BA34" s="90">
        <f t="shared" si="35"/>
        <v>8.3333333333333339</v>
      </c>
      <c r="BB34" s="90">
        <f t="shared" si="35"/>
        <v>7.661290322580645</v>
      </c>
      <c r="BC34" s="90">
        <f t="shared" si="35"/>
        <v>8.1578947368421062</v>
      </c>
      <c r="BD34" s="91">
        <f t="shared" si="33"/>
        <v>520.65999999999974</v>
      </c>
      <c r="BE34" s="90">
        <f t="shared" si="11"/>
        <v>0.64075067024128685</v>
      </c>
      <c r="BF34">
        <f t="shared" si="12"/>
        <v>27.79</v>
      </c>
      <c r="BH34" s="333">
        <f t="shared" si="13"/>
        <v>0.87598909873805053</v>
      </c>
    </row>
    <row r="35" spans="1:60" ht="16" thickBot="1" x14ac:dyDescent="0.25">
      <c r="A35" t="str">
        <f t="shared" si="23"/>
        <v xml:space="preserve">R8H1EA05 </v>
      </c>
      <c r="B35" s="25">
        <f t="shared" si="24"/>
        <v>93.195020746887963</v>
      </c>
      <c r="C35" s="25">
        <f t="shared" si="25"/>
        <v>86.617817200154249</v>
      </c>
      <c r="D35" s="25">
        <f t="shared" si="26"/>
        <v>2366.0634920634925</v>
      </c>
      <c r="E35" s="25">
        <f t="shared" si="27"/>
        <v>92.942537601234079</v>
      </c>
      <c r="F35" s="296">
        <f t="shared" si="20"/>
        <v>0.2235082494947751</v>
      </c>
      <c r="G35" s="296">
        <f t="shared" si="20"/>
        <v>0.71731375932076058</v>
      </c>
      <c r="H35" s="296">
        <f t="shared" si="20"/>
        <v>0.12300593782075264</v>
      </c>
      <c r="I35" s="296">
        <f t="shared" si="20"/>
        <v>-0.25276153346328778</v>
      </c>
      <c r="J35" s="296">
        <f t="shared" si="20"/>
        <v>0.20370370370370372</v>
      </c>
      <c r="K35" s="296">
        <f t="shared" si="20"/>
        <v>-0.63942778757593566</v>
      </c>
      <c r="L35" s="296">
        <f t="shared" si="20"/>
        <v>-0.52343952343952338</v>
      </c>
      <c r="M35" s="296">
        <f t="shared" si="20"/>
        <v>0.14750746329693731</v>
      </c>
      <c r="N35" s="296">
        <f t="shared" si="20"/>
        <v>0</v>
      </c>
      <c r="O35" s="296">
        <f t="shared" si="20"/>
        <v>-1.7094017094017033E-2</v>
      </c>
      <c r="P35" s="296">
        <f t="shared" si="20"/>
        <v>1.9853109853109854</v>
      </c>
      <c r="AE35" s="90">
        <f t="shared" ref="AE35" si="36">AE16/AE$24</f>
        <v>10.256410256410255</v>
      </c>
      <c r="AG35">
        <f t="shared" si="8"/>
        <v>10.791366906474821</v>
      </c>
      <c r="AM35">
        <f t="shared" si="5"/>
        <v>0.95042735042735027</v>
      </c>
      <c r="AO35" s="310">
        <f t="shared" si="29"/>
        <v>650</v>
      </c>
      <c r="AP35" s="90">
        <f t="shared" ref="AP35:BC35" si="37">AP16/AP$24</f>
        <v>111.9891008174387</v>
      </c>
      <c r="AQ35" s="90">
        <f t="shared" si="37"/>
        <v>85.266457680250781</v>
      </c>
      <c r="AR35" s="90">
        <f t="shared" si="37"/>
        <v>67.956204379562038</v>
      </c>
      <c r="AS35" s="90">
        <f t="shared" si="37"/>
        <v>48.38255977496484</v>
      </c>
      <c r="AT35" s="90">
        <f t="shared" si="37"/>
        <v>26.839826839826838</v>
      </c>
      <c r="AU35" s="90">
        <f t="shared" si="37"/>
        <v>17.816091954022991</v>
      </c>
      <c r="AV35" s="90">
        <f t="shared" si="37"/>
        <v>14.705882352941178</v>
      </c>
      <c r="AW35" s="90">
        <f t="shared" si="37"/>
        <v>10.344827586206895</v>
      </c>
      <c r="AX35" s="90">
        <f t="shared" si="37"/>
        <v>8.3989501312335957</v>
      </c>
      <c r="AY35" s="90">
        <f t="shared" si="37"/>
        <v>7.0588235294117636</v>
      </c>
      <c r="AZ35" s="90">
        <f t="shared" si="37"/>
        <v>7.6305220883534135</v>
      </c>
      <c r="BA35" s="90">
        <f t="shared" si="37"/>
        <v>6.9444444444444446</v>
      </c>
      <c r="BB35" s="90">
        <f t="shared" si="37"/>
        <v>6.854838709677419</v>
      </c>
      <c r="BC35" s="90">
        <f t="shared" si="37"/>
        <v>7.1052631578947372</v>
      </c>
      <c r="BD35" s="91">
        <f t="shared" si="33"/>
        <v>187.17999999999998</v>
      </c>
      <c r="BE35" s="90">
        <f t="shared" si="11"/>
        <v>0.66503667481662598</v>
      </c>
      <c r="BF35">
        <f t="shared" si="12"/>
        <v>27.949999999999996</v>
      </c>
      <c r="BH35" s="333">
        <f t="shared" si="13"/>
        <v>0.93919319257531131</v>
      </c>
    </row>
    <row r="36" spans="1:60" ht="16" thickBot="1" x14ac:dyDescent="0.25">
      <c r="A36" t="str">
        <f t="shared" si="23"/>
        <v xml:space="preserve">R8H1EA06 </v>
      </c>
      <c r="B36" s="25">
        <f t="shared" si="24"/>
        <v>90.240811153358692</v>
      </c>
      <c r="C36" s="25">
        <f t="shared" si="25"/>
        <v>80.270574971815108</v>
      </c>
      <c r="D36" s="25">
        <f t="shared" si="26"/>
        <v>3769.4603174603171</v>
      </c>
      <c r="E36" s="25">
        <f t="shared" si="27"/>
        <v>88.951521984216456</v>
      </c>
      <c r="F36" s="296">
        <f t="shared" si="20"/>
        <v>-9.1522833036394857E-2</v>
      </c>
      <c r="G36" s="296">
        <f t="shared" si="20"/>
        <v>0.3440927141627943</v>
      </c>
      <c r="H36" s="296">
        <f t="shared" si="20"/>
        <v>0.25285682143829868</v>
      </c>
      <c r="I36" s="296">
        <f t="shared" si="20"/>
        <v>0.1636946998210651</v>
      </c>
      <c r="J36" s="296">
        <f t="shared" si="20"/>
        <v>1.2098475967174678</v>
      </c>
      <c r="K36" s="296">
        <f t="shared" si="20"/>
        <v>-0.57200543367014633</v>
      </c>
      <c r="L36" s="296">
        <f t="shared" si="20"/>
        <v>-0.45372329897535046</v>
      </c>
      <c r="M36" s="296">
        <f t="shared" si="20"/>
        <v>0.51718954211704293</v>
      </c>
      <c r="N36" s="296">
        <f t="shared" si="20"/>
        <v>0</v>
      </c>
      <c r="O36" s="296">
        <f t="shared" si="20"/>
        <v>-0.73036342321219228</v>
      </c>
      <c r="P36" s="296">
        <f t="shared" si="20"/>
        <v>1.2635465355277784</v>
      </c>
      <c r="AE36" s="90">
        <f t="shared" ref="AE36" si="38">AE17/AE$24</f>
        <v>14.102564102564102</v>
      </c>
      <c r="AG36">
        <f t="shared" si="8"/>
        <v>16.187050359712231</v>
      </c>
      <c r="AM36">
        <f t="shared" si="5"/>
        <v>0.8712250712250712</v>
      </c>
      <c r="AO36" s="310">
        <f t="shared" si="29"/>
        <v>750</v>
      </c>
      <c r="AP36" s="90">
        <f t="shared" ref="AP36:BC36" si="39">AP17/AP$24</f>
        <v>224.52316076294281</v>
      </c>
      <c r="AQ36" s="90">
        <f t="shared" si="39"/>
        <v>166.14420062695925</v>
      </c>
      <c r="AR36" s="90">
        <f t="shared" si="39"/>
        <v>140.14598540145982</v>
      </c>
      <c r="AS36" s="90">
        <f t="shared" si="39"/>
        <v>99.437412095639957</v>
      </c>
      <c r="AT36" s="90">
        <f t="shared" si="39"/>
        <v>48.917748917748916</v>
      </c>
      <c r="AU36" s="90">
        <f t="shared" si="39"/>
        <v>27.701149425287358</v>
      </c>
      <c r="AV36" s="90">
        <f t="shared" si="39"/>
        <v>23.529411764705884</v>
      </c>
      <c r="AW36" s="90">
        <f t="shared" si="39"/>
        <v>15.517241379310345</v>
      </c>
      <c r="AX36" s="90">
        <f t="shared" si="39"/>
        <v>12.598425196850393</v>
      </c>
      <c r="AY36" s="90">
        <f t="shared" si="39"/>
        <v>10.588235294117647</v>
      </c>
      <c r="AZ36" s="90">
        <f t="shared" si="39"/>
        <v>10.040160642570282</v>
      </c>
      <c r="BA36" s="90">
        <f t="shared" si="39"/>
        <v>9.4444444444444464</v>
      </c>
      <c r="BB36" s="90">
        <f t="shared" si="39"/>
        <v>8.870967741935484</v>
      </c>
      <c r="BC36" s="90">
        <f t="shared" si="39"/>
        <v>8.6842105263157894</v>
      </c>
      <c r="BD36" s="91">
        <f t="shared" si="33"/>
        <v>364.17999999999995</v>
      </c>
      <c r="BE36" s="90">
        <f t="shared" si="11"/>
        <v>0.6586578293289147</v>
      </c>
      <c r="BF36">
        <f t="shared" si="12"/>
        <v>26.930000000000003</v>
      </c>
      <c r="BH36" s="333">
        <f t="shared" si="13"/>
        <v>0.90874636990568458</v>
      </c>
    </row>
    <row r="37" spans="1:60" ht="16" thickBot="1" x14ac:dyDescent="0.25">
      <c r="A37" t="str">
        <f t="shared" si="23"/>
        <v xml:space="preserve">R8H1EA07 </v>
      </c>
      <c r="B37" s="25">
        <f t="shared" si="24"/>
        <v>86.316776007497651</v>
      </c>
      <c r="C37" s="25">
        <f t="shared" si="25"/>
        <v>72.748815165876792</v>
      </c>
      <c r="D37" s="25">
        <f t="shared" si="26"/>
        <v>4815.9047619047615</v>
      </c>
      <c r="E37" s="25">
        <f t="shared" si="27"/>
        <v>84.28120063191156</v>
      </c>
      <c r="F37" s="296">
        <f t="shared" si="20"/>
        <v>-2.3191365385804907E-2</v>
      </c>
      <c r="G37" s="296">
        <f t="shared" si="20"/>
        <v>0.11466153791509393</v>
      </c>
      <c r="H37" s="296">
        <f t="shared" si="20"/>
        <v>6.6888349864674401E-2</v>
      </c>
      <c r="I37" s="296">
        <f t="shared" si="20"/>
        <v>9.909214976562053E-3</v>
      </c>
      <c r="J37" s="296">
        <f t="shared" si="20"/>
        <v>0.79255918827508443</v>
      </c>
      <c r="K37" s="296">
        <f t="shared" si="20"/>
        <v>-0.50060545325483319</v>
      </c>
      <c r="L37" s="296">
        <f t="shared" si="20"/>
        <v>-0.32312332537811694</v>
      </c>
      <c r="M37" s="296">
        <f t="shared" si="20"/>
        <v>0.97515414034728121</v>
      </c>
      <c r="N37" s="296">
        <f t="shared" si="20"/>
        <v>0</v>
      </c>
      <c r="O37" s="296">
        <f t="shared" si="20"/>
        <v>-0.22209695603156709</v>
      </c>
      <c r="P37" s="296">
        <f t="shared" si="20"/>
        <v>0.40089898827215631</v>
      </c>
      <c r="AE37" s="90">
        <f t="shared" ref="AE37" si="40">AE18/AE$24</f>
        <v>28.205128205128204</v>
      </c>
      <c r="AG37">
        <f t="shared" si="8"/>
        <v>30.575539568345324</v>
      </c>
      <c r="AM37">
        <f t="shared" si="5"/>
        <v>0.92247360482654595</v>
      </c>
      <c r="AO37" s="310">
        <f t="shared" si="29"/>
        <v>850</v>
      </c>
      <c r="AP37" s="90">
        <f t="shared" ref="AP37:BC37" si="41">AP18/AP$24</f>
        <v>623.97820163487745</v>
      </c>
      <c r="AQ37" s="90">
        <f t="shared" si="41"/>
        <v>485.89341692789969</v>
      </c>
      <c r="AR37" s="90">
        <f t="shared" si="41"/>
        <v>385.40145985401455</v>
      </c>
      <c r="AS37" s="90">
        <f t="shared" si="41"/>
        <v>265.82278481012662</v>
      </c>
      <c r="AT37" s="90">
        <f t="shared" si="41"/>
        <v>120.77922077922076</v>
      </c>
      <c r="AU37" s="90">
        <f t="shared" si="41"/>
        <v>63.333333333333336</v>
      </c>
      <c r="AV37" s="90">
        <f t="shared" si="41"/>
        <v>50.326797385620914</v>
      </c>
      <c r="AW37" s="90">
        <f t="shared" si="41"/>
        <v>32.758620689655167</v>
      </c>
      <c r="AX37" s="90">
        <f t="shared" si="41"/>
        <v>25.459317585301836</v>
      </c>
      <c r="AY37" s="90">
        <f t="shared" si="41"/>
        <v>19.999999999999996</v>
      </c>
      <c r="AZ37" s="90">
        <f t="shared" si="41"/>
        <v>18.072289156626507</v>
      </c>
      <c r="BA37" s="90">
        <f t="shared" si="41"/>
        <v>17.5</v>
      </c>
      <c r="BB37" s="90">
        <f t="shared" si="41"/>
        <v>15.32258064516129</v>
      </c>
      <c r="BC37" s="90">
        <f t="shared" si="41"/>
        <v>14.999999999999998</v>
      </c>
      <c r="BD37" s="91">
        <f t="shared" si="33"/>
        <v>1007.41</v>
      </c>
      <c r="BE37" s="90">
        <f t="shared" si="11"/>
        <v>0.67002881844380402</v>
      </c>
      <c r="BF37">
        <f t="shared" si="12"/>
        <v>30.160000000000004</v>
      </c>
      <c r="BH37" s="333">
        <f t="shared" si="13"/>
        <v>0.96294113584205121</v>
      </c>
    </row>
    <row r="38" spans="1:60" ht="16" thickBot="1" x14ac:dyDescent="0.25">
      <c r="A38" t="str">
        <f t="shared" si="23"/>
        <v xml:space="preserve">R8H1EA08 </v>
      </c>
      <c r="B38" s="25">
        <f t="shared" si="24"/>
        <v>83.032319391634985</v>
      </c>
      <c r="C38" s="25">
        <f t="shared" si="25"/>
        <v>69.935948759007204</v>
      </c>
      <c r="D38" s="25">
        <f t="shared" si="26"/>
        <v>5037.396825396826</v>
      </c>
      <c r="E38" s="25">
        <f t="shared" si="27"/>
        <v>84.22738190552441</v>
      </c>
      <c r="F38" s="296">
        <f t="shared" si="20"/>
        <v>0.17212314834877795</v>
      </c>
      <c r="G38" s="296">
        <f t="shared" si="20"/>
        <v>0.2273729740297028</v>
      </c>
      <c r="H38" s="296">
        <f t="shared" si="20"/>
        <v>0.11093482821231526</v>
      </c>
      <c r="I38" s="296">
        <f t="shared" si="20"/>
        <v>0.14081014053458252</v>
      </c>
      <c r="J38" s="296">
        <f t="shared" si="20"/>
        <v>0.8913612565445026</v>
      </c>
      <c r="K38" s="296">
        <f t="shared" si="20"/>
        <v>-0.29277819330175336</v>
      </c>
      <c r="L38" s="296">
        <f t="shared" si="20"/>
        <v>-3.8213095804718766E-2</v>
      </c>
      <c r="M38" s="296">
        <f t="shared" si="20"/>
        <v>1.2700969463162908</v>
      </c>
      <c r="N38" s="296">
        <f t="shared" si="20"/>
        <v>0</v>
      </c>
      <c r="O38" s="296">
        <f t="shared" si="20"/>
        <v>-9.6858638743455461E-2</v>
      </c>
      <c r="P38" s="296">
        <f t="shared" si="20"/>
        <v>0.3355544978581626</v>
      </c>
      <c r="AE38" s="90">
        <f t="shared" ref="AE38" si="42">AE19/AE$24</f>
        <v>25</v>
      </c>
      <c r="AG38">
        <f t="shared" si="8"/>
        <v>26.978417266187051</v>
      </c>
      <c r="AM38">
        <f t="shared" si="5"/>
        <v>0.92666666666666664</v>
      </c>
      <c r="AO38" s="310">
        <f t="shared" si="29"/>
        <v>950</v>
      </c>
      <c r="AP38" s="90">
        <f t="shared" ref="AP38:BC38" si="43">AP19/AP$24</f>
        <v>645.77656675749324</v>
      </c>
      <c r="AQ38" s="90">
        <f t="shared" si="43"/>
        <v>509.92685475444097</v>
      </c>
      <c r="AR38" s="90">
        <f t="shared" si="43"/>
        <v>410.94890510948898</v>
      </c>
      <c r="AS38" s="90">
        <f t="shared" si="43"/>
        <v>278.48101265822788</v>
      </c>
      <c r="AT38" s="90">
        <f t="shared" si="43"/>
        <v>121.2121212121212</v>
      </c>
      <c r="AU38" s="90">
        <f t="shared" si="43"/>
        <v>64.827586206896555</v>
      </c>
      <c r="AV38" s="90">
        <f t="shared" si="43"/>
        <v>49.673202614379086</v>
      </c>
      <c r="AW38" s="90">
        <f t="shared" si="43"/>
        <v>31.03448275862069</v>
      </c>
      <c r="AX38" s="90">
        <f t="shared" si="43"/>
        <v>22.834645669291337</v>
      </c>
      <c r="AY38" s="90">
        <f t="shared" si="43"/>
        <v>17.647058823529409</v>
      </c>
      <c r="AZ38" s="90">
        <f t="shared" si="43"/>
        <v>16.064257028112451</v>
      </c>
      <c r="BA38" s="90">
        <f t="shared" si="43"/>
        <v>14.722222222222223</v>
      </c>
      <c r="BB38" s="90">
        <f t="shared" si="43"/>
        <v>12.096774193548388</v>
      </c>
      <c r="BC38" s="90">
        <f t="shared" si="43"/>
        <v>11.578947368421053</v>
      </c>
      <c r="BD38" s="91">
        <f t="shared" si="33"/>
        <v>1048.1099999999999</v>
      </c>
      <c r="BE38" s="90">
        <f t="shared" si="11"/>
        <v>0.6731034482758621</v>
      </c>
      <c r="BF38">
        <f t="shared" si="12"/>
        <v>28.919999999999998</v>
      </c>
      <c r="BH38" s="333">
        <f t="shared" si="13"/>
        <v>0.97436133347290244</v>
      </c>
    </row>
    <row r="39" spans="1:60" ht="16" thickBot="1" x14ac:dyDescent="0.25">
      <c r="A39" t="str">
        <f t="shared" si="23"/>
        <v xml:space="preserve">R8H1EA09 </v>
      </c>
      <c r="B39" s="25">
        <f t="shared" si="24"/>
        <v>82.422586520947178</v>
      </c>
      <c r="C39" s="25">
        <f t="shared" si="25"/>
        <v>72.313224131042759</v>
      </c>
      <c r="D39" s="25">
        <f t="shared" si="26"/>
        <v>4317.5873015873012</v>
      </c>
      <c r="E39" s="25">
        <f t="shared" si="27"/>
        <v>87.734718337994423</v>
      </c>
      <c r="F39" s="296">
        <f t="shared" si="20"/>
        <v>0.13161131611316135</v>
      </c>
      <c r="G39" s="296">
        <f t="shared" si="20"/>
        <v>0.19499211328169319</v>
      </c>
      <c r="H39" s="296">
        <f t="shared" si="20"/>
        <v>5.9218672994810762E-2</v>
      </c>
      <c r="I39" s="296">
        <f t="shared" si="20"/>
        <v>-7.6843400012947316E-2</v>
      </c>
      <c r="J39" s="296">
        <f t="shared" si="20"/>
        <v>0.13161131611316135</v>
      </c>
      <c r="K39" s="296">
        <f t="shared" si="20"/>
        <v>-0.23361773300272659</v>
      </c>
      <c r="L39" s="296">
        <f t="shared" si="20"/>
        <v>-5.2091819619494717E-2</v>
      </c>
      <c r="M39" s="296">
        <f t="shared" si="20"/>
        <v>0.66222332079780166</v>
      </c>
      <c r="N39" s="296">
        <f t="shared" si="20"/>
        <v>0</v>
      </c>
      <c r="O39" s="296">
        <f t="shared" si="20"/>
        <v>0.4145141451414518</v>
      </c>
      <c r="P39" s="296">
        <f t="shared" si="20"/>
        <v>0.21391032092139128</v>
      </c>
      <c r="AE39" s="90"/>
    </row>
    <row r="40" spans="1:60" ht="16" thickBot="1" x14ac:dyDescent="0.25">
      <c r="A40" t="str">
        <f t="shared" si="23"/>
        <v xml:space="preserve">R8H1EA10 </v>
      </c>
      <c r="B40" s="25">
        <f t="shared" si="24"/>
        <v>79.842243645924626</v>
      </c>
      <c r="C40" s="25">
        <f t="shared" si="25"/>
        <v>72.445328031809154</v>
      </c>
      <c r="D40" s="25">
        <f t="shared" si="26"/>
        <v>3928.6031746031745</v>
      </c>
      <c r="E40" s="25">
        <f t="shared" si="27"/>
        <v>90.735586481113344</v>
      </c>
      <c r="F40" s="296">
        <f t="shared" si="20"/>
        <v>9.2249334767593227E-2</v>
      </c>
      <c r="G40" s="296">
        <f t="shared" si="20"/>
        <v>0.15055254307090404</v>
      </c>
      <c r="H40" s="296">
        <f t="shared" si="20"/>
        <v>5.8665082194493845E-2</v>
      </c>
      <c r="I40" s="296">
        <f t="shared" si="20"/>
        <v>1.5892672858617285E-2</v>
      </c>
      <c r="J40" s="296">
        <f t="shared" si="20"/>
        <v>-0.10588235294117632</v>
      </c>
      <c r="K40" s="296">
        <f t="shared" si="20"/>
        <v>-2.0728291316526426E-2</v>
      </c>
      <c r="L40" s="296">
        <f t="shared" si="20"/>
        <v>1.5584415584415812E-2</v>
      </c>
      <c r="M40" s="296">
        <f t="shared" si="20"/>
        <v>0.20664227413453462</v>
      </c>
      <c r="N40" s="296">
        <f t="shared" si="20"/>
        <v>0</v>
      </c>
      <c r="O40" s="296">
        <f t="shared" si="20"/>
        <v>-0.18823529411764695</v>
      </c>
      <c r="P40" s="296">
        <f t="shared" si="20"/>
        <v>0.10203208556149734</v>
      </c>
    </row>
    <row r="41" spans="1:60" s="294" customFormat="1" ht="16" thickBot="1" x14ac:dyDescent="0.25">
      <c r="A41" s="294" t="str">
        <f t="shared" si="23"/>
        <v xml:space="preserve">R8H1EA11 </v>
      </c>
      <c r="B41" s="295">
        <f t="shared" si="24"/>
        <v>77.52148349163275</v>
      </c>
      <c r="C41" s="295">
        <f t="shared" si="25"/>
        <v>70.826446280991732</v>
      </c>
      <c r="D41" s="295">
        <f t="shared" si="26"/>
        <v>3906.4444444444448</v>
      </c>
      <c r="E41" s="295">
        <f t="shared" si="27"/>
        <v>91.363636363636346</v>
      </c>
      <c r="F41" s="296">
        <f>((F17/F$17)*($N$17/$N17))-1</f>
        <v>0</v>
      </c>
      <c r="G41" s="296">
        <f t="shared" ref="G41:P41" si="44">((G17/G$17)*($N$17/$N17))-1</f>
        <v>0</v>
      </c>
      <c r="H41" s="296">
        <f t="shared" si="44"/>
        <v>0</v>
      </c>
      <c r="I41" s="296">
        <f t="shared" si="44"/>
        <v>0</v>
      </c>
      <c r="J41" s="296">
        <f t="shared" si="44"/>
        <v>0</v>
      </c>
      <c r="K41" s="296">
        <f t="shared" si="44"/>
        <v>0</v>
      </c>
      <c r="L41" s="296">
        <f t="shared" si="44"/>
        <v>0</v>
      </c>
      <c r="M41" s="296">
        <f t="shared" si="44"/>
        <v>0</v>
      </c>
      <c r="N41" s="296">
        <f t="shared" si="44"/>
        <v>0</v>
      </c>
      <c r="O41" s="296">
        <f t="shared" si="44"/>
        <v>0</v>
      </c>
      <c r="P41" s="296">
        <f t="shared" si="44"/>
        <v>0</v>
      </c>
    </row>
    <row r="42" spans="1:60" x14ac:dyDescent="0.2">
      <c r="A42" t="str">
        <f t="shared" si="23"/>
        <v xml:space="preserve">R8H1EA12 </v>
      </c>
      <c r="B42" s="25">
        <f t="shared" si="24"/>
        <v>76.50709219858156</v>
      </c>
      <c r="C42" s="25">
        <f t="shared" si="25"/>
        <v>64.984939759036152</v>
      </c>
      <c r="D42" s="25">
        <f t="shared" si="26"/>
        <v>5484.2857142857138</v>
      </c>
      <c r="E42" s="25">
        <f t="shared" si="27"/>
        <v>84.939759036144594</v>
      </c>
      <c r="F42" s="257">
        <f t="shared" ref="F42:P42" si="45">((F18/F$19)*($N$19/$N18))-1</f>
        <v>-0.11546688093432778</v>
      </c>
      <c r="G42" s="257">
        <f t="shared" si="45"/>
        <v>-0.11051435871711246</v>
      </c>
      <c r="H42" s="257">
        <f t="shared" si="45"/>
        <v>-0.11165461995304093</v>
      </c>
      <c r="I42" s="257">
        <f t="shared" si="45"/>
        <v>-7.270187352534252E-2</v>
      </c>
      <c r="J42" s="257">
        <f t="shared" si="45"/>
        <v>-0.11335387608509329</v>
      </c>
      <c r="K42" s="257">
        <f t="shared" si="45"/>
        <v>-0.3884277277304522</v>
      </c>
      <c r="L42" s="257">
        <f t="shared" si="45"/>
        <v>-0.24723445327429061</v>
      </c>
      <c r="M42" s="257">
        <f t="shared" si="45"/>
        <v>-0.15248815641234448</v>
      </c>
      <c r="N42" s="257">
        <f t="shared" si="45"/>
        <v>0</v>
      </c>
      <c r="O42" s="257">
        <f t="shared" si="45"/>
        <v>-0.38190490407239175</v>
      </c>
      <c r="P42" s="257">
        <f t="shared" si="45"/>
        <v>8.9936588610328716E-2</v>
      </c>
    </row>
    <row r="43" spans="1:60" x14ac:dyDescent="0.2">
      <c r="A43" t="str">
        <f t="shared" si="23"/>
        <v xml:space="preserve">R8H1EA13 </v>
      </c>
      <c r="B43" s="25">
        <f t="shared" si="24"/>
        <v>71.284634760705288</v>
      </c>
      <c r="C43" s="25">
        <f t="shared" si="25"/>
        <v>60.751341681574239</v>
      </c>
      <c r="D43" s="25">
        <f t="shared" si="26"/>
        <v>5996.6984126984125</v>
      </c>
      <c r="E43" s="25">
        <f t="shared" si="27"/>
        <v>85.223613595706624</v>
      </c>
      <c r="F43" s="257">
        <f>((F19/F$19)*($N$19/$N19))-1</f>
        <v>0</v>
      </c>
      <c r="G43" s="257">
        <f t="shared" ref="G43:P43" si="46">((G19/G$19)*($N$19/$N19))-1</f>
        <v>0</v>
      </c>
      <c r="H43" s="257">
        <f t="shared" si="46"/>
        <v>0</v>
      </c>
      <c r="I43" s="257">
        <f t="shared" si="46"/>
        <v>0</v>
      </c>
      <c r="J43" s="257">
        <f t="shared" si="46"/>
        <v>0</v>
      </c>
      <c r="K43" s="257">
        <f t="shared" si="46"/>
        <v>0</v>
      </c>
      <c r="L43" s="257">
        <f t="shared" si="46"/>
        <v>0</v>
      </c>
      <c r="M43" s="257">
        <f t="shared" si="46"/>
        <v>0</v>
      </c>
      <c r="N43" s="257">
        <f t="shared" si="46"/>
        <v>0</v>
      </c>
      <c r="O43" s="257">
        <f t="shared" si="46"/>
        <v>0</v>
      </c>
      <c r="P43" s="257">
        <f t="shared" si="46"/>
        <v>0</v>
      </c>
    </row>
    <row r="44" spans="1:60" x14ac:dyDescent="0.2">
      <c r="A44" t="str">
        <f t="shared" si="23"/>
        <v xml:space="preserve">CZO-GNEISS </v>
      </c>
      <c r="B44" s="25">
        <f t="shared" si="24"/>
        <v>65.366317792578499</v>
      </c>
      <c r="C44" s="25">
        <f t="shared" si="25"/>
        <v>62.625341841385591</v>
      </c>
      <c r="D44" s="25">
        <f t="shared" si="26"/>
        <v>3461.7142857142858</v>
      </c>
      <c r="E44" s="25">
        <f t="shared" si="27"/>
        <v>95.806745670009093</v>
      </c>
    </row>
    <row r="45" spans="1:60" x14ac:dyDescent="0.2">
      <c r="A45" t="str">
        <f t="shared" si="23"/>
        <v xml:space="preserve">_MLG </v>
      </c>
      <c r="B45" s="25">
        <f t="shared" si="24"/>
        <v>69.180470793374013</v>
      </c>
      <c r="C45" s="25">
        <f t="shared" si="25"/>
        <v>60.781309842972036</v>
      </c>
      <c r="D45" s="25">
        <f t="shared" si="26"/>
        <v>5726.4761904761908</v>
      </c>
      <c r="E45" s="25">
        <f t="shared" si="27"/>
        <v>87.859057832248169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45"/>
  <sheetViews>
    <sheetView topLeftCell="AA14" zoomScale="125" zoomScaleNormal="125" workbookViewId="0">
      <selection activeCell="AM33" sqref="AM33"/>
    </sheetView>
  </sheetViews>
  <sheetFormatPr baseColWidth="10" defaultRowHeight="15" x14ac:dyDescent="0.2"/>
  <cols>
    <col min="1" max="1" width="12" customWidth="1"/>
    <col min="2" max="2" width="6.5" bestFit="1" customWidth="1"/>
    <col min="3" max="4" width="8.83203125" bestFit="1" customWidth="1"/>
    <col min="5" max="5" width="10.33203125" bestFit="1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8.6640625" customWidth="1"/>
    <col min="42" max="55" width="7" bestFit="1" customWidth="1"/>
    <col min="56" max="56" width="8.33203125" customWidth="1"/>
    <col min="57" max="62" width="7" bestFit="1" customWidth="1"/>
  </cols>
  <sheetData>
    <row r="1" spans="1:71" x14ac:dyDescent="0.2">
      <c r="A1" s="2" t="s">
        <v>416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71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71" ht="16" thickBot="1" x14ac:dyDescent="0.25">
      <c r="A3" s="2" t="s">
        <v>2</v>
      </c>
      <c r="B3" s="2" t="s">
        <v>422</v>
      </c>
      <c r="C3" s="2" t="s">
        <v>426</v>
      </c>
      <c r="D3" s="2" t="s">
        <v>426</v>
      </c>
      <c r="E3" s="2" t="s">
        <v>426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  <c r="BN3" s="354" t="s">
        <v>654</v>
      </c>
      <c r="BO3" s="354"/>
      <c r="BP3" s="354"/>
      <c r="BQ3" s="354"/>
      <c r="BR3" s="354"/>
      <c r="BS3" s="354"/>
    </row>
    <row r="4" spans="1:71" x14ac:dyDescent="0.2">
      <c r="A4" s="2" t="s">
        <v>60</v>
      </c>
      <c r="B4" s="2"/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  <c r="BN4" s="328" t="s">
        <v>653</v>
      </c>
      <c r="BO4" s="329"/>
      <c r="BP4" s="329"/>
      <c r="BQ4" s="329"/>
      <c r="BR4" s="329"/>
      <c r="BS4" s="330"/>
    </row>
    <row r="5" spans="1:71" x14ac:dyDescent="0.2">
      <c r="A5" s="2" t="s">
        <v>63</v>
      </c>
      <c r="B5" s="2"/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  <c r="BN5" s="331"/>
      <c r="BO5" s="21"/>
      <c r="BP5" s="21"/>
      <c r="BQ5" s="21"/>
      <c r="BR5" s="21"/>
      <c r="BS5" s="332"/>
    </row>
    <row r="6" spans="1:71" ht="16" thickBot="1" x14ac:dyDescent="0.25">
      <c r="A6" s="5" t="s">
        <v>64</v>
      </c>
      <c r="B6" s="5"/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  <c r="BK6" s="38" t="s">
        <v>467</v>
      </c>
      <c r="BL6" s="38" t="s">
        <v>657</v>
      </c>
      <c r="BM6" s="38"/>
      <c r="BN6" s="331"/>
      <c r="BO6" s="335" t="s">
        <v>627</v>
      </c>
      <c r="BP6" s="348" t="s">
        <v>648</v>
      </c>
      <c r="BQ6" s="348" t="s">
        <v>649</v>
      </c>
      <c r="BR6" s="348" t="s">
        <v>650</v>
      </c>
      <c r="BS6" s="349" t="s">
        <v>643</v>
      </c>
    </row>
    <row r="7" spans="1:71" ht="16" thickTop="1" x14ac:dyDescent="0.2">
      <c r="A7" s="2" t="s">
        <v>151</v>
      </c>
      <c r="B7" s="7" t="s">
        <v>428</v>
      </c>
      <c r="C7" s="7">
        <v>0</v>
      </c>
      <c r="D7" s="7">
        <v>11</v>
      </c>
      <c r="E7" s="4">
        <f>AVERAGE(C7:D7)</f>
        <v>5.5</v>
      </c>
      <c r="F7" s="4">
        <v>70.239999999999995</v>
      </c>
      <c r="G7" s="4">
        <v>12.63</v>
      </c>
      <c r="H7" s="4">
        <v>4.49</v>
      </c>
      <c r="I7" s="4">
        <v>0.29399999999999998</v>
      </c>
      <c r="J7" s="4">
        <v>0.21</v>
      </c>
      <c r="K7" s="4">
        <v>0.08</v>
      </c>
      <c r="L7" s="4">
        <v>0.13</v>
      </c>
      <c r="M7" s="4">
        <v>0.75</v>
      </c>
      <c r="N7" s="4">
        <v>0.78400000000000003</v>
      </c>
      <c r="O7" s="4">
        <v>0.05</v>
      </c>
      <c r="P7" s="4">
        <v>9.67</v>
      </c>
      <c r="Q7" s="4">
        <v>99.32</v>
      </c>
      <c r="R7" s="4">
        <v>13</v>
      </c>
      <c r="S7" s="4">
        <v>2</v>
      </c>
      <c r="T7" s="4">
        <v>81</v>
      </c>
      <c r="U7" s="4">
        <v>30</v>
      </c>
      <c r="V7" s="4">
        <v>25</v>
      </c>
      <c r="W7" s="4" t="s">
        <v>69</v>
      </c>
      <c r="X7" s="4">
        <v>30</v>
      </c>
      <c r="Y7" s="4">
        <v>50</v>
      </c>
      <c r="Z7" s="4">
        <v>13</v>
      </c>
      <c r="AA7" s="4" t="s">
        <v>68</v>
      </c>
      <c r="AB7" s="4" t="s">
        <v>71</v>
      </c>
      <c r="AC7" s="4">
        <v>49</v>
      </c>
      <c r="AD7" s="4">
        <v>32</v>
      </c>
      <c r="AE7" s="4">
        <v>55</v>
      </c>
      <c r="AF7" s="4">
        <v>257</v>
      </c>
      <c r="AG7" s="4">
        <v>5</v>
      </c>
      <c r="AH7" s="4">
        <v>2</v>
      </c>
      <c r="AI7" s="4" t="s">
        <v>74</v>
      </c>
      <c r="AJ7" s="4" t="s">
        <v>73</v>
      </c>
      <c r="AK7" s="4" t="s">
        <v>68</v>
      </c>
      <c r="AL7" s="4" t="s">
        <v>74</v>
      </c>
      <c r="AM7" s="4">
        <v>2.5</v>
      </c>
      <c r="AN7" s="4">
        <v>349</v>
      </c>
      <c r="AO7" s="4" t="s">
        <v>75</v>
      </c>
      <c r="AP7" s="4">
        <v>59.3</v>
      </c>
      <c r="AQ7" s="4">
        <v>174</v>
      </c>
      <c r="AR7" s="4">
        <v>17.2</v>
      </c>
      <c r="AS7" s="4">
        <v>66.599999999999994</v>
      </c>
      <c r="AT7" s="4">
        <v>14.5</v>
      </c>
      <c r="AU7" s="4">
        <v>3.84</v>
      </c>
      <c r="AV7" s="4">
        <v>12.3</v>
      </c>
      <c r="AW7" s="4">
        <v>1.9</v>
      </c>
      <c r="AX7" s="4">
        <v>12</v>
      </c>
      <c r="AY7" s="4">
        <v>2.2999999999999998</v>
      </c>
      <c r="AZ7" s="4">
        <v>6.6</v>
      </c>
      <c r="BA7" s="4">
        <v>0.99</v>
      </c>
      <c r="BB7" s="4">
        <v>7</v>
      </c>
      <c r="BC7" s="4">
        <v>1.06</v>
      </c>
      <c r="BD7" s="4">
        <v>5.7</v>
      </c>
      <c r="BE7" s="4">
        <v>0.5</v>
      </c>
      <c r="BF7" s="4">
        <v>2</v>
      </c>
      <c r="BG7" s="4">
        <v>0.2</v>
      </c>
      <c r="BH7" s="4">
        <v>95</v>
      </c>
      <c r="BI7" s="4">
        <v>5.6</v>
      </c>
      <c r="BJ7" s="4">
        <v>2</v>
      </c>
      <c r="BK7" s="39">
        <f>100*(G7/(G7+J7+K7+L7))</f>
        <v>96.781609195402282</v>
      </c>
      <c r="BL7" s="39">
        <f>AE7/AY7</f>
        <v>23.913043478260871</v>
      </c>
      <c r="BN7" s="334" t="s">
        <v>151</v>
      </c>
      <c r="BO7" s="335">
        <f>AQ7/(AQ7+AP7)</f>
        <v>0.74582083154736389</v>
      </c>
      <c r="BP7" s="335">
        <f>3*AQ7/(2*AP7+AS7)</f>
        <v>2.8185745140388772</v>
      </c>
      <c r="BQ7" s="335">
        <f>2*AQ7/(AP7+AR7)</f>
        <v>4.5490196078431371</v>
      </c>
      <c r="BR7" s="335">
        <f>AQ7/(AR7^2/AS7)</f>
        <v>39.171173607355328</v>
      </c>
      <c r="BS7" s="336">
        <f>AQ7/AR7</f>
        <v>10.116279069767442</v>
      </c>
    </row>
    <row r="8" spans="1:71" x14ac:dyDescent="0.2">
      <c r="A8" s="2" t="s">
        <v>152</v>
      </c>
      <c r="B8" s="7" t="s">
        <v>439</v>
      </c>
      <c r="C8" s="7">
        <v>11</v>
      </c>
      <c r="D8" s="8">
        <v>31</v>
      </c>
      <c r="E8" s="4">
        <f t="shared" ref="E8:E18" si="0">AVERAGE(C8:D8)</f>
        <v>21</v>
      </c>
      <c r="F8" s="4">
        <v>71.790000000000006</v>
      </c>
      <c r="G8" s="4">
        <v>13.66</v>
      </c>
      <c r="H8" s="4">
        <v>4.91</v>
      </c>
      <c r="I8" s="4">
        <v>0.24199999999999999</v>
      </c>
      <c r="J8" s="4">
        <v>0.22</v>
      </c>
      <c r="K8" s="4">
        <v>0.06</v>
      </c>
      <c r="L8" s="4">
        <v>0.12</v>
      </c>
      <c r="M8" s="4">
        <v>0.75</v>
      </c>
      <c r="N8" s="4">
        <v>0.78100000000000003</v>
      </c>
      <c r="O8" s="4">
        <v>0.05</v>
      </c>
      <c r="P8" s="4">
        <v>7.75</v>
      </c>
      <c r="Q8" s="4">
        <v>100.3</v>
      </c>
      <c r="R8" s="4">
        <v>14</v>
      </c>
      <c r="S8" s="4">
        <v>1</v>
      </c>
      <c r="T8" s="4">
        <v>84</v>
      </c>
      <c r="U8" s="4">
        <v>30</v>
      </c>
      <c r="V8" s="4">
        <v>25</v>
      </c>
      <c r="W8" s="4" t="s">
        <v>69</v>
      </c>
      <c r="X8" s="4">
        <v>30</v>
      </c>
      <c r="Y8" s="4">
        <v>70</v>
      </c>
      <c r="Z8" s="4">
        <v>14</v>
      </c>
      <c r="AA8" s="4" t="s">
        <v>68</v>
      </c>
      <c r="AB8" s="4" t="s">
        <v>71</v>
      </c>
      <c r="AC8" s="4">
        <v>53</v>
      </c>
      <c r="AD8" s="4">
        <v>31</v>
      </c>
      <c r="AE8" s="4">
        <v>38</v>
      </c>
      <c r="AF8" s="4">
        <v>275</v>
      </c>
      <c r="AG8" s="4">
        <v>7</v>
      </c>
      <c r="AH8" s="4" t="s">
        <v>72</v>
      </c>
      <c r="AI8" s="4" t="s">
        <v>74</v>
      </c>
      <c r="AJ8" s="4" t="s">
        <v>73</v>
      </c>
      <c r="AK8" s="4">
        <v>1</v>
      </c>
      <c r="AL8" s="4" t="s">
        <v>74</v>
      </c>
      <c r="AM8" s="4">
        <v>2.8</v>
      </c>
      <c r="AN8" s="4">
        <v>322</v>
      </c>
      <c r="AO8" s="4" t="s">
        <v>75</v>
      </c>
      <c r="AP8" s="4">
        <v>41.8</v>
      </c>
      <c r="AQ8" s="4">
        <v>171</v>
      </c>
      <c r="AR8" s="4">
        <v>13.3</v>
      </c>
      <c r="AS8" s="4">
        <v>52.8</v>
      </c>
      <c r="AT8" s="4">
        <v>11.7</v>
      </c>
      <c r="AU8" s="4">
        <v>3.1</v>
      </c>
      <c r="AV8" s="4">
        <v>9.8000000000000007</v>
      </c>
      <c r="AW8" s="4">
        <v>1.5</v>
      </c>
      <c r="AX8" s="4">
        <v>9.1</v>
      </c>
      <c r="AY8" s="4">
        <v>1.8</v>
      </c>
      <c r="AZ8" s="4">
        <v>5.0999999999999996</v>
      </c>
      <c r="BA8" s="4">
        <v>0.77</v>
      </c>
      <c r="BB8" s="4">
        <v>5.4</v>
      </c>
      <c r="BC8" s="4">
        <v>0.85</v>
      </c>
      <c r="BD8" s="4">
        <v>6.3</v>
      </c>
      <c r="BE8" s="4">
        <v>0.5</v>
      </c>
      <c r="BF8" s="4" t="s">
        <v>68</v>
      </c>
      <c r="BG8" s="4">
        <v>0.1</v>
      </c>
      <c r="BH8" s="4">
        <v>21</v>
      </c>
      <c r="BI8" s="4">
        <v>6.1</v>
      </c>
      <c r="BJ8" s="4">
        <v>2</v>
      </c>
      <c r="BK8" s="39">
        <f t="shared" ref="BK8:BK20" si="1">100*(G8/(G8+J8+K8+L8))</f>
        <v>97.155049786628737</v>
      </c>
      <c r="BL8" s="39">
        <f t="shared" ref="BL8:BL18" si="2">AE8/AY8</f>
        <v>21.111111111111111</v>
      </c>
      <c r="BN8" s="334" t="s">
        <v>152</v>
      </c>
      <c r="BO8" s="335">
        <f t="shared" ref="BO8:BO20" si="3">AQ8/(AQ8+AP8)</f>
        <v>0.80357142857142849</v>
      </c>
      <c r="BP8" s="335">
        <f t="shared" ref="BP8:BP20" si="4">3*AQ8/(2*AP8+AS8)</f>
        <v>3.760997067448681</v>
      </c>
      <c r="BQ8" s="335">
        <f t="shared" ref="BQ8:BQ20" si="5">2*AQ8/(AP8+AR8)</f>
        <v>6.2068965517241388</v>
      </c>
      <c r="BR8" s="335">
        <f t="shared" ref="BR8:BR20" si="6">AQ8/(AR8^2/AS8)</f>
        <v>51.041890440386673</v>
      </c>
      <c r="BS8" s="336">
        <f t="shared" ref="BS8:BS20" si="7">AQ8/AR8</f>
        <v>12.857142857142856</v>
      </c>
    </row>
    <row r="9" spans="1:71" x14ac:dyDescent="0.2">
      <c r="A9" s="2" t="s">
        <v>153</v>
      </c>
      <c r="B9" s="7" t="s">
        <v>418</v>
      </c>
      <c r="C9" s="7">
        <v>31</v>
      </c>
      <c r="D9" s="7">
        <v>85</v>
      </c>
      <c r="E9" s="4">
        <f t="shared" si="0"/>
        <v>58</v>
      </c>
      <c r="F9" s="4">
        <v>62.73</v>
      </c>
      <c r="G9" s="4">
        <v>19.47</v>
      </c>
      <c r="H9" s="4">
        <v>6.97</v>
      </c>
      <c r="I9" s="4">
        <v>0.121</v>
      </c>
      <c r="J9" s="4">
        <v>0.25</v>
      </c>
      <c r="K9" s="4">
        <v>0.05</v>
      </c>
      <c r="L9" s="4">
        <v>0.1</v>
      </c>
      <c r="M9" s="4">
        <v>0.71</v>
      </c>
      <c r="N9" s="4">
        <v>0.80300000000000005</v>
      </c>
      <c r="O9" s="4">
        <v>0.05</v>
      </c>
      <c r="P9" s="4">
        <v>9.23</v>
      </c>
      <c r="Q9" s="4">
        <v>100.5</v>
      </c>
      <c r="R9" s="4">
        <v>19</v>
      </c>
      <c r="S9" s="4">
        <v>1</v>
      </c>
      <c r="T9" s="4">
        <v>121</v>
      </c>
      <c r="U9" s="4">
        <v>30</v>
      </c>
      <c r="V9" s="4">
        <v>18</v>
      </c>
      <c r="W9" s="4" t="s">
        <v>69</v>
      </c>
      <c r="X9" s="4">
        <v>40</v>
      </c>
      <c r="Y9" s="4">
        <v>60</v>
      </c>
      <c r="Z9" s="4">
        <v>20</v>
      </c>
      <c r="AA9" s="4">
        <v>1</v>
      </c>
      <c r="AB9" s="4" t="s">
        <v>71</v>
      </c>
      <c r="AC9" s="4">
        <v>55</v>
      </c>
      <c r="AD9" s="4">
        <v>27</v>
      </c>
      <c r="AE9" s="4">
        <v>10</v>
      </c>
      <c r="AF9" s="4">
        <v>236</v>
      </c>
      <c r="AG9" s="4">
        <v>8</v>
      </c>
      <c r="AH9" s="4" t="s">
        <v>72</v>
      </c>
      <c r="AI9" s="4" t="s">
        <v>74</v>
      </c>
      <c r="AJ9" s="4" t="s">
        <v>73</v>
      </c>
      <c r="AK9" s="4">
        <v>1</v>
      </c>
      <c r="AL9" s="4" t="s">
        <v>74</v>
      </c>
      <c r="AM9" s="4">
        <v>3.1</v>
      </c>
      <c r="AN9" s="4">
        <v>227</v>
      </c>
      <c r="AO9" s="4" t="s">
        <v>75</v>
      </c>
      <c r="AP9" s="4">
        <v>12.6</v>
      </c>
      <c r="AQ9" s="4">
        <v>64.7</v>
      </c>
      <c r="AR9" s="4">
        <v>3.59</v>
      </c>
      <c r="AS9" s="4">
        <v>13.9</v>
      </c>
      <c r="AT9" s="4">
        <v>3</v>
      </c>
      <c r="AU9" s="4">
        <v>0.78</v>
      </c>
      <c r="AV9" s="4">
        <v>2.5</v>
      </c>
      <c r="AW9" s="4">
        <v>0.4</v>
      </c>
      <c r="AX9" s="4">
        <v>2.5</v>
      </c>
      <c r="AY9" s="4">
        <v>0.5</v>
      </c>
      <c r="AZ9" s="4">
        <v>1.5</v>
      </c>
      <c r="BA9" s="4">
        <v>0.23</v>
      </c>
      <c r="BB9" s="4">
        <v>1.8</v>
      </c>
      <c r="BC9" s="4">
        <v>0.28000000000000003</v>
      </c>
      <c r="BD9" s="4">
        <v>5.4</v>
      </c>
      <c r="BE9" s="4">
        <v>0.6</v>
      </c>
      <c r="BF9" s="4" t="s">
        <v>68</v>
      </c>
      <c r="BG9" s="4">
        <v>0.1</v>
      </c>
      <c r="BH9" s="4">
        <v>75</v>
      </c>
      <c r="BI9" s="4">
        <v>8.3000000000000007</v>
      </c>
      <c r="BJ9" s="4">
        <v>2</v>
      </c>
      <c r="BK9" s="39">
        <f t="shared" si="1"/>
        <v>97.986914947156507</v>
      </c>
      <c r="BL9" s="39">
        <f t="shared" si="2"/>
        <v>20</v>
      </c>
      <c r="BN9" s="334" t="s">
        <v>153</v>
      </c>
      <c r="BO9" s="335">
        <f t="shared" si="3"/>
        <v>0.83699870633893925</v>
      </c>
      <c r="BP9" s="335">
        <f t="shared" si="4"/>
        <v>4.9641943734015346</v>
      </c>
      <c r="BQ9" s="335">
        <f t="shared" si="5"/>
        <v>7.9925880172946275</v>
      </c>
      <c r="BR9" s="335">
        <f t="shared" si="6"/>
        <v>69.779874457833202</v>
      </c>
      <c r="BS9" s="336">
        <f t="shared" si="7"/>
        <v>18.022284122562677</v>
      </c>
    </row>
    <row r="10" spans="1:71" x14ac:dyDescent="0.2">
      <c r="A10" s="2" t="s">
        <v>154</v>
      </c>
      <c r="B10" s="7" t="s">
        <v>419</v>
      </c>
      <c r="C10" s="7">
        <v>85</v>
      </c>
      <c r="D10" s="7">
        <v>120</v>
      </c>
      <c r="E10" s="4">
        <f t="shared" si="0"/>
        <v>102.5</v>
      </c>
      <c r="F10" s="4">
        <v>52.2</v>
      </c>
      <c r="G10" s="4">
        <v>24.79</v>
      </c>
      <c r="H10" s="4">
        <v>9.57</v>
      </c>
      <c r="I10" s="4">
        <v>5.0999999999999997E-2</v>
      </c>
      <c r="J10" s="4">
        <v>0.28999999999999998</v>
      </c>
      <c r="K10" s="4">
        <v>0.02</v>
      </c>
      <c r="L10" s="4">
        <v>0.06</v>
      </c>
      <c r="M10" s="4">
        <v>0.64</v>
      </c>
      <c r="N10" s="4">
        <v>0.91100000000000003</v>
      </c>
      <c r="O10" s="4">
        <v>7.0000000000000007E-2</v>
      </c>
      <c r="P10" s="4">
        <v>11.76</v>
      </c>
      <c r="Q10" s="4">
        <v>100.4</v>
      </c>
      <c r="R10" s="4">
        <v>26</v>
      </c>
      <c r="S10" s="4">
        <v>2</v>
      </c>
      <c r="T10" s="4">
        <v>160</v>
      </c>
      <c r="U10" s="4">
        <v>40</v>
      </c>
      <c r="V10" s="4">
        <v>10</v>
      </c>
      <c r="W10" s="4" t="s">
        <v>69</v>
      </c>
      <c r="X10" s="4">
        <v>60</v>
      </c>
      <c r="Y10" s="4">
        <v>210</v>
      </c>
      <c r="Z10" s="4">
        <v>25</v>
      </c>
      <c r="AA10" s="4">
        <v>1</v>
      </c>
      <c r="AB10" s="4" t="s">
        <v>71</v>
      </c>
      <c r="AC10" s="4">
        <v>54</v>
      </c>
      <c r="AD10" s="4">
        <v>20</v>
      </c>
      <c r="AE10" s="4">
        <v>4</v>
      </c>
      <c r="AF10" s="4">
        <v>189</v>
      </c>
      <c r="AG10" s="4">
        <v>8</v>
      </c>
      <c r="AH10" s="4" t="s">
        <v>72</v>
      </c>
      <c r="AI10" s="4" t="s">
        <v>74</v>
      </c>
      <c r="AJ10" s="4" t="s">
        <v>73</v>
      </c>
      <c r="AK10" s="4">
        <v>1</v>
      </c>
      <c r="AL10" s="4" t="s">
        <v>74</v>
      </c>
      <c r="AM10" s="4">
        <v>3.3</v>
      </c>
      <c r="AN10" s="4">
        <v>175</v>
      </c>
      <c r="AO10" s="4" t="s">
        <v>75</v>
      </c>
      <c r="AP10" s="4">
        <v>8.4</v>
      </c>
      <c r="AQ10" s="4">
        <v>29.4</v>
      </c>
      <c r="AR10" s="4">
        <v>1.89</v>
      </c>
      <c r="AS10" s="4">
        <v>6.5</v>
      </c>
      <c r="AT10" s="4">
        <v>1.3</v>
      </c>
      <c r="AU10" s="4">
        <v>0.32</v>
      </c>
      <c r="AV10" s="4">
        <v>1.1000000000000001</v>
      </c>
      <c r="AW10" s="4">
        <v>0.2</v>
      </c>
      <c r="AX10" s="4">
        <v>1.2</v>
      </c>
      <c r="AY10" s="4">
        <v>0.3</v>
      </c>
      <c r="AZ10" s="4">
        <v>0.7</v>
      </c>
      <c r="BA10" s="4">
        <v>0.13</v>
      </c>
      <c r="BB10" s="4">
        <v>0.9</v>
      </c>
      <c r="BC10" s="4">
        <v>0.16</v>
      </c>
      <c r="BD10" s="4">
        <v>4.7</v>
      </c>
      <c r="BE10" s="4">
        <v>0.5</v>
      </c>
      <c r="BF10" s="4" t="s">
        <v>68</v>
      </c>
      <c r="BG10" s="4">
        <v>0.2</v>
      </c>
      <c r="BH10" s="4">
        <v>22</v>
      </c>
      <c r="BI10" s="4">
        <v>11.6</v>
      </c>
      <c r="BJ10" s="4">
        <v>2.1</v>
      </c>
      <c r="BK10" s="39">
        <f t="shared" si="1"/>
        <v>98.529411764705884</v>
      </c>
      <c r="BL10" s="39">
        <f t="shared" si="2"/>
        <v>13.333333333333334</v>
      </c>
      <c r="BN10" s="334" t="s">
        <v>154</v>
      </c>
      <c r="BO10" s="335">
        <f t="shared" si="3"/>
        <v>0.77777777777777779</v>
      </c>
      <c r="BP10" s="335">
        <f t="shared" si="4"/>
        <v>3.7854077253218876</v>
      </c>
      <c r="BQ10" s="335">
        <f t="shared" si="5"/>
        <v>5.7142857142857135</v>
      </c>
      <c r="BR10" s="335">
        <f t="shared" si="6"/>
        <v>53.497942386831269</v>
      </c>
      <c r="BS10" s="336">
        <f t="shared" si="7"/>
        <v>15.555555555555555</v>
      </c>
    </row>
    <row r="11" spans="1:71" x14ac:dyDescent="0.2">
      <c r="A11" s="2" t="s">
        <v>155</v>
      </c>
      <c r="B11" s="7" t="s">
        <v>429</v>
      </c>
      <c r="C11" s="7">
        <v>120</v>
      </c>
      <c r="D11" s="7">
        <v>143</v>
      </c>
      <c r="E11" s="4">
        <f t="shared" si="0"/>
        <v>131.5</v>
      </c>
      <c r="F11" s="4">
        <v>58.92</v>
      </c>
      <c r="G11" s="4">
        <v>21.14</v>
      </c>
      <c r="H11" s="4">
        <v>8.51</v>
      </c>
      <c r="I11" s="4">
        <v>4.5999999999999999E-2</v>
      </c>
      <c r="J11" s="4">
        <v>0.28000000000000003</v>
      </c>
      <c r="K11" s="4">
        <v>0.01</v>
      </c>
      <c r="L11" s="4">
        <v>0.08</v>
      </c>
      <c r="M11" s="4">
        <v>0.56000000000000005</v>
      </c>
      <c r="N11" s="4">
        <v>0.76200000000000001</v>
      </c>
      <c r="O11" s="4">
        <v>0.04</v>
      </c>
      <c r="P11" s="4">
        <v>9.9</v>
      </c>
      <c r="Q11" s="4">
        <v>100.3</v>
      </c>
      <c r="R11" s="4">
        <v>23</v>
      </c>
      <c r="S11" s="4">
        <v>1</v>
      </c>
      <c r="T11" s="4">
        <v>140</v>
      </c>
      <c r="U11" s="4">
        <v>30</v>
      </c>
      <c r="V11" s="4">
        <v>9</v>
      </c>
      <c r="W11" s="4" t="s">
        <v>69</v>
      </c>
      <c r="X11" s="4">
        <v>50</v>
      </c>
      <c r="Y11" s="4">
        <v>70</v>
      </c>
      <c r="Z11" s="4">
        <v>21</v>
      </c>
      <c r="AA11" s="4">
        <v>1</v>
      </c>
      <c r="AB11" s="4" t="s">
        <v>71</v>
      </c>
      <c r="AC11" s="4">
        <v>42</v>
      </c>
      <c r="AD11" s="4">
        <v>20</v>
      </c>
      <c r="AE11" s="4">
        <v>3</v>
      </c>
      <c r="AF11" s="4">
        <v>188</v>
      </c>
      <c r="AG11" s="4">
        <v>6</v>
      </c>
      <c r="AH11" s="4" t="s">
        <v>72</v>
      </c>
      <c r="AI11" s="4" t="s">
        <v>74</v>
      </c>
      <c r="AJ11" s="4" t="s">
        <v>73</v>
      </c>
      <c r="AK11" s="4">
        <v>1</v>
      </c>
      <c r="AL11" s="4" t="s">
        <v>74</v>
      </c>
      <c r="AM11" s="4">
        <v>2.5</v>
      </c>
      <c r="AN11" s="4">
        <v>174</v>
      </c>
      <c r="AO11" s="4" t="s">
        <v>75</v>
      </c>
      <c r="AP11" s="4">
        <v>7.3</v>
      </c>
      <c r="AQ11" s="4">
        <v>24.1</v>
      </c>
      <c r="AR11" s="4">
        <v>1.61</v>
      </c>
      <c r="AS11" s="4">
        <v>5.5</v>
      </c>
      <c r="AT11" s="4">
        <v>1.1000000000000001</v>
      </c>
      <c r="AU11" s="4">
        <v>0.28000000000000003</v>
      </c>
      <c r="AV11" s="4">
        <v>0.8</v>
      </c>
      <c r="AW11" s="4">
        <v>0.1</v>
      </c>
      <c r="AX11" s="4">
        <v>0.9</v>
      </c>
      <c r="AY11" s="4">
        <v>0.2</v>
      </c>
      <c r="AZ11" s="4">
        <v>0.6</v>
      </c>
      <c r="BA11" s="4">
        <v>0.1</v>
      </c>
      <c r="BB11" s="4">
        <v>0.7</v>
      </c>
      <c r="BC11" s="4">
        <v>0.13</v>
      </c>
      <c r="BD11" s="4">
        <v>4.5999999999999996</v>
      </c>
      <c r="BE11" s="4">
        <v>0.4</v>
      </c>
      <c r="BF11" s="4" t="s">
        <v>68</v>
      </c>
      <c r="BG11" s="4" t="s">
        <v>79</v>
      </c>
      <c r="BH11" s="4">
        <v>63</v>
      </c>
      <c r="BI11" s="4">
        <v>9.4</v>
      </c>
      <c r="BJ11" s="4">
        <v>1.6</v>
      </c>
      <c r="BK11" s="39">
        <f t="shared" si="1"/>
        <v>98.279869827986971</v>
      </c>
      <c r="BL11" s="39">
        <f t="shared" si="2"/>
        <v>15</v>
      </c>
      <c r="BN11" s="334" t="s">
        <v>155</v>
      </c>
      <c r="BO11" s="335">
        <f t="shared" si="3"/>
        <v>0.76751592356687892</v>
      </c>
      <c r="BP11" s="335">
        <f t="shared" si="4"/>
        <v>3.5970149253731347</v>
      </c>
      <c r="BQ11" s="335">
        <f t="shared" si="5"/>
        <v>5.4096520763187428</v>
      </c>
      <c r="BR11" s="335">
        <f t="shared" si="6"/>
        <v>51.136144438871952</v>
      </c>
      <c r="BS11" s="336">
        <f t="shared" si="7"/>
        <v>14.968944099378882</v>
      </c>
    </row>
    <row r="12" spans="1:71" x14ac:dyDescent="0.2">
      <c r="A12" s="2" t="s">
        <v>156</v>
      </c>
      <c r="B12" s="7" t="s">
        <v>430</v>
      </c>
      <c r="C12" s="7">
        <v>143</v>
      </c>
      <c r="D12" s="7">
        <v>200</v>
      </c>
      <c r="E12" s="4">
        <f t="shared" si="0"/>
        <v>171.5</v>
      </c>
      <c r="F12" s="4">
        <v>69.94</v>
      </c>
      <c r="G12" s="4">
        <v>15.06</v>
      </c>
      <c r="H12" s="4">
        <v>6.86</v>
      </c>
      <c r="I12" s="4">
        <v>4.5999999999999999E-2</v>
      </c>
      <c r="J12" s="4">
        <v>0.24</v>
      </c>
      <c r="K12" s="4">
        <v>0</v>
      </c>
      <c r="L12" s="4">
        <v>0.05</v>
      </c>
      <c r="M12" s="4">
        <v>0.37</v>
      </c>
      <c r="N12" s="4">
        <v>0.54200000000000004</v>
      </c>
      <c r="O12" s="4">
        <v>0.06</v>
      </c>
      <c r="P12" s="4">
        <v>7.1</v>
      </c>
      <c r="Q12" s="4">
        <v>100.3</v>
      </c>
      <c r="R12" s="4">
        <v>20</v>
      </c>
      <c r="S12" s="4">
        <v>1</v>
      </c>
      <c r="T12" s="4">
        <v>119</v>
      </c>
      <c r="U12" s="4">
        <v>30</v>
      </c>
      <c r="V12" s="4">
        <v>8</v>
      </c>
      <c r="W12" s="4" t="s">
        <v>69</v>
      </c>
      <c r="X12" s="4">
        <v>40</v>
      </c>
      <c r="Y12" s="4">
        <v>50</v>
      </c>
      <c r="Z12" s="4">
        <v>15</v>
      </c>
      <c r="AA12" s="4">
        <v>1</v>
      </c>
      <c r="AB12" s="4" t="s">
        <v>71</v>
      </c>
      <c r="AC12" s="4">
        <v>28</v>
      </c>
      <c r="AD12" s="4">
        <v>12</v>
      </c>
      <c r="AE12" s="4">
        <v>4</v>
      </c>
      <c r="AF12" s="4">
        <v>219</v>
      </c>
      <c r="AG12" s="4">
        <v>4</v>
      </c>
      <c r="AH12" s="4" t="s">
        <v>72</v>
      </c>
      <c r="AI12" s="4" t="s">
        <v>74</v>
      </c>
      <c r="AJ12" s="4" t="s">
        <v>73</v>
      </c>
      <c r="AK12" s="4" t="s">
        <v>68</v>
      </c>
      <c r="AL12" s="4" t="s">
        <v>74</v>
      </c>
      <c r="AM12" s="4">
        <v>1.7</v>
      </c>
      <c r="AN12" s="4">
        <v>115</v>
      </c>
      <c r="AO12" s="4" t="s">
        <v>75</v>
      </c>
      <c r="AP12" s="4">
        <v>8.9</v>
      </c>
      <c r="AQ12" s="4">
        <v>35.700000000000003</v>
      </c>
      <c r="AR12" s="4">
        <v>2.2599999999999998</v>
      </c>
      <c r="AS12" s="4">
        <v>8.5</v>
      </c>
      <c r="AT12" s="4">
        <v>1.6</v>
      </c>
      <c r="AU12" s="4">
        <v>0.42</v>
      </c>
      <c r="AV12" s="4">
        <v>1.2</v>
      </c>
      <c r="AW12" s="4">
        <v>0.2</v>
      </c>
      <c r="AX12" s="4">
        <v>1.3</v>
      </c>
      <c r="AY12" s="4">
        <v>0.3</v>
      </c>
      <c r="AZ12" s="4">
        <v>0.8</v>
      </c>
      <c r="BA12" s="4">
        <v>0.13</v>
      </c>
      <c r="BB12" s="4">
        <v>1</v>
      </c>
      <c r="BC12" s="4">
        <v>0.16</v>
      </c>
      <c r="BD12" s="4">
        <v>4.8</v>
      </c>
      <c r="BE12" s="4">
        <v>0.3</v>
      </c>
      <c r="BF12" s="4" t="s">
        <v>68</v>
      </c>
      <c r="BG12" s="4" t="s">
        <v>79</v>
      </c>
      <c r="BH12" s="4">
        <v>14</v>
      </c>
      <c r="BI12" s="4">
        <v>5.8</v>
      </c>
      <c r="BJ12" s="4">
        <v>1</v>
      </c>
      <c r="BK12" s="39">
        <f t="shared" si="1"/>
        <v>98.110749185667743</v>
      </c>
      <c r="BL12" s="39">
        <f t="shared" si="2"/>
        <v>13.333333333333334</v>
      </c>
      <c r="BN12" s="334" t="s">
        <v>156</v>
      </c>
      <c r="BO12" s="335">
        <f t="shared" si="3"/>
        <v>0.80044843049327363</v>
      </c>
      <c r="BP12" s="335">
        <f t="shared" si="4"/>
        <v>4.0722433460076051</v>
      </c>
      <c r="BQ12" s="335">
        <f t="shared" si="5"/>
        <v>6.3978494623655919</v>
      </c>
      <c r="BR12" s="335">
        <f t="shared" si="6"/>
        <v>59.411465267444612</v>
      </c>
      <c r="BS12" s="336">
        <f t="shared" si="7"/>
        <v>15.796460176991154</v>
      </c>
    </row>
    <row r="13" spans="1:71" x14ac:dyDescent="0.2">
      <c r="A13" s="2" t="s">
        <v>157</v>
      </c>
      <c r="B13" s="2" t="s">
        <v>421</v>
      </c>
      <c r="C13" s="7">
        <v>200</v>
      </c>
      <c r="D13" s="7">
        <v>300</v>
      </c>
      <c r="E13" s="4">
        <f t="shared" si="0"/>
        <v>250</v>
      </c>
      <c r="F13" s="4">
        <v>60.5</v>
      </c>
      <c r="G13" s="4">
        <v>19.55</v>
      </c>
      <c r="H13" s="4">
        <v>8.32</v>
      </c>
      <c r="I13" s="4">
        <v>4.2000000000000003E-2</v>
      </c>
      <c r="J13" s="4">
        <v>0.28000000000000003</v>
      </c>
      <c r="K13" s="4">
        <v>0.01</v>
      </c>
      <c r="L13" s="4">
        <v>0.08</v>
      </c>
      <c r="M13" s="4">
        <v>0.46</v>
      </c>
      <c r="N13" s="4">
        <v>0.70199999999999996</v>
      </c>
      <c r="O13" s="4">
        <v>0.05</v>
      </c>
      <c r="P13" s="4">
        <v>9.42</v>
      </c>
      <c r="Q13" s="4">
        <v>99.41</v>
      </c>
      <c r="R13" s="4">
        <v>23</v>
      </c>
      <c r="S13" s="4">
        <v>1</v>
      </c>
      <c r="T13" s="4">
        <v>135</v>
      </c>
      <c r="U13" s="4">
        <v>30</v>
      </c>
      <c r="V13" s="4">
        <v>7</v>
      </c>
      <c r="W13" s="4" t="s">
        <v>69</v>
      </c>
      <c r="X13" s="4">
        <v>50</v>
      </c>
      <c r="Y13" s="4">
        <v>70</v>
      </c>
      <c r="Z13" s="4">
        <v>21</v>
      </c>
      <c r="AA13" s="4">
        <v>1</v>
      </c>
      <c r="AB13" s="4" t="s">
        <v>71</v>
      </c>
      <c r="AC13" s="4">
        <v>36</v>
      </c>
      <c r="AD13" s="4">
        <v>14</v>
      </c>
      <c r="AE13" s="4">
        <v>2</v>
      </c>
      <c r="AF13" s="4">
        <v>183</v>
      </c>
      <c r="AG13" s="4">
        <v>6</v>
      </c>
      <c r="AH13" s="4" t="s">
        <v>72</v>
      </c>
      <c r="AI13" s="4" t="s">
        <v>74</v>
      </c>
      <c r="AJ13" s="4" t="s">
        <v>73</v>
      </c>
      <c r="AK13" s="4">
        <v>1</v>
      </c>
      <c r="AL13" s="4" t="s">
        <v>74</v>
      </c>
      <c r="AM13" s="4">
        <v>2.2000000000000002</v>
      </c>
      <c r="AN13" s="4">
        <v>129</v>
      </c>
      <c r="AO13" s="4" t="s">
        <v>75</v>
      </c>
      <c r="AP13" s="4">
        <v>6.4</v>
      </c>
      <c r="AQ13" s="4">
        <v>30</v>
      </c>
      <c r="AR13" s="4">
        <v>1.43</v>
      </c>
      <c r="AS13" s="4">
        <v>5.0999999999999996</v>
      </c>
      <c r="AT13" s="4">
        <v>1</v>
      </c>
      <c r="AU13" s="4">
        <v>0.27</v>
      </c>
      <c r="AV13" s="4">
        <v>0.7</v>
      </c>
      <c r="AW13" s="4">
        <v>0.1</v>
      </c>
      <c r="AX13" s="4">
        <v>0.9</v>
      </c>
      <c r="AY13" s="4">
        <v>0.2</v>
      </c>
      <c r="AZ13" s="4">
        <v>0.6</v>
      </c>
      <c r="BA13" s="4">
        <v>0.09</v>
      </c>
      <c r="BB13" s="4">
        <v>0.7</v>
      </c>
      <c r="BC13" s="4">
        <v>0.13</v>
      </c>
      <c r="BD13" s="4">
        <v>4.3</v>
      </c>
      <c r="BE13" s="4">
        <v>0.4</v>
      </c>
      <c r="BF13" s="4" t="s">
        <v>68</v>
      </c>
      <c r="BG13" s="4" t="s">
        <v>79</v>
      </c>
      <c r="BH13" s="4">
        <v>59</v>
      </c>
      <c r="BI13" s="4">
        <v>8</v>
      </c>
      <c r="BJ13" s="4">
        <v>1.3</v>
      </c>
      <c r="BK13" s="39">
        <f t="shared" si="1"/>
        <v>98.142570281124492</v>
      </c>
      <c r="BL13" s="39">
        <f t="shared" si="2"/>
        <v>10</v>
      </c>
      <c r="BN13" s="334" t="s">
        <v>157</v>
      </c>
      <c r="BO13" s="335">
        <f t="shared" si="3"/>
        <v>0.82417582417582425</v>
      </c>
      <c r="BP13" s="335">
        <f t="shared" si="4"/>
        <v>5.027932960893855</v>
      </c>
      <c r="BQ13" s="335">
        <f t="shared" si="5"/>
        <v>7.6628352490421454</v>
      </c>
      <c r="BR13" s="335">
        <f t="shared" si="6"/>
        <v>74.820284610494411</v>
      </c>
      <c r="BS13" s="336">
        <f t="shared" si="7"/>
        <v>20.97902097902098</v>
      </c>
    </row>
    <row r="14" spans="1:71" x14ac:dyDescent="0.2">
      <c r="A14" s="2" t="s">
        <v>158</v>
      </c>
      <c r="B14" s="2" t="s">
        <v>421</v>
      </c>
      <c r="C14" s="7">
        <v>300</v>
      </c>
      <c r="D14" s="7">
        <v>400</v>
      </c>
      <c r="E14" s="4">
        <f t="shared" si="0"/>
        <v>350</v>
      </c>
      <c r="F14" s="4">
        <v>65.63</v>
      </c>
      <c r="G14" s="4">
        <v>17.079999999999998</v>
      </c>
      <c r="H14" s="4">
        <v>7.5</v>
      </c>
      <c r="I14" s="4">
        <v>7.2999999999999995E-2</v>
      </c>
      <c r="J14" s="4">
        <v>0.2</v>
      </c>
      <c r="K14" s="4">
        <v>0.01</v>
      </c>
      <c r="L14" s="4">
        <v>7.0000000000000007E-2</v>
      </c>
      <c r="M14" s="4">
        <v>0.53</v>
      </c>
      <c r="N14" s="4">
        <v>0.64100000000000001</v>
      </c>
      <c r="O14" s="4">
        <v>0.05</v>
      </c>
      <c r="P14" s="4">
        <v>8.0399999999999991</v>
      </c>
      <c r="Q14" s="4">
        <v>99.84</v>
      </c>
      <c r="R14" s="4">
        <v>21</v>
      </c>
      <c r="S14" s="4">
        <v>1</v>
      </c>
      <c r="T14" s="4">
        <v>122</v>
      </c>
      <c r="U14" s="4">
        <v>30</v>
      </c>
      <c r="V14" s="4">
        <v>13</v>
      </c>
      <c r="W14" s="4" t="s">
        <v>69</v>
      </c>
      <c r="X14" s="4">
        <v>40</v>
      </c>
      <c r="Y14" s="4">
        <v>60</v>
      </c>
      <c r="Z14" s="4">
        <v>18</v>
      </c>
      <c r="AA14" s="4">
        <v>1</v>
      </c>
      <c r="AB14" s="4" t="s">
        <v>71</v>
      </c>
      <c r="AC14" s="4">
        <v>35</v>
      </c>
      <c r="AD14" s="4">
        <v>23</v>
      </c>
      <c r="AE14" s="4">
        <v>11</v>
      </c>
      <c r="AF14" s="4">
        <v>297</v>
      </c>
      <c r="AG14" s="4">
        <v>5</v>
      </c>
      <c r="AH14" s="4" t="s">
        <v>72</v>
      </c>
      <c r="AI14" s="4" t="s">
        <v>74</v>
      </c>
      <c r="AJ14" s="4" t="s">
        <v>73</v>
      </c>
      <c r="AK14" s="4">
        <v>1</v>
      </c>
      <c r="AL14" s="4" t="s">
        <v>74</v>
      </c>
      <c r="AM14" s="4">
        <v>2</v>
      </c>
      <c r="AN14" s="4">
        <v>189</v>
      </c>
      <c r="AO14" s="4" t="s">
        <v>75</v>
      </c>
      <c r="AP14" s="4">
        <v>15.3</v>
      </c>
      <c r="AQ14" s="4">
        <v>47.1</v>
      </c>
      <c r="AR14" s="4">
        <v>4.57</v>
      </c>
      <c r="AS14" s="4">
        <v>17.7</v>
      </c>
      <c r="AT14" s="4">
        <v>3.7</v>
      </c>
      <c r="AU14" s="4">
        <v>0.94</v>
      </c>
      <c r="AV14" s="4">
        <v>2.7</v>
      </c>
      <c r="AW14" s="4">
        <v>0.4</v>
      </c>
      <c r="AX14" s="4">
        <v>2.6</v>
      </c>
      <c r="AY14" s="4">
        <v>0.5</v>
      </c>
      <c r="AZ14" s="4">
        <v>1.5</v>
      </c>
      <c r="BA14" s="4">
        <v>0.24</v>
      </c>
      <c r="BB14" s="4">
        <v>1.8</v>
      </c>
      <c r="BC14" s="4">
        <v>0.28999999999999998</v>
      </c>
      <c r="BD14" s="4">
        <v>6.8</v>
      </c>
      <c r="BE14" s="4">
        <v>0.4</v>
      </c>
      <c r="BF14" s="4" t="s">
        <v>68</v>
      </c>
      <c r="BG14" s="4" t="s">
        <v>79</v>
      </c>
      <c r="BH14" s="4">
        <v>23</v>
      </c>
      <c r="BI14" s="4">
        <v>7.9</v>
      </c>
      <c r="BJ14" s="4">
        <v>1.5</v>
      </c>
      <c r="BK14" s="39">
        <f t="shared" si="1"/>
        <v>98.387096774193537</v>
      </c>
      <c r="BL14" s="39">
        <f t="shared" si="2"/>
        <v>22</v>
      </c>
      <c r="BN14" s="334" t="s">
        <v>158</v>
      </c>
      <c r="BO14" s="335">
        <f t="shared" si="3"/>
        <v>0.75480769230769229</v>
      </c>
      <c r="BP14" s="335">
        <f t="shared" si="4"/>
        <v>2.9254658385093171</v>
      </c>
      <c r="BQ14" s="335">
        <f t="shared" si="5"/>
        <v>4.7408152994464015</v>
      </c>
      <c r="BR14" s="335">
        <f t="shared" si="6"/>
        <v>39.917356559045047</v>
      </c>
      <c r="BS14" s="336">
        <f t="shared" si="7"/>
        <v>10.306345733041574</v>
      </c>
    </row>
    <row r="15" spans="1:71" x14ac:dyDescent="0.2">
      <c r="A15" s="2" t="s">
        <v>159</v>
      </c>
      <c r="B15" s="2" t="s">
        <v>421</v>
      </c>
      <c r="C15" s="7">
        <v>400</v>
      </c>
      <c r="D15" s="7">
        <v>500</v>
      </c>
      <c r="E15" s="4">
        <f t="shared" si="0"/>
        <v>450</v>
      </c>
      <c r="F15" s="4">
        <v>56.04</v>
      </c>
      <c r="G15" s="4">
        <v>21.58</v>
      </c>
      <c r="H15" s="4">
        <v>10.11</v>
      </c>
      <c r="I15" s="4">
        <v>6.6000000000000003E-2</v>
      </c>
      <c r="J15" s="4">
        <v>0.37</v>
      </c>
      <c r="K15" s="4">
        <v>0.01</v>
      </c>
      <c r="L15" s="4">
        <v>0.1</v>
      </c>
      <c r="M15" s="4">
        <v>0.91</v>
      </c>
      <c r="N15" s="4">
        <v>0.71799999999999997</v>
      </c>
      <c r="O15" s="4">
        <v>0.05</v>
      </c>
      <c r="P15" s="4">
        <v>9.77</v>
      </c>
      <c r="Q15" s="4">
        <v>99.74</v>
      </c>
      <c r="R15" s="4">
        <v>33</v>
      </c>
      <c r="S15" s="4">
        <v>2</v>
      </c>
      <c r="T15" s="4">
        <v>163</v>
      </c>
      <c r="U15" s="4">
        <v>40</v>
      </c>
      <c r="V15" s="4">
        <v>11</v>
      </c>
      <c r="W15" s="4" t="s">
        <v>69</v>
      </c>
      <c r="X15" s="4">
        <v>60</v>
      </c>
      <c r="Y15" s="4">
        <v>70</v>
      </c>
      <c r="Z15" s="4">
        <v>22</v>
      </c>
      <c r="AA15" s="4">
        <v>1</v>
      </c>
      <c r="AB15" s="4" t="s">
        <v>71</v>
      </c>
      <c r="AC15" s="4">
        <v>41</v>
      </c>
      <c r="AD15" s="4">
        <v>26</v>
      </c>
      <c r="AE15" s="4">
        <v>12</v>
      </c>
      <c r="AF15" s="4">
        <v>271</v>
      </c>
      <c r="AG15" s="4">
        <v>5</v>
      </c>
      <c r="AH15" s="4" t="s">
        <v>72</v>
      </c>
      <c r="AI15" s="4" t="s">
        <v>74</v>
      </c>
      <c r="AJ15" s="4" t="s">
        <v>73</v>
      </c>
      <c r="AK15" s="4">
        <v>1</v>
      </c>
      <c r="AL15" s="4" t="s">
        <v>74</v>
      </c>
      <c r="AM15" s="4">
        <v>1.8</v>
      </c>
      <c r="AN15" s="4">
        <v>271</v>
      </c>
      <c r="AO15" s="4" t="s">
        <v>75</v>
      </c>
      <c r="AP15" s="4">
        <v>17.2</v>
      </c>
      <c r="AQ15" s="4">
        <v>36.1</v>
      </c>
      <c r="AR15" s="4">
        <v>5.3</v>
      </c>
      <c r="AS15" s="4">
        <v>21.1</v>
      </c>
      <c r="AT15" s="4">
        <v>4.5</v>
      </c>
      <c r="AU15" s="4">
        <v>1.22</v>
      </c>
      <c r="AV15" s="4">
        <v>3.5</v>
      </c>
      <c r="AW15" s="4">
        <v>0.5</v>
      </c>
      <c r="AX15" s="4">
        <v>3.2</v>
      </c>
      <c r="AY15" s="4">
        <v>0.6</v>
      </c>
      <c r="AZ15" s="4">
        <v>1.8</v>
      </c>
      <c r="BA15" s="4">
        <v>0.28000000000000003</v>
      </c>
      <c r="BB15" s="4">
        <v>2.1</v>
      </c>
      <c r="BC15" s="4">
        <v>0.34</v>
      </c>
      <c r="BD15" s="4">
        <v>6.4</v>
      </c>
      <c r="BE15" s="4">
        <v>0.3</v>
      </c>
      <c r="BF15" s="4" t="s">
        <v>68</v>
      </c>
      <c r="BG15" s="4" t="s">
        <v>79</v>
      </c>
      <c r="BH15" s="4">
        <v>101</v>
      </c>
      <c r="BI15" s="4">
        <v>11</v>
      </c>
      <c r="BJ15" s="4">
        <v>1.8</v>
      </c>
      <c r="BK15" s="39">
        <f t="shared" si="1"/>
        <v>97.824116047144145</v>
      </c>
      <c r="BL15" s="39">
        <f t="shared" si="2"/>
        <v>20</v>
      </c>
      <c r="BN15" s="334" t="s">
        <v>159</v>
      </c>
      <c r="BO15" s="337">
        <f t="shared" si="3"/>
        <v>0.67729831144465302</v>
      </c>
      <c r="BP15" s="337">
        <f t="shared" si="4"/>
        <v>1.9513513513513516</v>
      </c>
      <c r="BQ15" s="337">
        <f t="shared" si="5"/>
        <v>3.2088888888888891</v>
      </c>
      <c r="BR15" s="337">
        <f t="shared" si="6"/>
        <v>27.116767532929874</v>
      </c>
      <c r="BS15" s="338">
        <f t="shared" si="7"/>
        <v>6.8113207547169816</v>
      </c>
    </row>
    <row r="16" spans="1:71" x14ac:dyDescent="0.2">
      <c r="A16" s="2" t="s">
        <v>160</v>
      </c>
      <c r="B16" s="2" t="s">
        <v>421</v>
      </c>
      <c r="C16" s="7">
        <v>500</v>
      </c>
      <c r="D16" s="7">
        <v>600</v>
      </c>
      <c r="E16" s="4">
        <f t="shared" si="0"/>
        <v>550</v>
      </c>
      <c r="F16" s="4">
        <v>60.15</v>
      </c>
      <c r="G16" s="4">
        <v>20.05</v>
      </c>
      <c r="H16" s="4">
        <v>8.1</v>
      </c>
      <c r="I16" s="4">
        <v>0.14799999999999999</v>
      </c>
      <c r="J16" s="4">
        <v>0.96</v>
      </c>
      <c r="K16" s="4">
        <v>0.02</v>
      </c>
      <c r="L16" s="4">
        <v>0.12</v>
      </c>
      <c r="M16" s="4">
        <v>2.2599999999999998</v>
      </c>
      <c r="N16" s="4">
        <v>0.60399999999999998</v>
      </c>
      <c r="O16" s="4">
        <v>0.03</v>
      </c>
      <c r="P16" s="4">
        <v>8.01</v>
      </c>
      <c r="Q16" s="4">
        <v>100.4</v>
      </c>
      <c r="R16" s="4">
        <v>26</v>
      </c>
      <c r="S16" s="4">
        <v>1</v>
      </c>
      <c r="T16" s="4">
        <v>117</v>
      </c>
      <c r="U16" s="4">
        <v>30</v>
      </c>
      <c r="V16" s="4">
        <v>32</v>
      </c>
      <c r="W16" s="4" t="s">
        <v>69</v>
      </c>
      <c r="X16" s="4">
        <v>40</v>
      </c>
      <c r="Y16" s="4">
        <v>90</v>
      </c>
      <c r="Z16" s="4">
        <v>19</v>
      </c>
      <c r="AA16" s="4">
        <v>2</v>
      </c>
      <c r="AB16" s="4" t="s">
        <v>71</v>
      </c>
      <c r="AC16" s="4">
        <v>89</v>
      </c>
      <c r="AD16" s="4">
        <v>95</v>
      </c>
      <c r="AE16" s="4">
        <v>11</v>
      </c>
      <c r="AF16" s="4">
        <v>206</v>
      </c>
      <c r="AG16" s="4">
        <v>3</v>
      </c>
      <c r="AH16" s="4" t="s">
        <v>72</v>
      </c>
      <c r="AI16" s="4" t="s">
        <v>74</v>
      </c>
      <c r="AJ16" s="4" t="s">
        <v>73</v>
      </c>
      <c r="AK16" s="4" t="s">
        <v>68</v>
      </c>
      <c r="AL16" s="4" t="s">
        <v>74</v>
      </c>
      <c r="AM16" s="4">
        <v>1.8</v>
      </c>
      <c r="AN16" s="4">
        <v>1169</v>
      </c>
      <c r="AO16" s="4" t="s">
        <v>75</v>
      </c>
      <c r="AP16" s="4">
        <v>20.3</v>
      </c>
      <c r="AQ16" s="4">
        <v>81.8</v>
      </c>
      <c r="AR16" s="4">
        <v>5.42</v>
      </c>
      <c r="AS16" s="4">
        <v>20.7</v>
      </c>
      <c r="AT16" s="4">
        <v>4.3</v>
      </c>
      <c r="AU16" s="4">
        <v>1.17</v>
      </c>
      <c r="AV16" s="4">
        <v>3.3</v>
      </c>
      <c r="AW16" s="4">
        <v>0.5</v>
      </c>
      <c r="AX16" s="4">
        <v>2.7</v>
      </c>
      <c r="AY16" s="4">
        <v>0.5</v>
      </c>
      <c r="AZ16" s="4">
        <v>1.7</v>
      </c>
      <c r="BA16" s="4">
        <v>0.26</v>
      </c>
      <c r="BB16" s="4">
        <v>1.8</v>
      </c>
      <c r="BC16" s="4">
        <v>0.3</v>
      </c>
      <c r="BD16" s="4">
        <v>4.8</v>
      </c>
      <c r="BE16" s="4">
        <v>0.1</v>
      </c>
      <c r="BF16" s="4" t="s">
        <v>68</v>
      </c>
      <c r="BG16" s="4" t="s">
        <v>79</v>
      </c>
      <c r="BH16" s="4">
        <v>16</v>
      </c>
      <c r="BI16" s="4">
        <v>14.8</v>
      </c>
      <c r="BJ16" s="4">
        <v>0.9</v>
      </c>
      <c r="BK16" s="39">
        <f t="shared" si="1"/>
        <v>94.799054373522452</v>
      </c>
      <c r="BL16" s="39">
        <f t="shared" si="2"/>
        <v>22</v>
      </c>
      <c r="BN16" s="334" t="s">
        <v>160</v>
      </c>
      <c r="BO16" s="335">
        <f t="shared" si="3"/>
        <v>0.80117531831537714</v>
      </c>
      <c r="BP16" s="335">
        <f t="shared" si="4"/>
        <v>4.0032626427406202</v>
      </c>
      <c r="BQ16" s="335">
        <f t="shared" si="5"/>
        <v>6.360808709175739</v>
      </c>
      <c r="BR16" s="335">
        <f t="shared" si="6"/>
        <v>57.640146512166218</v>
      </c>
      <c r="BS16" s="336">
        <f t="shared" si="7"/>
        <v>15.092250922509225</v>
      </c>
    </row>
    <row r="17" spans="1:71" x14ac:dyDescent="0.2">
      <c r="A17" s="2" t="s">
        <v>161</v>
      </c>
      <c r="B17" s="2" t="s">
        <v>421</v>
      </c>
      <c r="C17" s="7">
        <v>600</v>
      </c>
      <c r="D17" s="7">
        <v>700</v>
      </c>
      <c r="E17" s="4">
        <f t="shared" si="0"/>
        <v>650</v>
      </c>
      <c r="F17" s="4">
        <v>55.89</v>
      </c>
      <c r="G17" s="4">
        <v>20.94</v>
      </c>
      <c r="H17" s="4">
        <v>9.8000000000000007</v>
      </c>
      <c r="I17" s="4">
        <v>0.159</v>
      </c>
      <c r="J17" s="4">
        <v>1.27</v>
      </c>
      <c r="K17" s="4">
        <v>0.08</v>
      </c>
      <c r="L17" s="4">
        <v>0.09</v>
      </c>
      <c r="M17" s="4">
        <v>0.96</v>
      </c>
      <c r="N17" s="4">
        <v>0.71</v>
      </c>
      <c r="O17" s="4">
        <v>0.03</v>
      </c>
      <c r="P17" s="4">
        <v>9.4</v>
      </c>
      <c r="Q17" s="4">
        <v>99.33</v>
      </c>
      <c r="R17" s="4">
        <v>30</v>
      </c>
      <c r="S17" s="4">
        <v>1</v>
      </c>
      <c r="T17" s="4">
        <v>151</v>
      </c>
      <c r="U17" s="4">
        <v>20</v>
      </c>
      <c r="V17" s="4">
        <v>27</v>
      </c>
      <c r="W17" s="4" t="s">
        <v>69</v>
      </c>
      <c r="X17" s="4">
        <v>60</v>
      </c>
      <c r="Y17" s="4">
        <v>140</v>
      </c>
      <c r="Z17" s="4">
        <v>19</v>
      </c>
      <c r="AA17" s="4">
        <v>2</v>
      </c>
      <c r="AB17" s="4" t="s">
        <v>71</v>
      </c>
      <c r="AC17" s="4">
        <v>52</v>
      </c>
      <c r="AD17" s="4">
        <v>4</v>
      </c>
      <c r="AE17" s="4">
        <v>19</v>
      </c>
      <c r="AF17" s="4">
        <v>160</v>
      </c>
      <c r="AG17" s="4">
        <v>3</v>
      </c>
      <c r="AH17" s="4" t="s">
        <v>72</v>
      </c>
      <c r="AI17" s="4" t="s">
        <v>74</v>
      </c>
      <c r="AJ17" s="4" t="s">
        <v>73</v>
      </c>
      <c r="AK17" s="4" t="s">
        <v>68</v>
      </c>
      <c r="AL17" s="4" t="s">
        <v>74</v>
      </c>
      <c r="AM17" s="4">
        <v>2.2999999999999998</v>
      </c>
      <c r="AN17" s="4">
        <v>262</v>
      </c>
      <c r="AO17" s="4" t="s">
        <v>75</v>
      </c>
      <c r="AP17" s="4">
        <v>22</v>
      </c>
      <c r="AQ17" s="4">
        <v>26.7</v>
      </c>
      <c r="AR17" s="4">
        <v>5.54</v>
      </c>
      <c r="AS17" s="4">
        <v>21.7</v>
      </c>
      <c r="AT17" s="4">
        <v>4.8</v>
      </c>
      <c r="AU17" s="4">
        <v>1.36</v>
      </c>
      <c r="AV17" s="4">
        <v>4.4000000000000004</v>
      </c>
      <c r="AW17" s="4">
        <v>0.7</v>
      </c>
      <c r="AX17" s="4">
        <v>3.8</v>
      </c>
      <c r="AY17" s="4">
        <v>0.8</v>
      </c>
      <c r="AZ17" s="4">
        <v>2.2999999999999998</v>
      </c>
      <c r="BA17" s="4">
        <v>0.34</v>
      </c>
      <c r="BB17" s="4">
        <v>2.4</v>
      </c>
      <c r="BC17" s="4">
        <v>0.38</v>
      </c>
      <c r="BD17" s="4">
        <v>3.7</v>
      </c>
      <c r="BE17" s="4">
        <v>0.2</v>
      </c>
      <c r="BF17" s="4" t="s">
        <v>68</v>
      </c>
      <c r="BG17" s="4" t="s">
        <v>79</v>
      </c>
      <c r="BH17" s="4">
        <v>42</v>
      </c>
      <c r="BI17" s="4">
        <v>2.5</v>
      </c>
      <c r="BJ17" s="4">
        <v>0.6</v>
      </c>
      <c r="BK17" s="39">
        <f t="shared" si="1"/>
        <v>93.565683646112603</v>
      </c>
      <c r="BL17" s="39">
        <f t="shared" si="2"/>
        <v>23.75</v>
      </c>
      <c r="BN17" s="334" t="s">
        <v>161</v>
      </c>
      <c r="BO17" s="337">
        <f t="shared" si="3"/>
        <v>0.54825462012320325</v>
      </c>
      <c r="BP17" s="337">
        <f t="shared" si="4"/>
        <v>1.2191780821917806</v>
      </c>
      <c r="BQ17" s="337">
        <f t="shared" si="5"/>
        <v>1.9389978213507626</v>
      </c>
      <c r="BR17" s="337">
        <f t="shared" si="6"/>
        <v>18.877803698731899</v>
      </c>
      <c r="BS17" s="338">
        <f t="shared" si="7"/>
        <v>4.8194945848375452</v>
      </c>
    </row>
    <row r="18" spans="1:71" x14ac:dyDescent="0.2">
      <c r="A18" s="2" t="s">
        <v>162</v>
      </c>
      <c r="B18" s="2" t="s">
        <v>421</v>
      </c>
      <c r="C18" s="7">
        <v>700</v>
      </c>
      <c r="D18" s="7">
        <v>800</v>
      </c>
      <c r="E18" s="4">
        <f t="shared" si="0"/>
        <v>750</v>
      </c>
      <c r="F18" s="4">
        <v>51.7</v>
      </c>
      <c r="G18" s="4">
        <v>18.829999999999998</v>
      </c>
      <c r="H18" s="4">
        <v>14.8</v>
      </c>
      <c r="I18" s="4">
        <v>0.27500000000000002</v>
      </c>
      <c r="J18" s="4">
        <v>2.42</v>
      </c>
      <c r="K18" s="4">
        <v>0.63</v>
      </c>
      <c r="L18" s="4">
        <v>0.12</v>
      </c>
      <c r="M18" s="4">
        <v>1.42</v>
      </c>
      <c r="N18" s="4">
        <v>1.0640000000000001</v>
      </c>
      <c r="O18" s="4">
        <v>0.06</v>
      </c>
      <c r="P18" s="4">
        <v>9.19</v>
      </c>
      <c r="Q18" s="4">
        <v>100.5</v>
      </c>
      <c r="R18" s="4">
        <v>47</v>
      </c>
      <c r="S18" s="4">
        <v>2</v>
      </c>
      <c r="T18" s="4">
        <v>258</v>
      </c>
      <c r="U18" s="4">
        <v>40</v>
      </c>
      <c r="V18" s="4">
        <v>40</v>
      </c>
      <c r="W18" s="4">
        <v>20</v>
      </c>
      <c r="X18" s="4">
        <v>80</v>
      </c>
      <c r="Y18" s="4">
        <v>210</v>
      </c>
      <c r="Z18" s="4">
        <v>20</v>
      </c>
      <c r="AA18" s="4">
        <v>2</v>
      </c>
      <c r="AB18" s="4" t="s">
        <v>71</v>
      </c>
      <c r="AC18" s="4">
        <v>75</v>
      </c>
      <c r="AD18" s="4">
        <v>9</v>
      </c>
      <c r="AE18" s="4">
        <v>36</v>
      </c>
      <c r="AF18" s="4">
        <v>155</v>
      </c>
      <c r="AG18" s="4">
        <v>4</v>
      </c>
      <c r="AH18" s="4" t="s">
        <v>72</v>
      </c>
      <c r="AI18" s="4" t="s">
        <v>74</v>
      </c>
      <c r="AJ18" s="4" t="s">
        <v>73</v>
      </c>
      <c r="AK18" s="4">
        <v>1</v>
      </c>
      <c r="AL18" s="4" t="s">
        <v>74</v>
      </c>
      <c r="AM18" s="4">
        <v>3.3</v>
      </c>
      <c r="AN18" s="4">
        <v>400</v>
      </c>
      <c r="AO18" s="4" t="s">
        <v>75</v>
      </c>
      <c r="AP18" s="4">
        <v>29.4</v>
      </c>
      <c r="AQ18" s="4">
        <v>34.6</v>
      </c>
      <c r="AR18" s="4">
        <v>7.32</v>
      </c>
      <c r="AS18" s="4">
        <v>28.9</v>
      </c>
      <c r="AT18" s="4">
        <v>6.9</v>
      </c>
      <c r="AU18" s="4">
        <v>2.14</v>
      </c>
      <c r="AV18" s="4">
        <v>7.7</v>
      </c>
      <c r="AW18" s="4">
        <v>1.2</v>
      </c>
      <c r="AX18" s="4">
        <v>7.2</v>
      </c>
      <c r="AY18" s="4">
        <v>1.5</v>
      </c>
      <c r="AZ18" s="4">
        <v>4.3</v>
      </c>
      <c r="BA18" s="4">
        <v>0.62</v>
      </c>
      <c r="BB18" s="4">
        <v>4.2</v>
      </c>
      <c r="BC18" s="4">
        <v>0.64</v>
      </c>
      <c r="BD18" s="4">
        <v>3.9</v>
      </c>
      <c r="BE18" s="4">
        <v>0.2</v>
      </c>
      <c r="BF18" s="4" t="s">
        <v>68</v>
      </c>
      <c r="BG18" s="4" t="s">
        <v>79</v>
      </c>
      <c r="BH18" s="4">
        <v>10</v>
      </c>
      <c r="BI18" s="4">
        <v>2.4</v>
      </c>
      <c r="BJ18" s="4">
        <v>0.7</v>
      </c>
      <c r="BK18" s="39">
        <f t="shared" si="1"/>
        <v>85.590909090909079</v>
      </c>
      <c r="BL18" s="39">
        <f t="shared" si="2"/>
        <v>24</v>
      </c>
      <c r="BN18" s="334" t="s">
        <v>162</v>
      </c>
      <c r="BO18" s="337">
        <f t="shared" si="3"/>
        <v>0.54062500000000002</v>
      </c>
      <c r="BP18" s="337">
        <f t="shared" si="4"/>
        <v>1.1835803876852911</v>
      </c>
      <c r="BQ18" s="337">
        <f t="shared" si="5"/>
        <v>1.8845315904139435</v>
      </c>
      <c r="BR18" s="337">
        <f t="shared" si="6"/>
        <v>18.661724745438796</v>
      </c>
      <c r="BS18" s="338">
        <f t="shared" si="7"/>
        <v>4.7267759562841531</v>
      </c>
    </row>
    <row r="19" spans="1:71" x14ac:dyDescent="0.2">
      <c r="A19" s="2" t="s">
        <v>454</v>
      </c>
      <c r="B19" s="2" t="s">
        <v>470</v>
      </c>
      <c r="C19" s="2"/>
      <c r="D19" s="2"/>
      <c r="E19" s="2">
        <v>1000</v>
      </c>
      <c r="F19" s="4">
        <v>76.819999999999993</v>
      </c>
      <c r="G19" s="4">
        <v>13.74</v>
      </c>
      <c r="H19" s="4">
        <v>1.01</v>
      </c>
      <c r="I19" s="4">
        <v>1.6E-2</v>
      </c>
      <c r="J19" s="4">
        <v>0.09</v>
      </c>
      <c r="K19" s="4">
        <v>3.37</v>
      </c>
      <c r="L19" s="4">
        <v>3.91</v>
      </c>
      <c r="M19" s="4">
        <v>0.92</v>
      </c>
      <c r="N19" s="4">
        <v>2.7E-2</v>
      </c>
      <c r="O19" s="4" t="s">
        <v>94</v>
      </c>
      <c r="P19" s="4">
        <v>0.89</v>
      </c>
      <c r="Q19" s="4">
        <v>100.8</v>
      </c>
      <c r="R19" s="4" t="s">
        <v>68</v>
      </c>
      <c r="S19" s="4">
        <v>1</v>
      </c>
      <c r="T19" s="4">
        <v>7</v>
      </c>
      <c r="U19" s="4" t="s">
        <v>69</v>
      </c>
      <c r="V19" s="4">
        <v>3</v>
      </c>
      <c r="W19" s="4" t="s">
        <v>69</v>
      </c>
      <c r="X19" s="4">
        <v>60</v>
      </c>
      <c r="Y19" s="4" t="s">
        <v>70</v>
      </c>
      <c r="Z19" s="4">
        <v>11</v>
      </c>
      <c r="AA19" s="4" t="s">
        <v>68</v>
      </c>
      <c r="AB19" s="4" t="s">
        <v>71</v>
      </c>
      <c r="AC19" s="4">
        <v>25</v>
      </c>
      <c r="AD19" s="4">
        <v>431</v>
      </c>
      <c r="AE19" s="4">
        <v>2</v>
      </c>
      <c r="AF19" s="4">
        <v>59</v>
      </c>
      <c r="AG19" s="4" t="s">
        <v>68</v>
      </c>
      <c r="AH19" s="4" t="s">
        <v>72</v>
      </c>
      <c r="AI19" s="4" t="s">
        <v>74</v>
      </c>
      <c r="AJ19" s="4" t="s">
        <v>73</v>
      </c>
      <c r="AK19" s="4" t="s">
        <v>68</v>
      </c>
      <c r="AL19" s="4" t="s">
        <v>74</v>
      </c>
      <c r="AM19" s="4" t="s">
        <v>74</v>
      </c>
      <c r="AN19" s="4">
        <v>113</v>
      </c>
      <c r="AO19" s="4" t="s">
        <v>75</v>
      </c>
      <c r="AP19" s="4">
        <v>2.5</v>
      </c>
      <c r="AQ19" s="4">
        <v>4.0999999999999996</v>
      </c>
      <c r="AR19" s="4">
        <v>0.4</v>
      </c>
      <c r="AS19" s="4">
        <v>1.4</v>
      </c>
      <c r="AT19" s="4">
        <v>0.2</v>
      </c>
      <c r="AU19" s="4">
        <v>0.37</v>
      </c>
      <c r="AV19" s="4">
        <v>0.2</v>
      </c>
      <c r="AW19" s="4">
        <v>0</v>
      </c>
      <c r="AX19" s="4">
        <v>0.2</v>
      </c>
      <c r="AY19" s="4">
        <v>0</v>
      </c>
      <c r="AZ19" s="4">
        <v>0.1</v>
      </c>
      <c r="BA19" s="4">
        <v>0</v>
      </c>
      <c r="BB19" s="4">
        <v>0.3</v>
      </c>
      <c r="BC19" s="4">
        <v>0.05</v>
      </c>
      <c r="BD19" s="4">
        <v>2</v>
      </c>
      <c r="BE19" s="4" t="s">
        <v>79</v>
      </c>
      <c r="BF19" s="4" t="s">
        <v>68</v>
      </c>
      <c r="BG19" s="4">
        <v>0.1</v>
      </c>
      <c r="BH19" s="4">
        <v>6</v>
      </c>
      <c r="BI19" s="4">
        <v>0.7</v>
      </c>
      <c r="BJ19" s="4">
        <v>0.3</v>
      </c>
      <c r="BK19" s="39">
        <f t="shared" si="1"/>
        <v>65.087636191378493</v>
      </c>
      <c r="BL19" s="39"/>
      <c r="BN19" s="331"/>
      <c r="BO19" s="339">
        <f t="shared" si="3"/>
        <v>0.62121212121212122</v>
      </c>
      <c r="BP19" s="339">
        <f t="shared" si="4"/>
        <v>1.9218749999999998</v>
      </c>
      <c r="BQ19" s="339">
        <f t="shared" si="5"/>
        <v>2.8275862068965516</v>
      </c>
      <c r="BR19" s="339">
        <f t="shared" si="6"/>
        <v>35.874999999999986</v>
      </c>
      <c r="BS19" s="340">
        <f t="shared" si="7"/>
        <v>10.249999999999998</v>
      </c>
    </row>
    <row r="20" spans="1:71" x14ac:dyDescent="0.2">
      <c r="A20" s="2" t="s">
        <v>455</v>
      </c>
      <c r="B20" s="2" t="s">
        <v>470</v>
      </c>
      <c r="C20" s="2"/>
      <c r="D20" s="2"/>
      <c r="E20" s="2">
        <v>1500</v>
      </c>
      <c r="F20" s="4">
        <v>69.12</v>
      </c>
      <c r="G20" s="4">
        <v>15.87</v>
      </c>
      <c r="H20" s="4">
        <v>2.4500000000000002</v>
      </c>
      <c r="I20" s="4">
        <v>6.2E-2</v>
      </c>
      <c r="J20" s="4">
        <v>1.1100000000000001</v>
      </c>
      <c r="K20" s="4">
        <v>2.27</v>
      </c>
      <c r="L20" s="4">
        <v>4.8</v>
      </c>
      <c r="M20" s="4">
        <v>3.17</v>
      </c>
      <c r="N20" s="4">
        <v>0.25700000000000001</v>
      </c>
      <c r="O20" s="4">
        <v>0.06</v>
      </c>
      <c r="P20" s="4">
        <v>0.37</v>
      </c>
      <c r="Q20" s="4">
        <v>99.53</v>
      </c>
      <c r="R20" s="4">
        <v>4</v>
      </c>
      <c r="S20" s="4">
        <v>2</v>
      </c>
      <c r="T20" s="4">
        <v>25</v>
      </c>
      <c r="U20" s="4">
        <v>190</v>
      </c>
      <c r="V20" s="4">
        <v>4</v>
      </c>
      <c r="W20" s="4">
        <v>40</v>
      </c>
      <c r="X20" s="4">
        <v>30</v>
      </c>
      <c r="Y20" s="4">
        <v>50</v>
      </c>
      <c r="Z20" s="4">
        <v>16</v>
      </c>
      <c r="AA20" s="4">
        <v>1</v>
      </c>
      <c r="AB20" s="4" t="s">
        <v>71</v>
      </c>
      <c r="AC20" s="4">
        <v>95</v>
      </c>
      <c r="AD20" s="4">
        <v>452</v>
      </c>
      <c r="AE20" s="4">
        <v>14</v>
      </c>
      <c r="AF20" s="4">
        <v>157</v>
      </c>
      <c r="AG20" s="4">
        <v>4</v>
      </c>
      <c r="AH20" s="4">
        <v>4</v>
      </c>
      <c r="AI20" s="4" t="s">
        <v>74</v>
      </c>
      <c r="AJ20" s="4" t="s">
        <v>73</v>
      </c>
      <c r="AK20" s="4">
        <v>1</v>
      </c>
      <c r="AL20" s="4" t="s">
        <v>74</v>
      </c>
      <c r="AM20" s="4">
        <v>1.8</v>
      </c>
      <c r="AN20" s="4">
        <v>667</v>
      </c>
      <c r="AO20" s="4" t="s">
        <v>75</v>
      </c>
      <c r="AP20" s="4">
        <v>15.6</v>
      </c>
      <c r="AQ20" s="4">
        <v>32.700000000000003</v>
      </c>
      <c r="AR20" s="4">
        <v>3.6</v>
      </c>
      <c r="AS20" s="4">
        <v>13.5</v>
      </c>
      <c r="AT20" s="4">
        <v>2.5</v>
      </c>
      <c r="AU20" s="4">
        <v>0.63</v>
      </c>
      <c r="AV20" s="4">
        <v>2.2999999999999998</v>
      </c>
      <c r="AW20" s="4">
        <v>0.4</v>
      </c>
      <c r="AX20" s="4">
        <v>2.4</v>
      </c>
      <c r="AY20" s="4">
        <v>0.5</v>
      </c>
      <c r="AZ20" s="4">
        <v>1.6</v>
      </c>
      <c r="BA20" s="4">
        <v>0.28000000000000003</v>
      </c>
      <c r="BB20" s="4">
        <v>2</v>
      </c>
      <c r="BC20" s="4">
        <v>0.33</v>
      </c>
      <c r="BD20" s="4">
        <v>4.7</v>
      </c>
      <c r="BE20" s="4">
        <v>0.6</v>
      </c>
      <c r="BF20" s="4" t="s">
        <v>68</v>
      </c>
      <c r="BG20" s="4">
        <v>0.3</v>
      </c>
      <c r="BH20" s="4">
        <v>15</v>
      </c>
      <c r="BI20" s="4">
        <v>5.9</v>
      </c>
      <c r="BJ20" s="4">
        <v>1.6</v>
      </c>
      <c r="BK20" s="39">
        <f t="shared" si="1"/>
        <v>65.987525987525984</v>
      </c>
      <c r="BL20" s="39"/>
      <c r="BN20" s="331"/>
      <c r="BO20" s="339">
        <f t="shared" si="3"/>
        <v>0.67701863354037262</v>
      </c>
      <c r="BP20" s="339">
        <f t="shared" si="4"/>
        <v>2.1946308724832213</v>
      </c>
      <c r="BQ20" s="339">
        <f t="shared" si="5"/>
        <v>3.4062500000000004</v>
      </c>
      <c r="BR20" s="339">
        <f t="shared" si="6"/>
        <v>34.0625</v>
      </c>
      <c r="BS20" s="340">
        <f t="shared" si="7"/>
        <v>9.0833333333333339</v>
      </c>
    </row>
    <row r="21" spans="1:71" x14ac:dyDescent="0.2">
      <c r="BN21" s="331"/>
      <c r="BO21" s="21"/>
      <c r="BP21" s="21"/>
      <c r="BQ21" s="21"/>
      <c r="BR21" s="21"/>
      <c r="BS21" s="332"/>
    </row>
    <row r="22" spans="1:71" x14ac:dyDescent="0.2">
      <c r="A22" s="7" t="s">
        <v>497</v>
      </c>
      <c r="BH22" t="s">
        <v>648</v>
      </c>
      <c r="BN22" s="341" t="s">
        <v>652</v>
      </c>
      <c r="BO22" s="21"/>
      <c r="BP22" s="21"/>
      <c r="BQ22" s="21"/>
      <c r="BR22" s="21"/>
      <c r="BS22" s="332"/>
    </row>
    <row r="23" spans="1:71" x14ac:dyDescent="0.2">
      <c r="AE23" s="260" t="s">
        <v>660</v>
      </c>
      <c r="AG23" s="260" t="s">
        <v>661</v>
      </c>
      <c r="AM23" s="260" t="s">
        <v>657</v>
      </c>
      <c r="AN23" s="260" t="s">
        <v>28</v>
      </c>
      <c r="AO23" s="4" t="s">
        <v>659</v>
      </c>
      <c r="AP23" t="str">
        <f>AP3</f>
        <v>La</v>
      </c>
      <c r="AQ23" t="str">
        <f t="shared" ref="AQ23:BC23" si="8">AQ3</f>
        <v>Ce</v>
      </c>
      <c r="AR23" t="str">
        <f t="shared" si="8"/>
        <v>Pr</v>
      </c>
      <c r="AS23" t="str">
        <f t="shared" si="8"/>
        <v>Nd</v>
      </c>
      <c r="AT23" t="str">
        <f t="shared" si="8"/>
        <v>Sm</v>
      </c>
      <c r="AU23" t="str">
        <f t="shared" si="8"/>
        <v>Eu</v>
      </c>
      <c r="AV23" t="str">
        <f t="shared" si="8"/>
        <v>Gd</v>
      </c>
      <c r="AW23" t="str">
        <f t="shared" si="8"/>
        <v>Tb</v>
      </c>
      <c r="AX23" t="str">
        <f t="shared" si="8"/>
        <v>Dy</v>
      </c>
      <c r="AY23" t="str">
        <f t="shared" si="8"/>
        <v>Ho</v>
      </c>
      <c r="AZ23" t="str">
        <f t="shared" si="8"/>
        <v>Er</v>
      </c>
      <c r="BA23" t="str">
        <f t="shared" si="8"/>
        <v>Tm</v>
      </c>
      <c r="BB23" t="str">
        <f t="shared" si="8"/>
        <v>Yb</v>
      </c>
      <c r="BC23" t="str">
        <f t="shared" si="8"/>
        <v>Lu</v>
      </c>
      <c r="BE23" t="s">
        <v>647</v>
      </c>
      <c r="BF23" t="s">
        <v>626</v>
      </c>
      <c r="BG23" s="260" t="s">
        <v>657</v>
      </c>
      <c r="BH23" t="s">
        <v>646</v>
      </c>
      <c r="BI23" t="s">
        <v>646</v>
      </c>
      <c r="BK23" s="260" t="s">
        <v>655</v>
      </c>
      <c r="BL23" s="260" t="s">
        <v>656</v>
      </c>
      <c r="BM23" s="260" t="s">
        <v>658</v>
      </c>
      <c r="BN23" s="331"/>
      <c r="BO23" s="335" t="s">
        <v>627</v>
      </c>
      <c r="BP23" s="350" t="s">
        <v>648</v>
      </c>
      <c r="BQ23" s="348" t="s">
        <v>649</v>
      </c>
      <c r="BR23" s="348" t="s">
        <v>650</v>
      </c>
      <c r="BS23" s="349" t="s">
        <v>643</v>
      </c>
    </row>
    <row r="24" spans="1:71" x14ac:dyDescent="0.2">
      <c r="AE24" s="352">
        <v>1.56</v>
      </c>
      <c r="AG24" s="351">
        <v>5.5599999999999997E-2</v>
      </c>
      <c r="AO24" s="18" t="s">
        <v>440</v>
      </c>
      <c r="AP24" s="18">
        <v>0.36699999999999999</v>
      </c>
      <c r="AQ24" s="18">
        <v>0.95699999999999996</v>
      </c>
      <c r="AR24" s="18">
        <v>0.13700000000000001</v>
      </c>
      <c r="AS24" s="18">
        <v>0.71099999999999997</v>
      </c>
      <c r="AT24" s="18">
        <v>0.23100000000000001</v>
      </c>
      <c r="AU24" s="18">
        <v>8.6999999999999994E-2</v>
      </c>
      <c r="AV24" s="18">
        <v>0.30599999999999999</v>
      </c>
      <c r="AW24" s="18">
        <v>5.8000000000000003E-2</v>
      </c>
      <c r="AX24" s="18">
        <v>0.38100000000000001</v>
      </c>
      <c r="AY24" s="18">
        <v>8.5000000000000006E-2</v>
      </c>
      <c r="AZ24" s="18">
        <v>0.249</v>
      </c>
      <c r="BA24" s="18">
        <v>3.5999999999999997E-2</v>
      </c>
      <c r="BB24" s="18">
        <v>0.248</v>
      </c>
      <c r="BC24" s="18">
        <v>3.7999999999999999E-2</v>
      </c>
      <c r="BD24" s="16" t="s">
        <v>441</v>
      </c>
      <c r="BE24" s="257">
        <f>AQ24/(AQ24+AP24)</f>
        <v>0.72280966767371602</v>
      </c>
      <c r="BH24" s="324">
        <v>1.9868512110726646</v>
      </c>
      <c r="BI24" s="324">
        <v>36.252703926687609</v>
      </c>
      <c r="BK24" s="324">
        <f>AU24/(0.67*AT24+0.33*AW24)</f>
        <v>0.50025875452820423</v>
      </c>
      <c r="BL24" s="324">
        <f>2*AU24/(AT24+AV24)</f>
        <v>0.32402234636871502</v>
      </c>
      <c r="BM24" s="324">
        <f>AU24/(AT24*AV24)^0.5</f>
        <v>0.32722957585537626</v>
      </c>
      <c r="BN24" s="334" t="s">
        <v>651</v>
      </c>
      <c r="BO24" s="333">
        <f>AQ24/(AQ24+AP24)</f>
        <v>0.72280966767371602</v>
      </c>
      <c r="BP24" s="333">
        <f>3*AQ24/(2*AP24+AS24)</f>
        <v>1.9868512110726646</v>
      </c>
      <c r="BQ24" s="333">
        <f>2*AQ24/(AP24+AR24)</f>
        <v>3.7976190476190474</v>
      </c>
      <c r="BR24" s="333">
        <f>AQ24/(AR24^2/AS24)</f>
        <v>36.252703926687609</v>
      </c>
      <c r="BS24" s="342">
        <f>AQ24/AR24</f>
        <v>6.985401459854014</v>
      </c>
    </row>
    <row r="25" spans="1:71" x14ac:dyDescent="0.2">
      <c r="AE25" s="257">
        <f t="shared" ref="AE25:AE36" si="9">AE7/AE$24</f>
        <v>35.256410256410255</v>
      </c>
      <c r="AG25">
        <f>AY7/AG$24</f>
        <v>41.366906474820141</v>
      </c>
      <c r="AM25">
        <f>AE25/AG25</f>
        <v>0.85228539576365669</v>
      </c>
      <c r="AN25" s="4">
        <v>55</v>
      </c>
      <c r="AO25" s="25">
        <f t="shared" ref="AO25:AO36" si="10">E7</f>
        <v>5.5</v>
      </c>
      <c r="AP25" s="257">
        <f>AP7/AP$24</f>
        <v>161.58038147138964</v>
      </c>
      <c r="AQ25" s="257">
        <f t="shared" ref="AQ25:BC25" si="11">AQ7/AQ$24</f>
        <v>181.81818181818181</v>
      </c>
      <c r="AR25" s="257">
        <f t="shared" si="11"/>
        <v>125.54744525547444</v>
      </c>
      <c r="AS25" s="257">
        <f t="shared" si="11"/>
        <v>93.670886075949369</v>
      </c>
      <c r="AT25" s="257">
        <f t="shared" si="11"/>
        <v>62.770562770562769</v>
      </c>
      <c r="AU25" s="257">
        <f t="shared" si="11"/>
        <v>44.137931034482762</v>
      </c>
      <c r="AV25" s="257">
        <f t="shared" si="11"/>
        <v>40.196078431372555</v>
      </c>
      <c r="AW25" s="257">
        <f t="shared" si="11"/>
        <v>32.758620689655167</v>
      </c>
      <c r="AX25" s="257">
        <f t="shared" si="11"/>
        <v>31.496062992125985</v>
      </c>
      <c r="AY25" s="257">
        <f t="shared" si="11"/>
        <v>27.058823529411761</v>
      </c>
      <c r="AZ25" s="257">
        <f t="shared" si="11"/>
        <v>26.506024096385541</v>
      </c>
      <c r="BA25" s="257">
        <f t="shared" si="11"/>
        <v>27.500000000000004</v>
      </c>
      <c r="BB25" s="257">
        <f t="shared" si="11"/>
        <v>28.225806451612904</v>
      </c>
      <c r="BC25" s="257">
        <f t="shared" si="11"/>
        <v>27.894736842105264</v>
      </c>
      <c r="BD25" s="308">
        <f>SUM(AP7:BC7)</f>
        <v>379.59000000000003</v>
      </c>
      <c r="BE25" s="257">
        <f t="shared" ref="BE25:BE36" si="12">AQ25/(AQ25+AP25)</f>
        <v>0.52946692635071768</v>
      </c>
      <c r="BF25" s="39">
        <f>G7+H7+P7</f>
        <v>26.79</v>
      </c>
      <c r="BH25" s="324">
        <v>1.3085727696987752</v>
      </c>
      <c r="BI25" s="324">
        <v>1.0805035035888526</v>
      </c>
      <c r="BK25" s="324">
        <f t="shared" ref="BK25:BK36" si="13">AU25/(0.67*AT25+0.33*AW25)</f>
        <v>0.8348922148164567</v>
      </c>
      <c r="BL25" s="324">
        <f t="shared" ref="BL25:BL36" si="14">2*AU25/(AT25+AV25)</f>
        <v>0.85732486792340201</v>
      </c>
      <c r="BM25" s="324">
        <f t="shared" ref="BM25:BM36" si="15">AU25/(AT25*AV25)^0.5</f>
        <v>0.87870301812882012</v>
      </c>
      <c r="BN25" s="334" t="s">
        <v>151</v>
      </c>
      <c r="BO25" s="333">
        <f t="shared" ref="BO25:BO36" si="16">AQ25/(AQ25+AP25)</f>
        <v>0.52946692635071768</v>
      </c>
      <c r="BP25" s="333">
        <f t="shared" ref="BP25:BP36" si="17">3*AQ25/(2*AP25+AS25)</f>
        <v>1.3085727696987752</v>
      </c>
      <c r="BQ25" s="333">
        <f t="shared" ref="BQ25:BQ36" si="18">2*AQ25/(AP25+AR25)</f>
        <v>1.2664615888388964</v>
      </c>
      <c r="BR25" s="333">
        <f t="shared" ref="BR25:BR36" si="19">AQ25/(AR25^2/AS25)</f>
        <v>1.0805035035888526</v>
      </c>
      <c r="BS25" s="342">
        <f t="shared" ref="BS25:BS36" si="20">AQ25/AR25</f>
        <v>1.4482029598308668</v>
      </c>
    </row>
    <row r="26" spans="1:71" x14ac:dyDescent="0.2">
      <c r="AE26" s="257">
        <f t="shared" si="9"/>
        <v>24.358974358974358</v>
      </c>
      <c r="AG26">
        <f t="shared" ref="AG26:AG36" si="21">AY8/AG$24</f>
        <v>32.374100719424462</v>
      </c>
      <c r="AM26">
        <f t="shared" ref="AM26:AM36" si="22">AE26/AG26</f>
        <v>0.75242165242165238</v>
      </c>
      <c r="AN26" s="4">
        <v>38</v>
      </c>
      <c r="AO26" s="25">
        <f t="shared" si="10"/>
        <v>21</v>
      </c>
      <c r="AP26" s="257">
        <f t="shared" ref="AP26:BC26" si="23">AP8/AP$24</f>
        <v>113.89645776566756</v>
      </c>
      <c r="AQ26" s="257">
        <f t="shared" si="23"/>
        <v>178.68338557993732</v>
      </c>
      <c r="AR26" s="257">
        <f t="shared" si="23"/>
        <v>97.080291970802918</v>
      </c>
      <c r="AS26" s="257">
        <f t="shared" si="23"/>
        <v>74.261603375527429</v>
      </c>
      <c r="AT26" s="257">
        <f t="shared" si="23"/>
        <v>50.649350649350644</v>
      </c>
      <c r="AU26" s="257">
        <f t="shared" si="23"/>
        <v>35.632183908045981</v>
      </c>
      <c r="AV26" s="257">
        <f t="shared" si="23"/>
        <v>32.026143790849673</v>
      </c>
      <c r="AW26" s="257">
        <f t="shared" si="23"/>
        <v>25.862068965517238</v>
      </c>
      <c r="AX26" s="257">
        <f t="shared" si="23"/>
        <v>23.884514435695536</v>
      </c>
      <c r="AY26" s="257">
        <f t="shared" si="23"/>
        <v>21.176470588235293</v>
      </c>
      <c r="AZ26" s="257">
        <f t="shared" si="23"/>
        <v>20.481927710843372</v>
      </c>
      <c r="BA26" s="257">
        <f t="shared" si="23"/>
        <v>21.388888888888889</v>
      </c>
      <c r="BB26" s="257">
        <f t="shared" si="23"/>
        <v>21.7741935483871</v>
      </c>
      <c r="BC26" s="257">
        <f t="shared" si="23"/>
        <v>22.368421052631579</v>
      </c>
      <c r="BD26" s="308">
        <f t="shared" ref="BD26:BD36" si="24">SUM(AP8:BC8)</f>
        <v>328.0200000000001</v>
      </c>
      <c r="BE26" s="257">
        <f t="shared" si="12"/>
        <v>0.61071666296871541</v>
      </c>
      <c r="BF26" s="39">
        <f t="shared" ref="BF26:BF36" si="25">G8+H8+P8</f>
        <v>26.32</v>
      </c>
      <c r="BH26" s="324">
        <v>1.7746801427761496</v>
      </c>
      <c r="BI26" s="324">
        <v>1.4079471297811781</v>
      </c>
      <c r="BK26" s="324">
        <f t="shared" si="13"/>
        <v>0.83900549553871928</v>
      </c>
      <c r="BL26" s="324">
        <f t="shared" si="14"/>
        <v>0.86197691708560531</v>
      </c>
      <c r="BM26" s="324">
        <f t="shared" si="15"/>
        <v>0.88471456212815691</v>
      </c>
      <c r="BN26" s="334" t="s">
        <v>152</v>
      </c>
      <c r="BO26" s="333">
        <f t="shared" si="16"/>
        <v>0.61071666296871541</v>
      </c>
      <c r="BP26" s="333">
        <f t="shared" si="17"/>
        <v>1.7746801427761496</v>
      </c>
      <c r="BQ26" s="333">
        <f t="shared" si="18"/>
        <v>1.6938680286157544</v>
      </c>
      <c r="BR26" s="333">
        <f t="shared" si="19"/>
        <v>1.4079471297811781</v>
      </c>
      <c r="BS26" s="342">
        <f t="shared" si="20"/>
        <v>1.8405732198835649</v>
      </c>
    </row>
    <row r="27" spans="1:71" x14ac:dyDescent="0.2">
      <c r="AE27" s="257">
        <f t="shared" si="9"/>
        <v>6.4102564102564097</v>
      </c>
      <c r="AG27">
        <f t="shared" si="21"/>
        <v>8.9928057553956844</v>
      </c>
      <c r="AM27">
        <f t="shared" si="22"/>
        <v>0.71282051282051273</v>
      </c>
      <c r="AN27" s="4">
        <v>10</v>
      </c>
      <c r="AO27" s="25">
        <f t="shared" si="10"/>
        <v>58</v>
      </c>
      <c r="AP27" s="257">
        <f t="shared" ref="AP27:BC27" si="26">AP9/AP$24</f>
        <v>34.332425068119889</v>
      </c>
      <c r="AQ27" s="257">
        <f t="shared" si="26"/>
        <v>67.607105538140033</v>
      </c>
      <c r="AR27" s="257">
        <f t="shared" si="26"/>
        <v>26.204379562043794</v>
      </c>
      <c r="AS27" s="257">
        <f t="shared" si="26"/>
        <v>19.549929676511958</v>
      </c>
      <c r="AT27" s="257">
        <f t="shared" si="26"/>
        <v>12.987012987012987</v>
      </c>
      <c r="AU27" s="257">
        <f t="shared" si="26"/>
        <v>8.9655172413793114</v>
      </c>
      <c r="AV27" s="257">
        <f t="shared" si="26"/>
        <v>8.1699346405228752</v>
      </c>
      <c r="AW27" s="257">
        <f t="shared" si="26"/>
        <v>6.8965517241379315</v>
      </c>
      <c r="AX27" s="257">
        <f t="shared" si="26"/>
        <v>6.5616797900262469</v>
      </c>
      <c r="AY27" s="257">
        <f t="shared" si="26"/>
        <v>5.8823529411764701</v>
      </c>
      <c r="AZ27" s="257">
        <f t="shared" si="26"/>
        <v>6.024096385542169</v>
      </c>
      <c r="BA27" s="257">
        <f t="shared" si="26"/>
        <v>6.3888888888888893</v>
      </c>
      <c r="BB27" s="257">
        <f t="shared" si="26"/>
        <v>7.2580645161290329</v>
      </c>
      <c r="BC27" s="257">
        <f t="shared" si="26"/>
        <v>7.3684210526315796</v>
      </c>
      <c r="BD27" s="308">
        <f t="shared" si="24"/>
        <v>108.28000000000002</v>
      </c>
      <c r="BE27" s="257">
        <f t="shared" si="12"/>
        <v>0.66320793450846438</v>
      </c>
      <c r="BF27" s="39">
        <f t="shared" si="25"/>
        <v>35.67</v>
      </c>
      <c r="BH27" s="324">
        <v>2.2991761362997991</v>
      </c>
      <c r="BI27" s="324">
        <v>1.9248184797179886</v>
      </c>
      <c r="BK27" s="324">
        <f t="shared" si="13"/>
        <v>0.81674281984334207</v>
      </c>
      <c r="BL27" s="324">
        <f t="shared" si="14"/>
        <v>0.84752464289419993</v>
      </c>
      <c r="BM27" s="324">
        <f t="shared" si="15"/>
        <v>0.87038504743399114</v>
      </c>
      <c r="BN27" s="334" t="s">
        <v>153</v>
      </c>
      <c r="BO27" s="333">
        <f t="shared" si="16"/>
        <v>0.66320793450846438</v>
      </c>
      <c r="BP27" s="333">
        <f t="shared" si="17"/>
        <v>2.2991761362997991</v>
      </c>
      <c r="BQ27" s="333">
        <f t="shared" si="18"/>
        <v>2.2335868551758158</v>
      </c>
      <c r="BR27" s="333">
        <f t="shared" si="19"/>
        <v>1.9248184797179886</v>
      </c>
      <c r="BS27" s="342">
        <f t="shared" si="20"/>
        <v>2.5799926068872381</v>
      </c>
    </row>
    <row r="28" spans="1:71" x14ac:dyDescent="0.2">
      <c r="AE28" s="257">
        <f t="shared" si="9"/>
        <v>2.5641025641025639</v>
      </c>
      <c r="AG28">
        <f t="shared" si="21"/>
        <v>5.3956834532374103</v>
      </c>
      <c r="AM28">
        <f t="shared" si="22"/>
        <v>0.47521367521367514</v>
      </c>
      <c r="AN28" s="4">
        <v>4</v>
      </c>
      <c r="AO28" s="25">
        <f t="shared" si="10"/>
        <v>102.5</v>
      </c>
      <c r="AP28" s="257">
        <f t="shared" ref="AP28:BC28" si="27">AP10/AP$24</f>
        <v>22.888283378746596</v>
      </c>
      <c r="AQ28" s="257">
        <f t="shared" si="27"/>
        <v>30.721003134796238</v>
      </c>
      <c r="AR28" s="257">
        <f t="shared" si="27"/>
        <v>13.795620437956202</v>
      </c>
      <c r="AS28" s="257">
        <f t="shared" si="27"/>
        <v>9.1420534458509142</v>
      </c>
      <c r="AT28" s="257">
        <f t="shared" si="27"/>
        <v>5.6277056277056277</v>
      </c>
      <c r="AU28" s="257">
        <f t="shared" si="27"/>
        <v>3.6781609195402303</v>
      </c>
      <c r="AV28" s="257">
        <f t="shared" si="27"/>
        <v>3.5947712418300659</v>
      </c>
      <c r="AW28" s="257">
        <f t="shared" si="27"/>
        <v>3.4482758620689657</v>
      </c>
      <c r="AX28" s="257">
        <f t="shared" si="27"/>
        <v>3.1496062992125982</v>
      </c>
      <c r="AY28" s="257">
        <f t="shared" si="27"/>
        <v>3.5294117647058818</v>
      </c>
      <c r="AZ28" s="257">
        <f t="shared" si="27"/>
        <v>2.8112449799196786</v>
      </c>
      <c r="BA28" s="257">
        <f t="shared" si="27"/>
        <v>3.6111111111111116</v>
      </c>
      <c r="BB28" s="257">
        <f t="shared" si="27"/>
        <v>3.6290322580645165</v>
      </c>
      <c r="BC28" s="257">
        <f t="shared" si="27"/>
        <v>4.2105263157894735</v>
      </c>
      <c r="BD28" s="308">
        <f t="shared" si="24"/>
        <v>52.5</v>
      </c>
      <c r="BE28" s="257">
        <f t="shared" si="12"/>
        <v>0.57305375864376529</v>
      </c>
      <c r="BF28" s="39">
        <f t="shared" si="25"/>
        <v>46.12</v>
      </c>
      <c r="BH28" s="324">
        <v>1.6781741613890133</v>
      </c>
      <c r="BI28" s="324">
        <v>1.4756952335201816</v>
      </c>
      <c r="BK28" s="324">
        <f t="shared" si="13"/>
        <v>0.74934614682805178</v>
      </c>
      <c r="BL28" s="324">
        <f t="shared" si="14"/>
        <v>0.79765142739260841</v>
      </c>
      <c r="BM28" s="324">
        <f t="shared" si="15"/>
        <v>0.81776667803566006</v>
      </c>
      <c r="BN28" s="334" t="s">
        <v>154</v>
      </c>
      <c r="BO28" s="333">
        <f t="shared" si="16"/>
        <v>0.57305375864376529</v>
      </c>
      <c r="BP28" s="333">
        <f t="shared" si="17"/>
        <v>1.6781741613890133</v>
      </c>
      <c r="BQ28" s="333">
        <f t="shared" si="18"/>
        <v>1.6749037009964274</v>
      </c>
      <c r="BR28" s="333">
        <f t="shared" si="19"/>
        <v>1.4756952335201816</v>
      </c>
      <c r="BS28" s="342">
        <f t="shared" si="20"/>
        <v>2.2268663647973996</v>
      </c>
    </row>
    <row r="29" spans="1:71" x14ac:dyDescent="0.2">
      <c r="AE29" s="257">
        <f t="shared" si="9"/>
        <v>1.9230769230769229</v>
      </c>
      <c r="AG29">
        <f t="shared" si="21"/>
        <v>3.5971223021582737</v>
      </c>
      <c r="AM29">
        <f t="shared" si="22"/>
        <v>0.53461538461538449</v>
      </c>
      <c r="AN29" s="4">
        <v>3</v>
      </c>
      <c r="AO29" s="25">
        <f t="shared" si="10"/>
        <v>131.5</v>
      </c>
      <c r="AP29" s="257">
        <f t="shared" ref="AP29:BC29" si="28">AP11/AP$24</f>
        <v>19.891008174386922</v>
      </c>
      <c r="AQ29" s="257">
        <f t="shared" si="28"/>
        <v>25.1828631138976</v>
      </c>
      <c r="AR29" s="257">
        <f t="shared" si="28"/>
        <v>11.751824817518248</v>
      </c>
      <c r="AS29" s="257">
        <f t="shared" si="28"/>
        <v>7.7355836849507735</v>
      </c>
      <c r="AT29" s="257">
        <f t="shared" si="28"/>
        <v>4.7619047619047619</v>
      </c>
      <c r="AU29" s="257">
        <f t="shared" si="28"/>
        <v>3.2183908045977017</v>
      </c>
      <c r="AV29" s="257">
        <f t="shared" si="28"/>
        <v>2.6143790849673203</v>
      </c>
      <c r="AW29" s="257">
        <f t="shared" si="28"/>
        <v>1.7241379310344829</v>
      </c>
      <c r="AX29" s="257">
        <f t="shared" si="28"/>
        <v>2.3622047244094491</v>
      </c>
      <c r="AY29" s="257">
        <f t="shared" si="28"/>
        <v>2.3529411764705883</v>
      </c>
      <c r="AZ29" s="257">
        <f t="shared" si="28"/>
        <v>2.4096385542168672</v>
      </c>
      <c r="BA29" s="257">
        <f t="shared" si="28"/>
        <v>2.7777777777777781</v>
      </c>
      <c r="BB29" s="257">
        <f t="shared" si="28"/>
        <v>2.82258064516129</v>
      </c>
      <c r="BC29" s="257">
        <f t="shared" si="28"/>
        <v>3.4210526315789478</v>
      </c>
      <c r="BD29" s="308">
        <f t="shared" si="24"/>
        <v>43.420000000000016</v>
      </c>
      <c r="BE29" s="257">
        <f t="shared" si="12"/>
        <v>0.55870202390277179</v>
      </c>
      <c r="BF29" s="39">
        <f t="shared" si="25"/>
        <v>39.549999999999997</v>
      </c>
      <c r="BH29" s="324">
        <v>1.5899075140174119</v>
      </c>
      <c r="BI29" s="324">
        <v>1.4105470461536478</v>
      </c>
      <c r="BK29" s="324">
        <f t="shared" si="13"/>
        <v>0.85608211399868972</v>
      </c>
      <c r="BL29" s="324">
        <f t="shared" si="14"/>
        <v>0.8726320384111742</v>
      </c>
      <c r="BM29" s="324">
        <f t="shared" si="15"/>
        <v>0.91214555444026424</v>
      </c>
      <c r="BN29" s="334" t="s">
        <v>155</v>
      </c>
      <c r="BO29" s="333">
        <f t="shared" si="16"/>
        <v>0.55870202390277179</v>
      </c>
      <c r="BP29" s="333">
        <f t="shared" si="17"/>
        <v>1.5899075140174119</v>
      </c>
      <c r="BQ29" s="333">
        <f t="shared" si="18"/>
        <v>1.5916945944972658</v>
      </c>
      <c r="BR29" s="333">
        <f t="shared" si="19"/>
        <v>1.4105470461536478</v>
      </c>
      <c r="BS29" s="342">
        <f t="shared" si="20"/>
        <v>2.1428895941639574</v>
      </c>
    </row>
    <row r="30" spans="1:71" x14ac:dyDescent="0.2">
      <c r="B30" s="25"/>
      <c r="C30" s="25"/>
      <c r="D30" s="25"/>
      <c r="AE30" s="257">
        <f t="shared" si="9"/>
        <v>2.5641025641025639</v>
      </c>
      <c r="AG30">
        <f t="shared" si="21"/>
        <v>5.3956834532374103</v>
      </c>
      <c r="AM30">
        <f t="shared" si="22"/>
        <v>0.47521367521367514</v>
      </c>
      <c r="AN30" s="4">
        <v>4</v>
      </c>
      <c r="AO30" s="25">
        <f t="shared" si="10"/>
        <v>171.5</v>
      </c>
      <c r="AP30" s="257">
        <f t="shared" ref="AP30:BC30" si="29">AP12/AP$24</f>
        <v>24.250681198910083</v>
      </c>
      <c r="AQ30" s="257">
        <f t="shared" si="29"/>
        <v>37.304075235109721</v>
      </c>
      <c r="AR30" s="257">
        <f t="shared" si="29"/>
        <v>16.496350364963501</v>
      </c>
      <c r="AS30" s="257">
        <f t="shared" si="29"/>
        <v>11.954992967651195</v>
      </c>
      <c r="AT30" s="257">
        <f t="shared" si="29"/>
        <v>6.9264069264069263</v>
      </c>
      <c r="AU30" s="257">
        <f t="shared" si="29"/>
        <v>4.8275862068965516</v>
      </c>
      <c r="AV30" s="257">
        <f t="shared" si="29"/>
        <v>3.9215686274509802</v>
      </c>
      <c r="AW30" s="257">
        <f t="shared" si="29"/>
        <v>3.4482758620689657</v>
      </c>
      <c r="AX30" s="257">
        <f t="shared" si="29"/>
        <v>3.4120734908136483</v>
      </c>
      <c r="AY30" s="257">
        <f t="shared" si="29"/>
        <v>3.5294117647058818</v>
      </c>
      <c r="AZ30" s="257">
        <f t="shared" si="29"/>
        <v>3.2128514056224899</v>
      </c>
      <c r="BA30" s="257">
        <f t="shared" si="29"/>
        <v>3.6111111111111116</v>
      </c>
      <c r="BB30" s="257">
        <f t="shared" si="29"/>
        <v>4.032258064516129</v>
      </c>
      <c r="BC30" s="257">
        <f t="shared" si="29"/>
        <v>4.2105263157894735</v>
      </c>
      <c r="BD30" s="308">
        <f t="shared" si="24"/>
        <v>62.47</v>
      </c>
      <c r="BE30" s="257">
        <f t="shared" si="12"/>
        <v>0.60603075044404975</v>
      </c>
      <c r="BF30" s="39">
        <f t="shared" si="25"/>
        <v>29.020000000000003</v>
      </c>
      <c r="BH30" s="324">
        <v>1.8511242536669017</v>
      </c>
      <c r="BI30" s="324">
        <v>1.6388147319325483</v>
      </c>
      <c r="BK30" s="324">
        <f t="shared" si="13"/>
        <v>0.8354214564335718</v>
      </c>
      <c r="BL30" s="324">
        <f t="shared" si="14"/>
        <v>0.89004371053909659</v>
      </c>
      <c r="BM30" s="324">
        <f t="shared" si="15"/>
        <v>0.92628818936133339</v>
      </c>
      <c r="BN30" s="334" t="s">
        <v>156</v>
      </c>
      <c r="BO30" s="333">
        <f t="shared" si="16"/>
        <v>0.60603075044404975</v>
      </c>
      <c r="BP30" s="333">
        <f t="shared" si="17"/>
        <v>1.8511242536669017</v>
      </c>
      <c r="BQ30" s="333">
        <f t="shared" si="18"/>
        <v>1.8310082380667752</v>
      </c>
      <c r="BR30" s="333">
        <f t="shared" si="19"/>
        <v>1.6388147319325483</v>
      </c>
      <c r="BS30" s="342">
        <f t="shared" si="20"/>
        <v>2.2613532332787756</v>
      </c>
    </row>
    <row r="31" spans="1:71" ht="17" x14ac:dyDescent="0.25">
      <c r="B31" t="s">
        <v>466</v>
      </c>
      <c r="C31" t="s">
        <v>467</v>
      </c>
      <c r="D31" t="s">
        <v>468</v>
      </c>
      <c r="E31" s="260" t="s">
        <v>622</v>
      </c>
      <c r="F31" s="260" t="s">
        <v>623</v>
      </c>
      <c r="G31" s="260" t="s">
        <v>5</v>
      </c>
      <c r="H31" s="293" t="s">
        <v>620</v>
      </c>
      <c r="I31" s="260" t="s">
        <v>7</v>
      </c>
      <c r="J31" s="260" t="s">
        <v>8</v>
      </c>
      <c r="K31" s="260" t="s">
        <v>9</v>
      </c>
      <c r="L31" s="260" t="s">
        <v>10</v>
      </c>
      <c r="M31" s="260" t="s">
        <v>11</v>
      </c>
      <c r="N31" s="293" t="s">
        <v>621</v>
      </c>
      <c r="O31" s="260" t="s">
        <v>624</v>
      </c>
      <c r="Q31" t="s">
        <v>657</v>
      </c>
      <c r="AE31" s="257">
        <f t="shared" si="9"/>
        <v>1.2820512820512819</v>
      </c>
      <c r="AG31">
        <f t="shared" si="21"/>
        <v>3.5971223021582737</v>
      </c>
      <c r="AM31">
        <f t="shared" si="22"/>
        <v>0.35641025641025637</v>
      </c>
      <c r="AN31" s="4">
        <v>2</v>
      </c>
      <c r="AO31" s="25">
        <f t="shared" si="10"/>
        <v>250</v>
      </c>
      <c r="AP31" s="257">
        <f t="shared" ref="AP31:BC31" si="30">AP13/AP$24</f>
        <v>17.438692098092645</v>
      </c>
      <c r="AQ31" s="257">
        <f t="shared" si="30"/>
        <v>31.347962382445143</v>
      </c>
      <c r="AR31" s="257">
        <f t="shared" si="30"/>
        <v>10.43795620437956</v>
      </c>
      <c r="AS31" s="257">
        <f t="shared" si="30"/>
        <v>7.1729957805907167</v>
      </c>
      <c r="AT31" s="257">
        <f t="shared" si="30"/>
        <v>4.329004329004329</v>
      </c>
      <c r="AU31" s="257">
        <f t="shared" si="30"/>
        <v>3.1034482758620694</v>
      </c>
      <c r="AV31" s="257">
        <f t="shared" si="30"/>
        <v>2.2875816993464051</v>
      </c>
      <c r="AW31" s="257">
        <f t="shared" si="30"/>
        <v>1.7241379310344829</v>
      </c>
      <c r="AX31" s="257">
        <f t="shared" si="30"/>
        <v>2.3622047244094491</v>
      </c>
      <c r="AY31" s="257">
        <f t="shared" si="30"/>
        <v>2.3529411764705883</v>
      </c>
      <c r="AZ31" s="257">
        <f t="shared" si="30"/>
        <v>2.4096385542168672</v>
      </c>
      <c r="BA31" s="257">
        <f t="shared" si="30"/>
        <v>2.5</v>
      </c>
      <c r="BB31" s="257">
        <f t="shared" si="30"/>
        <v>2.82258064516129</v>
      </c>
      <c r="BC31" s="257">
        <f t="shared" si="30"/>
        <v>3.4210526315789478</v>
      </c>
      <c r="BD31" s="308">
        <f t="shared" si="24"/>
        <v>47.620000000000019</v>
      </c>
      <c r="BE31" s="257">
        <f t="shared" si="12"/>
        <v>0.64255199943973662</v>
      </c>
      <c r="BF31" s="39">
        <f t="shared" si="25"/>
        <v>37.29</v>
      </c>
      <c r="BH31" s="324">
        <v>2.2364574874061756</v>
      </c>
      <c r="BI31" s="324">
        <v>2.0638539062300141</v>
      </c>
      <c r="BK31" s="324">
        <f t="shared" si="13"/>
        <v>0.89452057741539925</v>
      </c>
      <c r="BL31" s="324">
        <f t="shared" si="14"/>
        <v>0.93808144035743524</v>
      </c>
      <c r="BM31" s="324">
        <f t="shared" si="15"/>
        <v>0.98619363386307535</v>
      </c>
      <c r="BN31" s="334" t="s">
        <v>157</v>
      </c>
      <c r="BO31" s="333">
        <f t="shared" si="16"/>
        <v>0.64255199943973662</v>
      </c>
      <c r="BP31" s="333">
        <f t="shared" si="17"/>
        <v>2.2364574874061756</v>
      </c>
      <c r="BQ31" s="333">
        <f t="shared" si="18"/>
        <v>2.2490481669322557</v>
      </c>
      <c r="BR31" s="333">
        <f t="shared" si="19"/>
        <v>2.0638539062300141</v>
      </c>
      <c r="BS31" s="342">
        <f t="shared" si="20"/>
        <v>3.0032663261503396</v>
      </c>
    </row>
    <row r="32" spans="1:71" ht="16" x14ac:dyDescent="0.2">
      <c r="A32" t="str">
        <f t="shared" ref="A32:A43" si="31">A7</f>
        <v xml:space="preserve">R7H2EA01 </v>
      </c>
      <c r="B32" s="25">
        <f t="shared" ref="B32:B43" si="32">100*G7/(G7+7+L7)</f>
        <v>63.917004048582989</v>
      </c>
      <c r="C32" s="25">
        <f t="shared" ref="C32:C43" si="33">100*G7/(G7+K7+M7+L7)</f>
        <v>92.935982339955842</v>
      </c>
      <c r="D32" s="25">
        <f t="shared" ref="D32:D43" si="34">100*((2*L7/0.35)+(J7/0.9)+(2*M7/0.25)+(K7/0.7))</f>
        <v>709.04761904761904</v>
      </c>
      <c r="E32" s="303">
        <f>((F7/F$18)*($N$18/$N7))-1</f>
        <v>0.84382426084553708</v>
      </c>
      <c r="F32" s="303">
        <f t="shared" ref="F32:O32" si="35">((G7/G$18)*($N$18/$N7))-1</f>
        <v>-8.9712464911614997E-2</v>
      </c>
      <c r="G32" s="303">
        <f t="shared" si="35"/>
        <v>-0.58827220077220077</v>
      </c>
      <c r="H32" s="303">
        <f t="shared" si="35"/>
        <v>0.4509090909090907</v>
      </c>
      <c r="I32" s="303">
        <f t="shared" si="35"/>
        <v>-0.88223140495867769</v>
      </c>
      <c r="J32" s="303">
        <f t="shared" si="35"/>
        <v>-0.82766439909297052</v>
      </c>
      <c r="K32" s="303">
        <f t="shared" si="35"/>
        <v>0.47023809523809557</v>
      </c>
      <c r="L32" s="303">
        <f t="shared" si="35"/>
        <v>-0.28319919517102599</v>
      </c>
      <c r="M32" s="303">
        <f t="shared" si="35"/>
        <v>0</v>
      </c>
      <c r="N32" s="303">
        <f t="shared" si="35"/>
        <v>0.13095238095238115</v>
      </c>
      <c r="O32" s="303">
        <f t="shared" si="35"/>
        <v>0.4280273589305148</v>
      </c>
      <c r="Q32">
        <v>23.913043478260871</v>
      </c>
      <c r="AE32" s="257">
        <f t="shared" si="9"/>
        <v>7.0512820512820511</v>
      </c>
      <c r="AG32">
        <f t="shared" si="21"/>
        <v>8.9928057553956844</v>
      </c>
      <c r="AM32">
        <f t="shared" si="22"/>
        <v>0.78410256410256396</v>
      </c>
      <c r="AN32" s="4">
        <v>11</v>
      </c>
      <c r="AO32" s="25">
        <f t="shared" si="10"/>
        <v>350</v>
      </c>
      <c r="AP32" s="257">
        <f t="shared" ref="AP32:BC32" si="36">AP14/AP$24</f>
        <v>41.689373297002724</v>
      </c>
      <c r="AQ32" s="257">
        <f t="shared" si="36"/>
        <v>49.216300940438877</v>
      </c>
      <c r="AR32" s="257">
        <f t="shared" si="36"/>
        <v>33.357664233576642</v>
      </c>
      <c r="AS32" s="257">
        <f t="shared" si="36"/>
        <v>24.894514767932488</v>
      </c>
      <c r="AT32" s="257">
        <f t="shared" si="36"/>
        <v>16.017316017316016</v>
      </c>
      <c r="AU32" s="257">
        <f t="shared" si="36"/>
        <v>10.804597701149426</v>
      </c>
      <c r="AV32" s="257">
        <f t="shared" si="36"/>
        <v>8.8235294117647065</v>
      </c>
      <c r="AW32" s="257">
        <f t="shared" si="36"/>
        <v>6.8965517241379315</v>
      </c>
      <c r="AX32" s="257">
        <f t="shared" si="36"/>
        <v>6.8241469816272966</v>
      </c>
      <c r="AY32" s="257">
        <f t="shared" si="36"/>
        <v>5.8823529411764701</v>
      </c>
      <c r="AZ32" s="257">
        <f t="shared" si="36"/>
        <v>6.024096385542169</v>
      </c>
      <c r="BA32" s="257">
        <f t="shared" si="36"/>
        <v>6.666666666666667</v>
      </c>
      <c r="BB32" s="257">
        <f t="shared" si="36"/>
        <v>7.2580645161290329</v>
      </c>
      <c r="BC32" s="257">
        <f t="shared" si="36"/>
        <v>7.6315789473684204</v>
      </c>
      <c r="BD32" s="308">
        <f t="shared" si="24"/>
        <v>99.34</v>
      </c>
      <c r="BE32" s="257">
        <f t="shared" si="12"/>
        <v>0.54139965797831358</v>
      </c>
      <c r="BF32" s="39">
        <f t="shared" si="25"/>
        <v>32.619999999999997</v>
      </c>
      <c r="BH32" s="324">
        <v>1.3636691179713616</v>
      </c>
      <c r="BI32" s="324">
        <v>1.1010863255819019</v>
      </c>
      <c r="BK32" s="324">
        <f t="shared" si="13"/>
        <v>0.83064599423895702</v>
      </c>
      <c r="BL32" s="324">
        <f t="shared" si="14"/>
        <v>0.8699057954364694</v>
      </c>
      <c r="BM32" s="324">
        <f t="shared" si="15"/>
        <v>0.90885072931353184</v>
      </c>
      <c r="BN32" s="334" t="s">
        <v>158</v>
      </c>
      <c r="BO32" s="333">
        <f t="shared" si="16"/>
        <v>0.54139965797831358</v>
      </c>
      <c r="BP32" s="333">
        <f t="shared" si="17"/>
        <v>1.3636691179713616</v>
      </c>
      <c r="BQ32" s="333">
        <f t="shared" si="18"/>
        <v>1.3116120918266694</v>
      </c>
      <c r="BR32" s="333">
        <f t="shared" si="19"/>
        <v>1.1010863255819019</v>
      </c>
      <c r="BS32" s="342">
        <f t="shared" si="20"/>
        <v>1.4754120850853667</v>
      </c>
    </row>
    <row r="33" spans="1:71" ht="16" x14ac:dyDescent="0.2">
      <c r="A33" t="str">
        <f t="shared" si="31"/>
        <v xml:space="preserve">R7H2EA02 </v>
      </c>
      <c r="B33" s="25">
        <f t="shared" si="32"/>
        <v>65.73628488931665</v>
      </c>
      <c r="C33" s="25">
        <f t="shared" si="33"/>
        <v>93.625771076079502</v>
      </c>
      <c r="D33" s="25">
        <f t="shared" si="34"/>
        <v>701.58730158730157</v>
      </c>
      <c r="E33" s="303">
        <f t="shared" ref="E33:O43" si="37">((F8/F$18)*($N$18/$N8))-1</f>
        <v>0.8917511398618545</v>
      </c>
      <c r="F33" s="303">
        <f t="shared" si="37"/>
        <v>-1.1695043529170945E-2</v>
      </c>
      <c r="G33" s="303">
        <f t="shared" si="37"/>
        <v>-0.54802920718413684</v>
      </c>
      <c r="H33" s="303">
        <f t="shared" si="37"/>
        <v>0.1988732394366195</v>
      </c>
      <c r="I33" s="303">
        <f t="shared" si="37"/>
        <v>-0.87614945873588634</v>
      </c>
      <c r="J33" s="303">
        <f t="shared" si="37"/>
        <v>-0.87025181391378581</v>
      </c>
      <c r="K33" s="303">
        <f t="shared" si="37"/>
        <v>0.36235595390524966</v>
      </c>
      <c r="L33" s="303">
        <f t="shared" si="37"/>
        <v>-0.28044579899370603</v>
      </c>
      <c r="M33" s="303">
        <f t="shared" si="37"/>
        <v>0</v>
      </c>
      <c r="N33" s="303">
        <f t="shared" si="37"/>
        <v>0.13529662825437483</v>
      </c>
      <c r="O33" s="303">
        <f t="shared" si="37"/>
        <v>0.14888559768941079</v>
      </c>
      <c r="Q33">
        <v>21.111111111111111</v>
      </c>
      <c r="AE33" s="257">
        <f t="shared" si="9"/>
        <v>7.6923076923076916</v>
      </c>
      <c r="AG33">
        <f t="shared" si="21"/>
        <v>10.791366906474821</v>
      </c>
      <c r="AM33">
        <f t="shared" si="22"/>
        <v>0.71282051282051273</v>
      </c>
      <c r="AN33" s="4">
        <v>12</v>
      </c>
      <c r="AO33" s="25">
        <f t="shared" si="10"/>
        <v>450</v>
      </c>
      <c r="AP33" s="257">
        <f t="shared" ref="AP33:BC33" si="38">AP15/AP$24</f>
        <v>46.866485013623979</v>
      </c>
      <c r="AQ33" s="257">
        <f t="shared" si="38"/>
        <v>37.722048066875658</v>
      </c>
      <c r="AR33" s="257">
        <f t="shared" si="38"/>
        <v>38.686131386861312</v>
      </c>
      <c r="AS33" s="257">
        <f t="shared" si="38"/>
        <v>29.676511954992971</v>
      </c>
      <c r="AT33" s="257">
        <f t="shared" si="38"/>
        <v>19.480519480519479</v>
      </c>
      <c r="AU33" s="257">
        <f t="shared" si="38"/>
        <v>14.022988505747128</v>
      </c>
      <c r="AV33" s="257">
        <f t="shared" si="38"/>
        <v>11.437908496732026</v>
      </c>
      <c r="AW33" s="257">
        <f t="shared" si="38"/>
        <v>8.6206896551724128</v>
      </c>
      <c r="AX33" s="257">
        <f t="shared" si="38"/>
        <v>8.3989501312335957</v>
      </c>
      <c r="AY33" s="257">
        <f t="shared" si="38"/>
        <v>7.0588235294117636</v>
      </c>
      <c r="AZ33" s="257">
        <f t="shared" si="38"/>
        <v>7.2289156626506026</v>
      </c>
      <c r="BA33" s="257">
        <f t="shared" si="38"/>
        <v>7.7777777777777795</v>
      </c>
      <c r="BB33" s="257">
        <f t="shared" si="38"/>
        <v>8.4677419354838719</v>
      </c>
      <c r="BC33" s="257">
        <f t="shared" si="38"/>
        <v>8.9473684210526319</v>
      </c>
      <c r="BD33" s="308">
        <f t="shared" si="24"/>
        <v>97.739999999999981</v>
      </c>
      <c r="BE33" s="257">
        <f t="shared" si="12"/>
        <v>0.44594753795974967</v>
      </c>
      <c r="BF33" s="39">
        <f t="shared" si="25"/>
        <v>41.459999999999994</v>
      </c>
      <c r="BH33" s="324">
        <v>0.91699715761639766</v>
      </c>
      <c r="BI33" s="324">
        <v>0.74799296592516296</v>
      </c>
      <c r="BK33" s="324">
        <f t="shared" si="13"/>
        <v>0.8821278493790643</v>
      </c>
      <c r="BL33" s="324">
        <f t="shared" si="14"/>
        <v>0.90709582751520612</v>
      </c>
      <c r="BM33" s="324">
        <f t="shared" si="15"/>
        <v>0.93943557488836582</v>
      </c>
      <c r="BN33" s="334" t="s">
        <v>159</v>
      </c>
      <c r="BO33" s="343">
        <f t="shared" si="16"/>
        <v>0.44594753795974967</v>
      </c>
      <c r="BP33" s="343">
        <f t="shared" si="17"/>
        <v>0.91699715761639766</v>
      </c>
      <c r="BQ33" s="343">
        <f t="shared" si="18"/>
        <v>0.88184440532578923</v>
      </c>
      <c r="BR33" s="343">
        <f t="shared" si="19"/>
        <v>0.74799296592516296</v>
      </c>
      <c r="BS33" s="344">
        <f t="shared" si="20"/>
        <v>0.97507935569093684</v>
      </c>
    </row>
    <row r="34" spans="1:71" ht="16" x14ac:dyDescent="0.2">
      <c r="A34" t="str">
        <f t="shared" si="31"/>
        <v xml:space="preserve">R7H2EA03 </v>
      </c>
      <c r="B34" s="25">
        <f t="shared" si="32"/>
        <v>73.278133232969509</v>
      </c>
      <c r="C34" s="25">
        <f t="shared" si="33"/>
        <v>95.769798327594685</v>
      </c>
      <c r="D34" s="25">
        <f t="shared" si="34"/>
        <v>660.06349206349205</v>
      </c>
      <c r="E34" s="303">
        <f t="shared" si="37"/>
        <v>0.60772152782963285</v>
      </c>
      <c r="F34" s="303">
        <f t="shared" si="37"/>
        <v>0.37006671080103892</v>
      </c>
      <c r="G34" s="303">
        <f t="shared" si="37"/>
        <v>-0.37598195954360347</v>
      </c>
      <c r="H34" s="303">
        <f t="shared" si="37"/>
        <v>-0.41698630136986314</v>
      </c>
      <c r="I34" s="303">
        <f t="shared" si="37"/>
        <v>-0.86311661846587695</v>
      </c>
      <c r="J34" s="303">
        <f t="shared" si="37"/>
        <v>-0.89483879894838803</v>
      </c>
      <c r="K34" s="303">
        <f t="shared" si="37"/>
        <v>0.10419261104192623</v>
      </c>
      <c r="L34" s="303">
        <f t="shared" si="37"/>
        <v>-0.33748443337484435</v>
      </c>
      <c r="M34" s="303">
        <f t="shared" si="37"/>
        <v>0</v>
      </c>
      <c r="N34" s="303">
        <f t="shared" si="37"/>
        <v>0.10419261104192623</v>
      </c>
      <c r="O34" s="303">
        <f t="shared" si="37"/>
        <v>0.3307984069532508</v>
      </c>
      <c r="Q34">
        <v>20</v>
      </c>
      <c r="AE34" s="257">
        <f t="shared" si="9"/>
        <v>7.0512820512820511</v>
      </c>
      <c r="AG34">
        <f t="shared" si="21"/>
        <v>8.9928057553956844</v>
      </c>
      <c r="AM34">
        <f t="shared" si="22"/>
        <v>0.78410256410256396</v>
      </c>
      <c r="AN34" s="4">
        <v>11</v>
      </c>
      <c r="AO34" s="25">
        <f t="shared" si="10"/>
        <v>550</v>
      </c>
      <c r="AP34" s="257">
        <f t="shared" ref="AP34:BC34" si="39">AP16/AP$24</f>
        <v>55.313351498637608</v>
      </c>
      <c r="AQ34" s="257">
        <f t="shared" si="39"/>
        <v>85.475444096133756</v>
      </c>
      <c r="AR34" s="257">
        <f t="shared" si="39"/>
        <v>39.562043795620433</v>
      </c>
      <c r="AS34" s="257">
        <f t="shared" si="39"/>
        <v>29.11392405063291</v>
      </c>
      <c r="AT34" s="257">
        <f t="shared" si="39"/>
        <v>18.614718614718612</v>
      </c>
      <c r="AU34" s="257">
        <f t="shared" si="39"/>
        <v>13.448275862068966</v>
      </c>
      <c r="AV34" s="257">
        <f t="shared" si="39"/>
        <v>10.784313725490195</v>
      </c>
      <c r="AW34" s="257">
        <f t="shared" si="39"/>
        <v>8.6206896551724128</v>
      </c>
      <c r="AX34" s="257">
        <f t="shared" si="39"/>
        <v>7.0866141732283472</v>
      </c>
      <c r="AY34" s="257">
        <f t="shared" si="39"/>
        <v>5.8823529411764701</v>
      </c>
      <c r="AZ34" s="257">
        <f t="shared" si="39"/>
        <v>6.8273092369477908</v>
      </c>
      <c r="BA34" s="257">
        <f t="shared" si="39"/>
        <v>7.2222222222222232</v>
      </c>
      <c r="BB34" s="257">
        <f t="shared" si="39"/>
        <v>7.2580645161290329</v>
      </c>
      <c r="BC34" s="257">
        <f t="shared" si="39"/>
        <v>7.8947368421052628</v>
      </c>
      <c r="BD34" s="308">
        <f t="shared" si="24"/>
        <v>144.75</v>
      </c>
      <c r="BE34" s="257">
        <f t="shared" si="12"/>
        <v>0.60711822794589032</v>
      </c>
      <c r="BF34" s="39">
        <f t="shared" si="25"/>
        <v>36.159999999999997</v>
      </c>
      <c r="BH34" s="324">
        <v>1.8350163277891194</v>
      </c>
      <c r="BI34" s="324">
        <v>1.5899544108138686</v>
      </c>
      <c r="BK34" s="324">
        <f t="shared" si="13"/>
        <v>0.87801455073508994</v>
      </c>
      <c r="BL34" s="324">
        <f t="shared" si="14"/>
        <v>0.91487881005361349</v>
      </c>
      <c r="BM34" s="324">
        <f t="shared" si="15"/>
        <v>0.94916587234273364</v>
      </c>
      <c r="BN34" s="334" t="s">
        <v>160</v>
      </c>
      <c r="BO34" s="333">
        <f t="shared" si="16"/>
        <v>0.60711822794589032</v>
      </c>
      <c r="BP34" s="333">
        <f t="shared" si="17"/>
        <v>1.8350163277891194</v>
      </c>
      <c r="BQ34" s="333">
        <f t="shared" si="18"/>
        <v>1.8018463866428143</v>
      </c>
      <c r="BR34" s="333">
        <f t="shared" si="19"/>
        <v>1.5899544108138686</v>
      </c>
      <c r="BS34" s="342">
        <f t="shared" si="20"/>
        <v>2.1605416681126064</v>
      </c>
    </row>
    <row r="35" spans="1:71" ht="16" x14ac:dyDescent="0.2">
      <c r="A35" t="str">
        <f t="shared" si="31"/>
        <v xml:space="preserve">R7H2EA04 </v>
      </c>
      <c r="B35" s="25">
        <f t="shared" si="32"/>
        <v>77.833594976452119</v>
      </c>
      <c r="C35" s="25">
        <f t="shared" si="33"/>
        <v>97.177577420619372</v>
      </c>
      <c r="D35" s="25">
        <f t="shared" si="34"/>
        <v>581.3650793650794</v>
      </c>
      <c r="E35" s="303">
        <f t="shared" si="37"/>
        <v>0.17924273918388423</v>
      </c>
      <c r="F35" s="303">
        <f t="shared" si="37"/>
        <v>0.53762155236086007</v>
      </c>
      <c r="G35" s="303">
        <f t="shared" si="37"/>
        <v>-0.24478001602041122</v>
      </c>
      <c r="H35" s="303">
        <f t="shared" si="37"/>
        <v>-0.78339886238898315</v>
      </c>
      <c r="I35" s="303">
        <f t="shared" si="37"/>
        <v>-0.86003937186453905</v>
      </c>
      <c r="J35" s="303">
        <f t="shared" si="37"/>
        <v>-0.96292230759848763</v>
      </c>
      <c r="K35" s="303">
        <f t="shared" si="37"/>
        <v>-0.41602634467618005</v>
      </c>
      <c r="L35" s="303">
        <f t="shared" si="37"/>
        <v>-0.47360121210247219</v>
      </c>
      <c r="M35" s="303">
        <f t="shared" si="37"/>
        <v>0</v>
      </c>
      <c r="N35" s="303">
        <f t="shared" si="37"/>
        <v>0.36260519575558003</v>
      </c>
      <c r="O35" s="303">
        <f t="shared" si="37"/>
        <v>0.4945658730376763</v>
      </c>
      <c r="Q35">
        <v>13.333333333333334</v>
      </c>
      <c r="AE35" s="257">
        <f t="shared" si="9"/>
        <v>12.179487179487179</v>
      </c>
      <c r="AG35">
        <f t="shared" si="21"/>
        <v>14.388489208633095</v>
      </c>
      <c r="AM35">
        <f t="shared" si="22"/>
        <v>0.84647435897435885</v>
      </c>
      <c r="AN35" s="4">
        <v>19</v>
      </c>
      <c r="AO35" s="25">
        <f t="shared" si="10"/>
        <v>650</v>
      </c>
      <c r="AP35" s="257">
        <f t="shared" ref="AP35:BC35" si="40">AP17/AP$24</f>
        <v>59.945504087193463</v>
      </c>
      <c r="AQ35" s="257">
        <f t="shared" si="40"/>
        <v>27.899686520376175</v>
      </c>
      <c r="AR35" s="257">
        <f t="shared" si="40"/>
        <v>40.43795620437956</v>
      </c>
      <c r="AS35" s="257">
        <f t="shared" si="40"/>
        <v>30.520393811533051</v>
      </c>
      <c r="AT35" s="257">
        <f t="shared" si="40"/>
        <v>20.779220779220779</v>
      </c>
      <c r="AU35" s="257">
        <f t="shared" si="40"/>
        <v>15.632183908045979</v>
      </c>
      <c r="AV35" s="257">
        <f t="shared" si="40"/>
        <v>14.379084967320264</v>
      </c>
      <c r="AW35" s="257">
        <f t="shared" si="40"/>
        <v>12.068965517241377</v>
      </c>
      <c r="AX35" s="257">
        <f t="shared" si="40"/>
        <v>9.9737532808398939</v>
      </c>
      <c r="AY35" s="257">
        <f t="shared" si="40"/>
        <v>9.4117647058823533</v>
      </c>
      <c r="AZ35" s="257">
        <f t="shared" si="40"/>
        <v>9.236947791164658</v>
      </c>
      <c r="BA35" s="257">
        <f t="shared" si="40"/>
        <v>9.4444444444444464</v>
      </c>
      <c r="BB35" s="257">
        <f t="shared" si="40"/>
        <v>9.67741935483871</v>
      </c>
      <c r="BC35" s="257">
        <f t="shared" si="40"/>
        <v>10</v>
      </c>
      <c r="BD35" s="308">
        <f t="shared" si="24"/>
        <v>97.22</v>
      </c>
      <c r="BE35" s="257">
        <f t="shared" si="12"/>
        <v>0.31760061452894217</v>
      </c>
      <c r="BF35" s="39">
        <f t="shared" si="25"/>
        <v>40.14</v>
      </c>
      <c r="BH35" s="324">
        <v>0.55646751812714035</v>
      </c>
      <c r="BI35" s="324">
        <v>0.52072815690955687</v>
      </c>
      <c r="BK35" s="324">
        <f t="shared" si="13"/>
        <v>0.87307046175522862</v>
      </c>
      <c r="BL35" s="324">
        <f t="shared" si="14"/>
        <v>0.88924557518440195</v>
      </c>
      <c r="BM35" s="324">
        <f t="shared" si="15"/>
        <v>0.90435595361795096</v>
      </c>
      <c r="BN35" s="334" t="s">
        <v>161</v>
      </c>
      <c r="BO35" s="343">
        <f t="shared" si="16"/>
        <v>0.31760061452894217</v>
      </c>
      <c r="BP35" s="343">
        <f t="shared" si="17"/>
        <v>0.55646751812714035</v>
      </c>
      <c r="BQ35" s="343">
        <f t="shared" si="18"/>
        <v>0.55586221951980863</v>
      </c>
      <c r="BR35" s="343">
        <f t="shared" si="19"/>
        <v>0.52072815690955687</v>
      </c>
      <c r="BS35" s="344">
        <f t="shared" si="20"/>
        <v>0.68993809626201008</v>
      </c>
    </row>
    <row r="36" spans="1:71" ht="17" thickBot="1" x14ac:dyDescent="0.25">
      <c r="A36" t="str">
        <f t="shared" si="31"/>
        <v xml:space="preserve">R7H2EA05 </v>
      </c>
      <c r="B36" s="25">
        <f t="shared" si="32"/>
        <v>74.911410347271442</v>
      </c>
      <c r="C36" s="25">
        <f t="shared" si="33"/>
        <v>97.016980266177143</v>
      </c>
      <c r="D36" s="25">
        <f t="shared" si="34"/>
        <v>526.25396825396831</v>
      </c>
      <c r="E36" s="303">
        <f t="shared" si="37"/>
        <v>0.59132487549307799</v>
      </c>
      <c r="F36" s="303">
        <f t="shared" si="37"/>
        <v>0.5676218911297799</v>
      </c>
      <c r="G36" s="303">
        <f t="shared" si="37"/>
        <v>-0.19711286089238844</v>
      </c>
      <c r="H36" s="303">
        <f t="shared" si="37"/>
        <v>-0.7664328322596039</v>
      </c>
      <c r="I36" s="303">
        <f t="shared" si="37"/>
        <v>-0.83844168239300665</v>
      </c>
      <c r="J36" s="303">
        <f t="shared" si="37"/>
        <v>-0.9778361038203558</v>
      </c>
      <c r="K36" s="303">
        <f t="shared" si="37"/>
        <v>-6.911636045494296E-2</v>
      </c>
      <c r="L36" s="303">
        <f t="shared" si="37"/>
        <v>-0.44933643857898042</v>
      </c>
      <c r="M36" s="303">
        <f t="shared" si="37"/>
        <v>0</v>
      </c>
      <c r="N36" s="303">
        <f t="shared" si="37"/>
        <v>-6.911636045494296E-2</v>
      </c>
      <c r="O36" s="303">
        <f t="shared" si="37"/>
        <v>0.50420261667509192</v>
      </c>
      <c r="Q36">
        <v>15</v>
      </c>
      <c r="AE36" s="257">
        <f t="shared" si="9"/>
        <v>23.076923076923077</v>
      </c>
      <c r="AG36">
        <f t="shared" si="21"/>
        <v>26.978417266187051</v>
      </c>
      <c r="AM36">
        <f t="shared" si="22"/>
        <v>0.8553846153846153</v>
      </c>
      <c r="AN36" s="4">
        <v>36</v>
      </c>
      <c r="AO36" s="25">
        <f t="shared" si="10"/>
        <v>750</v>
      </c>
      <c r="AP36" s="257">
        <f t="shared" ref="AP36:BC36" si="41">AP18/AP$24</f>
        <v>80.108991825613074</v>
      </c>
      <c r="AQ36" s="257">
        <f t="shared" si="41"/>
        <v>36.154649947753398</v>
      </c>
      <c r="AR36" s="257">
        <f t="shared" si="41"/>
        <v>53.430656934306569</v>
      </c>
      <c r="AS36" s="257">
        <f t="shared" si="41"/>
        <v>40.646976090014064</v>
      </c>
      <c r="AT36" s="257">
        <f t="shared" si="41"/>
        <v>29.870129870129869</v>
      </c>
      <c r="AU36" s="257">
        <f t="shared" si="41"/>
        <v>24.597701149425291</v>
      </c>
      <c r="AV36" s="257">
        <f t="shared" si="41"/>
        <v>25.163398692810457</v>
      </c>
      <c r="AW36" s="257">
        <f t="shared" si="41"/>
        <v>20.68965517241379</v>
      </c>
      <c r="AX36" s="257">
        <f t="shared" si="41"/>
        <v>18.897637795275593</v>
      </c>
      <c r="AY36" s="257">
        <f t="shared" si="41"/>
        <v>17.647058823529409</v>
      </c>
      <c r="AZ36" s="257">
        <f t="shared" si="41"/>
        <v>17.269076305220882</v>
      </c>
      <c r="BA36" s="257">
        <f t="shared" si="41"/>
        <v>17.222222222222225</v>
      </c>
      <c r="BB36" s="257">
        <f t="shared" si="41"/>
        <v>16.935483870967744</v>
      </c>
      <c r="BC36" s="257">
        <f t="shared" si="41"/>
        <v>16.842105263157894</v>
      </c>
      <c r="BD36" s="308">
        <f t="shared" si="24"/>
        <v>136.62</v>
      </c>
      <c r="BE36" s="257">
        <f t="shared" si="12"/>
        <v>0.31097124944898863</v>
      </c>
      <c r="BF36" s="39">
        <f t="shared" si="25"/>
        <v>42.819999999999993</v>
      </c>
      <c r="BH36" s="324">
        <v>0.53998442527251367</v>
      </c>
      <c r="BI36" s="324">
        <v>0.5147678027872804</v>
      </c>
      <c r="BK36" s="324">
        <f t="shared" si="13"/>
        <v>0.91643725146686694</v>
      </c>
      <c r="BL36" s="324">
        <f t="shared" si="14"/>
        <v>0.89391691907574411</v>
      </c>
      <c r="BM36" s="324">
        <f t="shared" si="15"/>
        <v>0.89720423723521647</v>
      </c>
      <c r="BN36" s="345" t="s">
        <v>162</v>
      </c>
      <c r="BO36" s="346">
        <f t="shared" si="16"/>
        <v>0.31097124944898863</v>
      </c>
      <c r="BP36" s="346">
        <f t="shared" si="17"/>
        <v>0.53998442527251367</v>
      </c>
      <c r="BQ36" s="346">
        <f t="shared" si="18"/>
        <v>0.5414818787303084</v>
      </c>
      <c r="BR36" s="346">
        <f t="shared" si="19"/>
        <v>0.5147678027872804</v>
      </c>
      <c r="BS36" s="347">
        <f t="shared" si="20"/>
        <v>0.67666489656314421</v>
      </c>
    </row>
    <row r="37" spans="1:71" ht="16" x14ac:dyDescent="0.2">
      <c r="A37" t="str">
        <f t="shared" si="31"/>
        <v xml:space="preserve">R7H2EA06 </v>
      </c>
      <c r="B37" s="25">
        <f t="shared" si="32"/>
        <v>68.113975576662128</v>
      </c>
      <c r="C37" s="25">
        <f t="shared" si="33"/>
        <v>97.286821705426348</v>
      </c>
      <c r="D37" s="25">
        <f t="shared" si="34"/>
        <v>351.23809523809524</v>
      </c>
      <c r="E37" s="303">
        <f t="shared" si="37"/>
        <v>1.6556902938468454</v>
      </c>
      <c r="F37" s="303">
        <f t="shared" si="37"/>
        <v>0.57006268947447847</v>
      </c>
      <c r="G37" s="303">
        <f t="shared" si="37"/>
        <v>-9.0076792659818494E-2</v>
      </c>
      <c r="H37" s="303">
        <f t="shared" si="37"/>
        <v>-0.67162697081516276</v>
      </c>
      <c r="I37" s="303">
        <f t="shared" si="37"/>
        <v>-0.80531243328962221</v>
      </c>
      <c r="J37" s="303">
        <f t="shared" si="37"/>
        <v>-1</v>
      </c>
      <c r="K37" s="303">
        <f t="shared" si="37"/>
        <v>-0.18204182041820416</v>
      </c>
      <c r="L37" s="303">
        <f t="shared" si="37"/>
        <v>-0.48848812431786293</v>
      </c>
      <c r="M37" s="303">
        <f t="shared" si="37"/>
        <v>0</v>
      </c>
      <c r="N37" s="303">
        <f t="shared" si="37"/>
        <v>0.96309963099631002</v>
      </c>
      <c r="O37" s="303">
        <f t="shared" si="37"/>
        <v>0.51664933406679014</v>
      </c>
      <c r="Q37">
        <v>13.333333333333334</v>
      </c>
      <c r="AN37" s="4"/>
    </row>
    <row r="38" spans="1:71" ht="16" x14ac:dyDescent="0.2">
      <c r="A38" t="str">
        <f t="shared" si="31"/>
        <v xml:space="preserve">R7H2EA07 </v>
      </c>
      <c r="B38" s="25">
        <f t="shared" si="32"/>
        <v>73.413443484791586</v>
      </c>
      <c r="C38" s="25">
        <f t="shared" si="33"/>
        <v>97.263681592039788</v>
      </c>
      <c r="D38" s="25">
        <f t="shared" si="34"/>
        <v>446.25396825396831</v>
      </c>
      <c r="E38" s="303">
        <f t="shared" si="37"/>
        <v>0.77365581620900792</v>
      </c>
      <c r="F38" s="303">
        <f t="shared" si="37"/>
        <v>0.57362395280610956</v>
      </c>
      <c r="G38" s="303">
        <f t="shared" si="37"/>
        <v>-0.14794794794794774</v>
      </c>
      <c r="H38" s="303">
        <f t="shared" si="37"/>
        <v>-0.76851592851592854</v>
      </c>
      <c r="I38" s="303">
        <f t="shared" si="37"/>
        <v>-0.82463327917873364</v>
      </c>
      <c r="J38" s="303">
        <f t="shared" si="37"/>
        <v>-0.97594175371953151</v>
      </c>
      <c r="K38" s="303">
        <f t="shared" si="37"/>
        <v>1.0446343779677347E-2</v>
      </c>
      <c r="L38" s="303">
        <f t="shared" si="37"/>
        <v>-0.50900846675494549</v>
      </c>
      <c r="M38" s="303">
        <f t="shared" si="37"/>
        <v>0</v>
      </c>
      <c r="N38" s="303">
        <f t="shared" si="37"/>
        <v>0.26305792972459674</v>
      </c>
      <c r="O38" s="303">
        <f t="shared" si="37"/>
        <v>0.55360248504971077</v>
      </c>
      <c r="Q38">
        <v>10</v>
      </c>
      <c r="AN38" s="4"/>
    </row>
    <row r="39" spans="1:71" ht="16" x14ac:dyDescent="0.2">
      <c r="A39" t="str">
        <f t="shared" si="31"/>
        <v xml:space="preserve">R7H2EA08 </v>
      </c>
      <c r="B39" s="25">
        <f t="shared" si="32"/>
        <v>70.724637681159422</v>
      </c>
      <c r="C39" s="25">
        <f t="shared" si="33"/>
        <v>96.551724137931018</v>
      </c>
      <c r="D39" s="25">
        <f t="shared" si="34"/>
        <v>487.65079365079373</v>
      </c>
      <c r="E39" s="303">
        <f t="shared" si="37"/>
        <v>1.1071500345507048</v>
      </c>
      <c r="F39" s="303">
        <f t="shared" si="37"/>
        <v>0.50564000255177488</v>
      </c>
      <c r="G39" s="303">
        <f t="shared" si="37"/>
        <v>-0.15883121811358947</v>
      </c>
      <c r="H39" s="303">
        <f t="shared" si="37"/>
        <v>-0.55937030208481064</v>
      </c>
      <c r="I39" s="303">
        <f t="shared" si="37"/>
        <v>-0.86281765320199588</v>
      </c>
      <c r="J39" s="303">
        <f t="shared" si="37"/>
        <v>-0.97365227942451027</v>
      </c>
      <c r="K39" s="303">
        <f t="shared" si="37"/>
        <v>-3.1721268850753992E-2</v>
      </c>
      <c r="L39" s="303">
        <f t="shared" si="37"/>
        <v>-0.38045747181999945</v>
      </c>
      <c r="M39" s="303">
        <f t="shared" si="37"/>
        <v>0</v>
      </c>
      <c r="N39" s="303">
        <f t="shared" si="37"/>
        <v>0.38325533021320868</v>
      </c>
      <c r="O39" s="303">
        <f t="shared" si="37"/>
        <v>0.45219232055462855</v>
      </c>
      <c r="Q39">
        <v>22</v>
      </c>
    </row>
    <row r="40" spans="1:71" ht="16" x14ac:dyDescent="0.2">
      <c r="A40" t="str">
        <f t="shared" si="31"/>
        <v xml:space="preserve">R7H2EA09 </v>
      </c>
      <c r="B40" s="25">
        <f t="shared" si="32"/>
        <v>75.244072524407258</v>
      </c>
      <c r="C40" s="25">
        <f t="shared" si="33"/>
        <v>95.486725663716811</v>
      </c>
      <c r="D40" s="25">
        <f t="shared" si="34"/>
        <v>827.68253968253964</v>
      </c>
      <c r="E40" s="303">
        <f t="shared" si="37"/>
        <v>0.60629300172949807</v>
      </c>
      <c r="F40" s="303">
        <f t="shared" si="37"/>
        <v>0.6983152292095971</v>
      </c>
      <c r="G40" s="303">
        <f t="shared" si="37"/>
        <v>1.2293909508394263E-2</v>
      </c>
      <c r="H40" s="303">
        <f t="shared" si="37"/>
        <v>-0.64434540389972139</v>
      </c>
      <c r="I40" s="303">
        <f t="shared" si="37"/>
        <v>-0.77342940675429916</v>
      </c>
      <c r="J40" s="303">
        <f t="shared" si="37"/>
        <v>-0.9764778706282885</v>
      </c>
      <c r="K40" s="303">
        <f t="shared" si="37"/>
        <v>0.23491179201485624</v>
      </c>
      <c r="L40" s="303">
        <f t="shared" si="37"/>
        <v>-5.0335438816744404E-2</v>
      </c>
      <c r="M40" s="303">
        <f t="shared" si="37"/>
        <v>0</v>
      </c>
      <c r="N40" s="303">
        <f t="shared" si="37"/>
        <v>0.23491179201485624</v>
      </c>
      <c r="O40" s="303">
        <f t="shared" si="37"/>
        <v>0.57541957013951839</v>
      </c>
      <c r="Q40">
        <v>20</v>
      </c>
    </row>
    <row r="41" spans="1:71" ht="16" x14ac:dyDescent="0.2">
      <c r="A41" t="str">
        <f t="shared" si="31"/>
        <v xml:space="preserve">R7H2EA10 </v>
      </c>
      <c r="B41" s="25">
        <f t="shared" si="32"/>
        <v>73.794626426205369</v>
      </c>
      <c r="C41" s="25">
        <f t="shared" si="33"/>
        <v>89.309576837416486</v>
      </c>
      <c r="D41" s="25">
        <f t="shared" si="34"/>
        <v>1986.0952380952381</v>
      </c>
      <c r="E41" s="303">
        <f t="shared" si="37"/>
        <v>1.0495087552999345</v>
      </c>
      <c r="F41" s="303">
        <f t="shared" si="37"/>
        <v>0.87572318373175162</v>
      </c>
      <c r="G41" s="303">
        <f t="shared" si="37"/>
        <v>-3.5886880257741227E-2</v>
      </c>
      <c r="H41" s="303">
        <f t="shared" si="37"/>
        <v>-5.1944611679711095E-2</v>
      </c>
      <c r="I41" s="303">
        <f t="shared" si="37"/>
        <v>-0.3011876744567894</v>
      </c>
      <c r="J41" s="303">
        <f t="shared" si="37"/>
        <v>-0.94407652685798382</v>
      </c>
      <c r="K41" s="303">
        <f t="shared" si="37"/>
        <v>0.76158940397351005</v>
      </c>
      <c r="L41" s="303">
        <f t="shared" si="37"/>
        <v>1.8036563753381216</v>
      </c>
      <c r="M41" s="303">
        <f t="shared" si="37"/>
        <v>0</v>
      </c>
      <c r="N41" s="303">
        <f t="shared" si="37"/>
        <v>-0.11920529801324498</v>
      </c>
      <c r="O41" s="303">
        <f t="shared" si="37"/>
        <v>0.53540055776146001</v>
      </c>
      <c r="Q41">
        <v>22</v>
      </c>
    </row>
    <row r="42" spans="1:71" ht="16" x14ac:dyDescent="0.2">
      <c r="A42" t="str">
        <f t="shared" si="31"/>
        <v xml:space="preserve">R7H2EA11 </v>
      </c>
      <c r="B42" s="25">
        <f t="shared" si="32"/>
        <v>74.70567249375668</v>
      </c>
      <c r="C42" s="25">
        <f t="shared" si="33"/>
        <v>94.879927503398278</v>
      </c>
      <c r="D42" s="25">
        <f t="shared" si="34"/>
        <v>971.96825396825398</v>
      </c>
      <c r="E42" s="303">
        <f t="shared" si="37"/>
        <v>0.62004413327158314</v>
      </c>
      <c r="F42" s="303">
        <f t="shared" si="37"/>
        <v>0.66651657154824906</v>
      </c>
      <c r="G42" s="303">
        <f t="shared" si="37"/>
        <v>-7.6893795203653026E-3</v>
      </c>
      <c r="H42" s="303">
        <f t="shared" si="37"/>
        <v>-0.13354161331626113</v>
      </c>
      <c r="I42" s="303">
        <f t="shared" si="37"/>
        <v>-0.21354906297287846</v>
      </c>
      <c r="J42" s="303">
        <f t="shared" si="37"/>
        <v>-0.80970266040688577</v>
      </c>
      <c r="K42" s="303">
        <f t="shared" si="37"/>
        <v>0.12394366197183126</v>
      </c>
      <c r="L42" s="303">
        <f t="shared" si="37"/>
        <v>1.3132315016861851E-2</v>
      </c>
      <c r="M42" s="303">
        <f t="shared" si="37"/>
        <v>0</v>
      </c>
      <c r="N42" s="303">
        <f t="shared" si="37"/>
        <v>-0.25070422535211256</v>
      </c>
      <c r="O42" s="303">
        <f t="shared" si="37"/>
        <v>0.53283575227206592</v>
      </c>
      <c r="Q42">
        <v>23.75</v>
      </c>
    </row>
    <row r="43" spans="1:71" ht="16" x14ac:dyDescent="0.2">
      <c r="A43" t="str">
        <f t="shared" si="31"/>
        <v xml:space="preserve">R7H2EA12 </v>
      </c>
      <c r="B43" s="25">
        <f t="shared" si="32"/>
        <v>72.562620423892099</v>
      </c>
      <c r="C43" s="25">
        <f t="shared" si="33"/>
        <v>89.666666666666671</v>
      </c>
      <c r="D43" s="25">
        <f t="shared" si="34"/>
        <v>1563.4603174603174</v>
      </c>
      <c r="E43" s="303">
        <f t="shared" si="37"/>
        <v>0</v>
      </c>
      <c r="F43" s="303">
        <f t="shared" si="37"/>
        <v>0</v>
      </c>
      <c r="G43" s="303">
        <f t="shared" si="37"/>
        <v>0</v>
      </c>
      <c r="H43" s="303">
        <f t="shared" si="37"/>
        <v>0</v>
      </c>
      <c r="I43" s="303">
        <f t="shared" si="37"/>
        <v>0</v>
      </c>
      <c r="J43" s="303">
        <f t="shared" si="37"/>
        <v>0</v>
      </c>
      <c r="K43" s="303">
        <f t="shared" si="37"/>
        <v>0</v>
      </c>
      <c r="L43" s="303">
        <f t="shared" si="37"/>
        <v>0</v>
      </c>
      <c r="M43" s="303">
        <f t="shared" si="37"/>
        <v>0</v>
      </c>
      <c r="N43" s="303">
        <f t="shared" si="37"/>
        <v>0</v>
      </c>
      <c r="O43" s="303">
        <f t="shared" si="37"/>
        <v>0</v>
      </c>
      <c r="Q43">
        <v>24</v>
      </c>
    </row>
    <row r="44" spans="1:71" x14ac:dyDescent="0.2">
      <c r="A44" t="str">
        <f t="shared" ref="A44:A45" si="42">A19</f>
        <v xml:space="preserve">CZO-GNEISS </v>
      </c>
      <c r="B44" s="25">
        <f t="shared" ref="B44:B45" si="43">100*G19/(G19+7+L19)</f>
        <v>55.740365111561864</v>
      </c>
      <c r="C44" s="25">
        <f t="shared" ref="C44:C45" si="44">100*G19/(G19+K19+M19+L19)</f>
        <v>62.625341841385591</v>
      </c>
      <c r="D44" s="25">
        <f t="shared" ref="D44:D45" si="45">100*((2*L19/0.35)+(J19/0.9)+(2*M19/0.25)+(K19/0.7))</f>
        <v>3461.7142857142858</v>
      </c>
    </row>
    <row r="45" spans="1:71" x14ac:dyDescent="0.2">
      <c r="A45" t="str">
        <f t="shared" si="42"/>
        <v xml:space="preserve">_MLG </v>
      </c>
      <c r="B45" s="25">
        <f t="shared" si="43"/>
        <v>57.354535598120712</v>
      </c>
      <c r="C45" s="25">
        <f t="shared" si="44"/>
        <v>60.781309842972036</v>
      </c>
      <c r="D45" s="25">
        <f t="shared" si="45"/>
        <v>5726.4761904761908</v>
      </c>
    </row>
  </sheetData>
  <mergeCells count="1">
    <mergeCell ref="BN3:BS3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43"/>
  <sheetViews>
    <sheetView topLeftCell="S1" zoomScale="80" zoomScaleNormal="80" workbookViewId="0">
      <selection activeCell="AE28" sqref="AE28"/>
    </sheetView>
  </sheetViews>
  <sheetFormatPr baseColWidth="10" defaultRowHeight="15" x14ac:dyDescent="0.2"/>
  <cols>
    <col min="1" max="1" width="12.5" customWidth="1"/>
    <col min="2" max="2" width="6.5" bestFit="1" customWidth="1"/>
    <col min="3" max="4" width="8.83203125" bestFit="1" customWidth="1"/>
    <col min="5" max="5" width="10.33203125" bestFit="1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10" customWidth="1"/>
    <col min="42" max="55" width="7" bestFit="1" customWidth="1"/>
    <col min="56" max="56" width="8.1640625" bestFit="1" customWidth="1"/>
    <col min="57" max="62" width="7" bestFit="1" customWidth="1"/>
  </cols>
  <sheetData>
    <row r="1" spans="1:82" x14ac:dyDescent="0.2">
      <c r="A1" s="2" t="s">
        <v>416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82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82" x14ac:dyDescent="0.2">
      <c r="A3" s="2" t="s">
        <v>2</v>
      </c>
      <c r="B3" s="2" t="s">
        <v>422</v>
      </c>
      <c r="C3" s="2" t="s">
        <v>426</v>
      </c>
      <c r="D3" s="2" t="s">
        <v>426</v>
      </c>
      <c r="E3" s="2" t="s">
        <v>426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82" x14ac:dyDescent="0.2">
      <c r="A4" s="2" t="s">
        <v>60</v>
      </c>
      <c r="B4" s="2"/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82" x14ac:dyDescent="0.2">
      <c r="A5" s="2" t="s">
        <v>63</v>
      </c>
      <c r="B5" s="2"/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82" ht="16" thickBot="1" x14ac:dyDescent="0.25">
      <c r="A6" s="5" t="s">
        <v>64</v>
      </c>
      <c r="B6" s="5"/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  <c r="BK6" s="38" t="s">
        <v>467</v>
      </c>
      <c r="BL6" t="s">
        <v>548</v>
      </c>
      <c r="BM6" t="s">
        <v>549</v>
      </c>
      <c r="BN6" t="s">
        <v>551</v>
      </c>
      <c r="BO6" t="s">
        <v>550</v>
      </c>
      <c r="BP6" t="s">
        <v>562</v>
      </c>
      <c r="BQ6" t="s">
        <v>563</v>
      </c>
      <c r="BR6" t="s">
        <v>552</v>
      </c>
      <c r="BS6" t="s">
        <v>553</v>
      </c>
      <c r="BT6" t="s">
        <v>554</v>
      </c>
      <c r="BU6" t="s">
        <v>555</v>
      </c>
      <c r="BV6" t="s">
        <v>557</v>
      </c>
      <c r="BW6" t="s">
        <v>556</v>
      </c>
      <c r="BX6" t="s">
        <v>558</v>
      </c>
      <c r="BY6" t="s">
        <v>559</v>
      </c>
      <c r="BZ6" t="s">
        <v>560</v>
      </c>
      <c r="CA6" t="s">
        <v>568</v>
      </c>
      <c r="CB6" t="s">
        <v>561</v>
      </c>
      <c r="CC6" t="s">
        <v>605</v>
      </c>
      <c r="CD6" t="s">
        <v>608</v>
      </c>
    </row>
    <row r="7" spans="1:82" ht="16" thickTop="1" x14ac:dyDescent="0.2">
      <c r="A7" s="2" t="s">
        <v>128</v>
      </c>
      <c r="B7" s="7" t="s">
        <v>428</v>
      </c>
      <c r="C7" s="7">
        <v>0</v>
      </c>
      <c r="D7" s="7">
        <v>8</v>
      </c>
      <c r="E7" s="4">
        <f>AVERAGE(C7:D7)</f>
        <v>4</v>
      </c>
      <c r="F7" s="4">
        <v>74.97</v>
      </c>
      <c r="G7" s="4">
        <v>10.84</v>
      </c>
      <c r="H7" s="4">
        <v>4.51</v>
      </c>
      <c r="I7" s="4">
        <v>0.112</v>
      </c>
      <c r="J7" s="4">
        <v>0.18</v>
      </c>
      <c r="K7" s="4">
        <v>0.06</v>
      </c>
      <c r="L7" s="4">
        <v>0.09</v>
      </c>
      <c r="M7" s="4">
        <v>0.9</v>
      </c>
      <c r="N7" s="4">
        <v>0.65300000000000002</v>
      </c>
      <c r="O7" s="4">
        <v>0.04</v>
      </c>
      <c r="P7" s="4">
        <v>6.87</v>
      </c>
      <c r="Q7" s="4">
        <v>99.23</v>
      </c>
      <c r="R7" s="4">
        <v>11</v>
      </c>
      <c r="S7" s="4">
        <v>1</v>
      </c>
      <c r="T7" s="4">
        <v>72</v>
      </c>
      <c r="U7" s="4">
        <v>30</v>
      </c>
      <c r="V7" s="4">
        <v>14</v>
      </c>
      <c r="W7" s="4" t="s">
        <v>69</v>
      </c>
      <c r="X7" s="4">
        <v>30</v>
      </c>
      <c r="Y7" s="4">
        <v>30</v>
      </c>
      <c r="Z7" s="4">
        <v>10</v>
      </c>
      <c r="AA7" s="4" t="s">
        <v>68</v>
      </c>
      <c r="AB7" s="4" t="s">
        <v>71</v>
      </c>
      <c r="AC7" s="4">
        <v>45</v>
      </c>
      <c r="AD7" s="4">
        <v>36</v>
      </c>
      <c r="AE7" s="4">
        <v>33</v>
      </c>
      <c r="AF7" s="4">
        <v>326</v>
      </c>
      <c r="AG7" s="4">
        <v>4</v>
      </c>
      <c r="AH7" s="4" t="s">
        <v>72</v>
      </c>
      <c r="AI7" s="4">
        <v>1.3</v>
      </c>
      <c r="AJ7" s="4" t="s">
        <v>73</v>
      </c>
      <c r="AK7" s="4">
        <v>1</v>
      </c>
      <c r="AL7" s="4" t="s">
        <v>74</v>
      </c>
      <c r="AM7" s="4">
        <v>2</v>
      </c>
      <c r="AN7" s="4">
        <v>368</v>
      </c>
      <c r="AO7" s="4" t="s">
        <v>75</v>
      </c>
      <c r="AP7" s="4">
        <v>36.200000000000003</v>
      </c>
      <c r="AQ7" s="4">
        <v>80.400000000000006</v>
      </c>
      <c r="AR7" s="4">
        <v>8.7799999999999994</v>
      </c>
      <c r="AS7" s="4">
        <v>32.799999999999997</v>
      </c>
      <c r="AT7" s="4">
        <v>6.6</v>
      </c>
      <c r="AU7" s="4">
        <v>1.75</v>
      </c>
      <c r="AV7" s="4">
        <v>6</v>
      </c>
      <c r="AW7" s="4">
        <v>0.9</v>
      </c>
      <c r="AX7" s="4">
        <v>5.8</v>
      </c>
      <c r="AY7" s="4">
        <v>1.2</v>
      </c>
      <c r="AZ7" s="4">
        <v>3.4</v>
      </c>
      <c r="BA7" s="4">
        <v>0.51</v>
      </c>
      <c r="BB7" s="4">
        <v>3.5</v>
      </c>
      <c r="BC7" s="4">
        <v>0.52</v>
      </c>
      <c r="BD7" s="4">
        <v>7.2</v>
      </c>
      <c r="BE7" s="4">
        <v>0.5</v>
      </c>
      <c r="BF7" s="4" t="s">
        <v>68</v>
      </c>
      <c r="BG7" s="4" t="s">
        <v>79</v>
      </c>
      <c r="BH7" s="4">
        <v>14</v>
      </c>
      <c r="BI7" s="4">
        <v>4.3</v>
      </c>
      <c r="BJ7" s="4">
        <v>1.8</v>
      </c>
      <c r="BK7" s="257">
        <f>100*(G7/(G7+J7+K7+L7))</f>
        <v>97.045658012533579</v>
      </c>
      <c r="BL7" s="257">
        <v>0.61537586716706472</v>
      </c>
      <c r="BM7" s="257">
        <v>3.6961219151597863E-2</v>
      </c>
      <c r="BN7" s="257">
        <v>0</v>
      </c>
      <c r="BO7" s="257">
        <v>0</v>
      </c>
      <c r="BP7" s="257">
        <v>0</v>
      </c>
      <c r="BQ7" s="257">
        <v>0</v>
      </c>
      <c r="BR7" s="257">
        <v>0</v>
      </c>
      <c r="BS7" s="257">
        <v>0</v>
      </c>
      <c r="BT7" s="257">
        <v>0</v>
      </c>
      <c r="BU7" s="257">
        <v>0</v>
      </c>
      <c r="BV7" s="257">
        <v>0.11236210622085752</v>
      </c>
      <c r="BW7" s="257">
        <v>0.17070396906630275</v>
      </c>
      <c r="BX7" s="257">
        <v>1.8196292505402026E-3</v>
      </c>
      <c r="BY7" s="257">
        <v>0</v>
      </c>
      <c r="BZ7" s="257">
        <v>7.8471511429546222E-3</v>
      </c>
      <c r="CA7" s="257">
        <v>5.4930058000682368E-2</v>
      </c>
      <c r="CB7" s="257">
        <v>0</v>
      </c>
      <c r="CC7" s="257">
        <v>0</v>
      </c>
      <c r="CD7">
        <v>0</v>
      </c>
    </row>
    <row r="8" spans="1:82" x14ac:dyDescent="0.2">
      <c r="A8" s="2" t="s">
        <v>129</v>
      </c>
      <c r="B8" s="7" t="s">
        <v>438</v>
      </c>
      <c r="C8" s="7">
        <v>8</v>
      </c>
      <c r="D8" s="7">
        <v>28</v>
      </c>
      <c r="E8" s="4">
        <f t="shared" ref="E8:E18" si="0">AVERAGE(C8:D8)</f>
        <v>18</v>
      </c>
      <c r="F8" s="4">
        <v>64.52</v>
      </c>
      <c r="G8" s="4">
        <v>16.98</v>
      </c>
      <c r="H8" s="4">
        <v>7.11</v>
      </c>
      <c r="I8" s="4">
        <v>2.9000000000000001E-2</v>
      </c>
      <c r="J8" s="4">
        <v>0.24</v>
      </c>
      <c r="K8" s="4">
        <v>0.02</v>
      </c>
      <c r="L8" s="4">
        <v>0.06</v>
      </c>
      <c r="M8" s="4">
        <v>0.72</v>
      </c>
      <c r="N8" s="4">
        <v>0.746</v>
      </c>
      <c r="O8" s="4">
        <v>0.04</v>
      </c>
      <c r="P8" s="4">
        <v>8.67</v>
      </c>
      <c r="Q8" s="4">
        <v>99.14</v>
      </c>
      <c r="R8" s="4">
        <v>19</v>
      </c>
      <c r="S8" s="4">
        <v>1</v>
      </c>
      <c r="T8" s="4">
        <v>118</v>
      </c>
      <c r="U8" s="4">
        <v>30</v>
      </c>
      <c r="V8" s="4">
        <v>10</v>
      </c>
      <c r="W8" s="4" t="s">
        <v>69</v>
      </c>
      <c r="X8" s="4">
        <v>40</v>
      </c>
      <c r="Y8" s="4">
        <v>50</v>
      </c>
      <c r="Z8" s="4">
        <v>18</v>
      </c>
      <c r="AA8" s="4">
        <v>1</v>
      </c>
      <c r="AB8" s="4" t="s">
        <v>71</v>
      </c>
      <c r="AC8" s="4">
        <v>50</v>
      </c>
      <c r="AD8" s="4">
        <v>23</v>
      </c>
      <c r="AE8" s="4">
        <v>14</v>
      </c>
      <c r="AF8" s="4">
        <v>285</v>
      </c>
      <c r="AG8" s="4">
        <v>6</v>
      </c>
      <c r="AH8" s="4" t="s">
        <v>72</v>
      </c>
      <c r="AI8" s="4">
        <v>1.2</v>
      </c>
      <c r="AJ8" s="4" t="s">
        <v>73</v>
      </c>
      <c r="AK8" s="4">
        <v>1</v>
      </c>
      <c r="AL8" s="4" t="s">
        <v>74</v>
      </c>
      <c r="AM8" s="4">
        <v>2.5</v>
      </c>
      <c r="AN8" s="4">
        <v>230</v>
      </c>
      <c r="AO8" s="4" t="s">
        <v>75</v>
      </c>
      <c r="AP8" s="4">
        <v>19.3</v>
      </c>
      <c r="AQ8" s="4">
        <v>38.299999999999997</v>
      </c>
      <c r="AR8" s="4">
        <v>4.71</v>
      </c>
      <c r="AS8" s="4">
        <v>17.8</v>
      </c>
      <c r="AT8" s="4">
        <v>3.4</v>
      </c>
      <c r="AU8" s="4">
        <v>0.91</v>
      </c>
      <c r="AV8" s="4">
        <v>3</v>
      </c>
      <c r="AW8" s="4">
        <v>0.5</v>
      </c>
      <c r="AX8" s="4">
        <v>2.9</v>
      </c>
      <c r="AY8" s="4">
        <v>0.6</v>
      </c>
      <c r="AZ8" s="4">
        <v>1.7</v>
      </c>
      <c r="BA8" s="4">
        <v>0.26</v>
      </c>
      <c r="BB8" s="4">
        <v>1.7</v>
      </c>
      <c r="BC8" s="4">
        <v>0.31</v>
      </c>
      <c r="BD8" s="4">
        <v>6.5</v>
      </c>
      <c r="BE8" s="4">
        <v>0.5</v>
      </c>
      <c r="BF8" s="4" t="s">
        <v>68</v>
      </c>
      <c r="BG8" s="4" t="s">
        <v>79</v>
      </c>
      <c r="BH8" s="4">
        <v>11</v>
      </c>
      <c r="BI8" s="4">
        <v>6.4</v>
      </c>
      <c r="BJ8" s="4">
        <v>1.9</v>
      </c>
      <c r="BK8" s="257">
        <f t="shared" ref="BK8:BK20" si="1">100*(G8/(G8+J8+K8+L8))</f>
        <v>98.150289017341066</v>
      </c>
      <c r="BL8" s="257">
        <v>0.47556201767140144</v>
      </c>
      <c r="BM8" s="257">
        <v>2.9974275808075164E-2</v>
      </c>
      <c r="BN8" s="257">
        <v>0</v>
      </c>
      <c r="BO8" s="257">
        <v>0</v>
      </c>
      <c r="BP8" s="257">
        <v>0</v>
      </c>
      <c r="BQ8" s="257">
        <v>0</v>
      </c>
      <c r="BR8" s="257">
        <v>0</v>
      </c>
      <c r="BS8" s="257">
        <v>0</v>
      </c>
      <c r="BT8" s="257">
        <v>0</v>
      </c>
      <c r="BU8" s="257">
        <v>0</v>
      </c>
      <c r="BV8" s="257">
        <v>0.23330723632703276</v>
      </c>
      <c r="BW8" s="257">
        <v>0.16463482831897999</v>
      </c>
      <c r="BX8" s="257">
        <v>4.0040263952578016E-2</v>
      </c>
      <c r="BY8" s="257">
        <v>0</v>
      </c>
      <c r="BZ8" s="257">
        <v>1.1408119897103233E-2</v>
      </c>
      <c r="CA8" s="257">
        <v>4.5073258024829442E-2</v>
      </c>
      <c r="CB8" s="257">
        <v>0</v>
      </c>
      <c r="CC8" s="257">
        <v>0</v>
      </c>
      <c r="CD8">
        <v>0</v>
      </c>
    </row>
    <row r="9" spans="1:82" x14ac:dyDescent="0.2">
      <c r="A9" s="2" t="s">
        <v>130</v>
      </c>
      <c r="B9" s="7" t="s">
        <v>418</v>
      </c>
      <c r="C9" s="7">
        <v>28</v>
      </c>
      <c r="D9" s="7">
        <v>78</v>
      </c>
      <c r="E9" s="4">
        <f t="shared" si="0"/>
        <v>53</v>
      </c>
      <c r="F9" s="4">
        <v>52.37</v>
      </c>
      <c r="G9" s="4">
        <v>23.66</v>
      </c>
      <c r="H9" s="4">
        <v>11.31</v>
      </c>
      <c r="I9" s="4">
        <v>2.7E-2</v>
      </c>
      <c r="J9" s="4">
        <v>0.28999999999999998</v>
      </c>
      <c r="K9" s="4">
        <v>0.01</v>
      </c>
      <c r="L9" s="4">
        <v>0.04</v>
      </c>
      <c r="M9" s="4">
        <v>0.43</v>
      </c>
      <c r="N9" s="4">
        <v>0.75600000000000001</v>
      </c>
      <c r="O9" s="4">
        <v>0.06</v>
      </c>
      <c r="P9" s="4">
        <v>11.85</v>
      </c>
      <c r="Q9" s="4">
        <v>100.8</v>
      </c>
      <c r="R9" s="4">
        <v>31</v>
      </c>
      <c r="S9" s="4">
        <v>2</v>
      </c>
      <c r="T9" s="4">
        <v>172</v>
      </c>
      <c r="U9" s="4">
        <v>30</v>
      </c>
      <c r="V9" s="4">
        <v>7</v>
      </c>
      <c r="W9" s="4" t="s">
        <v>69</v>
      </c>
      <c r="X9" s="4">
        <v>60</v>
      </c>
      <c r="Y9" s="4">
        <v>70</v>
      </c>
      <c r="Z9" s="4">
        <v>24</v>
      </c>
      <c r="AA9" s="4">
        <v>1</v>
      </c>
      <c r="AB9" s="4" t="s">
        <v>71</v>
      </c>
      <c r="AC9" s="4">
        <v>35</v>
      </c>
      <c r="AD9" s="4">
        <v>9</v>
      </c>
      <c r="AE9" s="4">
        <v>5</v>
      </c>
      <c r="AF9" s="4">
        <v>143</v>
      </c>
      <c r="AG9" s="4">
        <v>6</v>
      </c>
      <c r="AH9" s="4" t="s">
        <v>72</v>
      </c>
      <c r="AI9" s="4">
        <v>0.6</v>
      </c>
      <c r="AJ9" s="4" t="s">
        <v>73</v>
      </c>
      <c r="AK9" s="4">
        <v>2</v>
      </c>
      <c r="AL9" s="4" t="s">
        <v>74</v>
      </c>
      <c r="AM9" s="4">
        <v>2</v>
      </c>
      <c r="AN9" s="4">
        <v>90</v>
      </c>
      <c r="AO9" s="4" t="s">
        <v>75</v>
      </c>
      <c r="AP9" s="4">
        <v>9.1999999999999993</v>
      </c>
      <c r="AQ9" s="4">
        <v>19.8</v>
      </c>
      <c r="AR9" s="4">
        <v>2.19</v>
      </c>
      <c r="AS9" s="4">
        <v>8.4</v>
      </c>
      <c r="AT9" s="4">
        <v>1.6</v>
      </c>
      <c r="AU9" s="4">
        <v>0.41</v>
      </c>
      <c r="AV9" s="4">
        <v>1.3</v>
      </c>
      <c r="AW9" s="4">
        <v>0.2</v>
      </c>
      <c r="AX9" s="4">
        <v>1.3</v>
      </c>
      <c r="AY9" s="4">
        <v>0.2</v>
      </c>
      <c r="AZ9" s="4">
        <v>0.8</v>
      </c>
      <c r="BA9" s="4">
        <v>0.12</v>
      </c>
      <c r="BB9" s="4">
        <v>0.9</v>
      </c>
      <c r="BC9" s="4">
        <v>0.15</v>
      </c>
      <c r="BD9" s="4">
        <v>3.5</v>
      </c>
      <c r="BE9" s="4">
        <v>0.4</v>
      </c>
      <c r="BF9" s="4" t="s">
        <v>68</v>
      </c>
      <c r="BG9" s="4" t="s">
        <v>79</v>
      </c>
      <c r="BH9" s="4">
        <v>11</v>
      </c>
      <c r="BI9" s="4">
        <v>8.1</v>
      </c>
      <c r="BJ9" s="4">
        <v>1.4</v>
      </c>
      <c r="BK9" s="257">
        <f t="shared" si="1"/>
        <v>98.583333333333329</v>
      </c>
      <c r="BL9" s="257">
        <v>0.3089843309660692</v>
      </c>
      <c r="BM9" s="257">
        <v>2.592717844662383E-3</v>
      </c>
      <c r="BN9" s="257">
        <v>0</v>
      </c>
      <c r="BO9" s="257">
        <v>0</v>
      </c>
      <c r="BP9" s="257">
        <v>0</v>
      </c>
      <c r="BQ9" s="257">
        <v>0</v>
      </c>
      <c r="BR9" s="257">
        <v>0</v>
      </c>
      <c r="BS9" s="257">
        <v>0.13301769811746139</v>
      </c>
      <c r="BT9" s="257">
        <v>2.355991432758426E-2</v>
      </c>
      <c r="BU9" s="257">
        <v>0</v>
      </c>
      <c r="BV9" s="257">
        <v>0.26332995152744898</v>
      </c>
      <c r="BW9" s="257">
        <v>0.18430842069665201</v>
      </c>
      <c r="BX9" s="257">
        <v>2.2545372562281589E-3</v>
      </c>
      <c r="BY9" s="257">
        <v>0</v>
      </c>
      <c r="BZ9" s="257">
        <v>1.1498140006763611E-2</v>
      </c>
      <c r="CA9" s="257">
        <v>7.0454289257129973E-2</v>
      </c>
      <c r="CB9" s="257">
        <v>0</v>
      </c>
      <c r="CC9" s="257">
        <v>0</v>
      </c>
      <c r="CD9">
        <v>0</v>
      </c>
    </row>
    <row r="10" spans="1:82" x14ac:dyDescent="0.2">
      <c r="A10" s="2" t="s">
        <v>131</v>
      </c>
      <c r="B10" s="7" t="s">
        <v>419</v>
      </c>
      <c r="C10" s="7">
        <v>78</v>
      </c>
      <c r="D10" s="7">
        <v>110</v>
      </c>
      <c r="E10" s="4">
        <f t="shared" si="0"/>
        <v>94</v>
      </c>
      <c r="F10" s="4">
        <v>54.6</v>
      </c>
      <c r="G10" s="4">
        <v>22.62</v>
      </c>
      <c r="H10" s="4">
        <v>10.56</v>
      </c>
      <c r="I10" s="4">
        <v>2.5000000000000001E-2</v>
      </c>
      <c r="J10" s="4">
        <v>0.4</v>
      </c>
      <c r="K10" s="4">
        <v>0.03</v>
      </c>
      <c r="L10" s="4">
        <v>0.04</v>
      </c>
      <c r="M10" s="4">
        <v>0.32</v>
      </c>
      <c r="N10" s="4">
        <v>0.75800000000000001</v>
      </c>
      <c r="O10" s="4">
        <v>7.0000000000000007E-2</v>
      </c>
      <c r="P10" s="4">
        <v>11.01</v>
      </c>
      <c r="Q10" s="4">
        <v>100.4</v>
      </c>
      <c r="R10" s="4">
        <v>35</v>
      </c>
      <c r="S10" s="4">
        <v>2</v>
      </c>
      <c r="T10" s="4">
        <v>152</v>
      </c>
      <c r="U10" s="4">
        <v>30</v>
      </c>
      <c r="V10" s="4">
        <v>5</v>
      </c>
      <c r="W10" s="4" t="s">
        <v>69</v>
      </c>
      <c r="X10" s="4">
        <v>60</v>
      </c>
      <c r="Y10" s="4">
        <v>60</v>
      </c>
      <c r="Z10" s="4">
        <v>23</v>
      </c>
      <c r="AA10" s="4">
        <v>1</v>
      </c>
      <c r="AB10" s="4" t="s">
        <v>71</v>
      </c>
      <c r="AC10" s="4">
        <v>24</v>
      </c>
      <c r="AD10" s="4">
        <v>4</v>
      </c>
      <c r="AE10" s="4" t="s">
        <v>72</v>
      </c>
      <c r="AF10" s="4">
        <v>107</v>
      </c>
      <c r="AG10" s="4">
        <v>5</v>
      </c>
      <c r="AH10" s="4" t="s">
        <v>72</v>
      </c>
      <c r="AI10" s="4" t="s">
        <v>74</v>
      </c>
      <c r="AJ10" s="4" t="s">
        <v>73</v>
      </c>
      <c r="AK10" s="4">
        <v>1</v>
      </c>
      <c r="AL10" s="4" t="s">
        <v>74</v>
      </c>
      <c r="AM10" s="4">
        <v>1.4</v>
      </c>
      <c r="AN10" s="4">
        <v>46</v>
      </c>
      <c r="AO10" s="4" t="s">
        <v>75</v>
      </c>
      <c r="AP10" s="4">
        <v>4.7</v>
      </c>
      <c r="AQ10" s="4">
        <v>12.2</v>
      </c>
      <c r="AR10" s="4">
        <v>1.2</v>
      </c>
      <c r="AS10" s="4">
        <v>4.5</v>
      </c>
      <c r="AT10" s="4">
        <v>0.9</v>
      </c>
      <c r="AU10" s="4">
        <v>0.25</v>
      </c>
      <c r="AV10" s="4">
        <v>0.6</v>
      </c>
      <c r="AW10" s="4">
        <v>0.1</v>
      </c>
      <c r="AX10" s="4">
        <v>0.7</v>
      </c>
      <c r="AY10" s="4">
        <v>0.2</v>
      </c>
      <c r="AZ10" s="4">
        <v>0.5</v>
      </c>
      <c r="BA10" s="4">
        <v>0.08</v>
      </c>
      <c r="BB10" s="4">
        <v>0.6</v>
      </c>
      <c r="BC10" s="4">
        <v>0.1</v>
      </c>
      <c r="BD10" s="4">
        <v>2.7</v>
      </c>
      <c r="BE10" s="4">
        <v>0.4</v>
      </c>
      <c r="BF10" s="4" t="s">
        <v>68</v>
      </c>
      <c r="BG10" s="4" t="s">
        <v>79</v>
      </c>
      <c r="BH10" s="4">
        <v>11</v>
      </c>
      <c r="BI10" s="4">
        <v>5.3</v>
      </c>
      <c r="BJ10" s="4">
        <v>0.9</v>
      </c>
      <c r="BK10" s="257">
        <f t="shared" si="1"/>
        <v>97.96448679081854</v>
      </c>
      <c r="BL10" s="257">
        <v>0.26985539488320359</v>
      </c>
      <c r="BM10" s="257">
        <v>1.2235817575083428E-3</v>
      </c>
      <c r="BN10" s="257">
        <v>0</v>
      </c>
      <c r="BO10" s="257">
        <v>0</v>
      </c>
      <c r="BP10" s="257">
        <v>0</v>
      </c>
      <c r="BQ10" s="257">
        <v>0</v>
      </c>
      <c r="BR10" s="257">
        <v>0</v>
      </c>
      <c r="BS10" s="257">
        <v>9.0100111234705238E-2</v>
      </c>
      <c r="BT10" s="257">
        <v>1.7797552836484987E-2</v>
      </c>
      <c r="BU10" s="257">
        <v>0</v>
      </c>
      <c r="BV10" s="257">
        <v>0.29354838709677422</v>
      </c>
      <c r="BW10" s="257">
        <v>0.15450500556173527</v>
      </c>
      <c r="BX10" s="257">
        <v>2.0022246941045607E-3</v>
      </c>
      <c r="BY10" s="257">
        <v>0</v>
      </c>
      <c r="BZ10" s="257">
        <v>0.13426028921023361</v>
      </c>
      <c r="CA10" s="257">
        <v>3.6707452725250278E-2</v>
      </c>
      <c r="CB10" s="257">
        <v>0</v>
      </c>
      <c r="CC10" s="257">
        <v>0</v>
      </c>
      <c r="CD10">
        <v>0</v>
      </c>
    </row>
    <row r="11" spans="1:82" x14ac:dyDescent="0.2">
      <c r="A11" s="2" t="s">
        <v>132</v>
      </c>
      <c r="B11" s="7" t="s">
        <v>429</v>
      </c>
      <c r="C11" s="7">
        <v>110</v>
      </c>
      <c r="D11" s="7">
        <v>148</v>
      </c>
      <c r="E11" s="4">
        <f t="shared" si="0"/>
        <v>129</v>
      </c>
      <c r="F11" s="4">
        <v>53.81</v>
      </c>
      <c r="G11" s="4">
        <v>23.58</v>
      </c>
      <c r="H11" s="4">
        <v>10.49</v>
      </c>
      <c r="I11" s="4">
        <v>2.9000000000000001E-2</v>
      </c>
      <c r="J11" s="4">
        <v>0.38</v>
      </c>
      <c r="K11" s="4">
        <v>0</v>
      </c>
      <c r="L11" s="4">
        <v>0.05</v>
      </c>
      <c r="M11" s="4">
        <v>0.4</v>
      </c>
      <c r="N11" s="4">
        <v>0.76300000000000001</v>
      </c>
      <c r="O11" s="4">
        <v>0.05</v>
      </c>
      <c r="P11" s="4">
        <v>10.9</v>
      </c>
      <c r="Q11" s="4">
        <v>100.5</v>
      </c>
      <c r="R11" s="4">
        <v>34</v>
      </c>
      <c r="S11" s="4">
        <v>2</v>
      </c>
      <c r="T11" s="4">
        <v>151</v>
      </c>
      <c r="U11" s="4">
        <v>30</v>
      </c>
      <c r="V11" s="4">
        <v>6</v>
      </c>
      <c r="W11" s="4" t="s">
        <v>69</v>
      </c>
      <c r="X11" s="4">
        <v>60</v>
      </c>
      <c r="Y11" s="4">
        <v>70</v>
      </c>
      <c r="Z11" s="4">
        <v>22</v>
      </c>
      <c r="AA11" s="4">
        <v>1</v>
      </c>
      <c r="AB11" s="4" t="s">
        <v>71</v>
      </c>
      <c r="AC11" s="4">
        <v>27</v>
      </c>
      <c r="AD11" s="4">
        <v>4</v>
      </c>
      <c r="AE11" s="4">
        <v>2</v>
      </c>
      <c r="AF11" s="4">
        <v>148</v>
      </c>
      <c r="AG11" s="4">
        <v>5</v>
      </c>
      <c r="AH11" s="4" t="s">
        <v>72</v>
      </c>
      <c r="AI11" s="4" t="s">
        <v>74</v>
      </c>
      <c r="AJ11" s="4" t="s">
        <v>73</v>
      </c>
      <c r="AK11" s="4">
        <v>1</v>
      </c>
      <c r="AL11" s="4" t="s">
        <v>74</v>
      </c>
      <c r="AM11" s="4">
        <v>1.6</v>
      </c>
      <c r="AN11" s="4">
        <v>57</v>
      </c>
      <c r="AO11" s="4" t="s">
        <v>75</v>
      </c>
      <c r="AP11" s="4">
        <v>5.6</v>
      </c>
      <c r="AQ11" s="4">
        <v>15.5</v>
      </c>
      <c r="AR11" s="4">
        <v>1.41</v>
      </c>
      <c r="AS11" s="4">
        <v>5.3</v>
      </c>
      <c r="AT11" s="4">
        <v>1.1000000000000001</v>
      </c>
      <c r="AU11" s="4">
        <v>0.28999999999999998</v>
      </c>
      <c r="AV11" s="4">
        <v>0.8</v>
      </c>
      <c r="AW11" s="4">
        <v>0.1</v>
      </c>
      <c r="AX11" s="4">
        <v>0.8</v>
      </c>
      <c r="AY11" s="4">
        <v>0.2</v>
      </c>
      <c r="AZ11" s="4">
        <v>0.5</v>
      </c>
      <c r="BA11" s="4">
        <v>0.09</v>
      </c>
      <c r="BB11" s="4">
        <v>0.7</v>
      </c>
      <c r="BC11" s="4">
        <v>0.12</v>
      </c>
      <c r="BD11" s="4">
        <v>3.5</v>
      </c>
      <c r="BE11" s="4">
        <v>0.3</v>
      </c>
      <c r="BF11" s="4" t="s">
        <v>68</v>
      </c>
      <c r="BG11" s="4" t="s">
        <v>79</v>
      </c>
      <c r="BH11" s="4">
        <v>12</v>
      </c>
      <c r="BI11" s="4">
        <v>5.5</v>
      </c>
      <c r="BJ11" s="4">
        <v>1</v>
      </c>
      <c r="BK11" s="257">
        <f t="shared" si="1"/>
        <v>98.209079550187425</v>
      </c>
      <c r="BL11" s="257">
        <v>0.3019187358916478</v>
      </c>
      <c r="BM11" s="257">
        <v>0</v>
      </c>
      <c r="BN11" s="257">
        <v>0</v>
      </c>
      <c r="BO11" s="257">
        <v>0</v>
      </c>
      <c r="BP11" s="257">
        <v>0</v>
      </c>
      <c r="BQ11" s="257">
        <v>0</v>
      </c>
      <c r="BR11" s="257">
        <v>0</v>
      </c>
      <c r="BS11" s="257">
        <v>9.0519187358916467E-2</v>
      </c>
      <c r="BT11" s="257">
        <v>3.1715575620767489E-2</v>
      </c>
      <c r="BU11" s="257">
        <v>0</v>
      </c>
      <c r="BV11" s="257">
        <v>0.28069977426636566</v>
      </c>
      <c r="BW11" s="257">
        <v>0.16907449209932279</v>
      </c>
      <c r="BX11" s="257">
        <v>0</v>
      </c>
      <c r="BY11" s="257">
        <v>0</v>
      </c>
      <c r="BZ11" s="257">
        <v>7.83295711060948E-2</v>
      </c>
      <c r="CA11" s="257">
        <v>4.7742663656884878E-2</v>
      </c>
      <c r="CB11" s="257">
        <v>0</v>
      </c>
      <c r="CC11" s="257">
        <v>0</v>
      </c>
      <c r="CD11">
        <v>0</v>
      </c>
    </row>
    <row r="12" spans="1:82" x14ac:dyDescent="0.2">
      <c r="A12" s="2" t="s">
        <v>133</v>
      </c>
      <c r="B12" s="7" t="s">
        <v>430</v>
      </c>
      <c r="C12" s="7">
        <v>148</v>
      </c>
      <c r="D12" s="7">
        <v>200</v>
      </c>
      <c r="E12" s="4">
        <f t="shared" si="0"/>
        <v>174</v>
      </c>
      <c r="F12" s="4">
        <v>56.35</v>
      </c>
      <c r="G12" s="4">
        <v>22.1</v>
      </c>
      <c r="H12" s="4">
        <v>9.8699999999999992</v>
      </c>
      <c r="I12" s="4">
        <v>4.2000000000000003E-2</v>
      </c>
      <c r="J12" s="4">
        <v>0.53</v>
      </c>
      <c r="K12" s="4">
        <v>0.01</v>
      </c>
      <c r="L12" s="4">
        <v>0.03</v>
      </c>
      <c r="M12" s="4">
        <v>0.46</v>
      </c>
      <c r="N12" s="4">
        <v>0.73</v>
      </c>
      <c r="O12" s="4">
        <v>0.05</v>
      </c>
      <c r="P12" s="4">
        <v>9.99</v>
      </c>
      <c r="Q12" s="4">
        <v>100.2</v>
      </c>
      <c r="R12" s="4">
        <v>32</v>
      </c>
      <c r="S12" s="4">
        <v>2</v>
      </c>
      <c r="T12" s="4">
        <v>141</v>
      </c>
      <c r="U12" s="4">
        <v>20</v>
      </c>
      <c r="V12" s="4">
        <v>8</v>
      </c>
      <c r="W12" s="4" t="s">
        <v>69</v>
      </c>
      <c r="X12" s="4">
        <v>60</v>
      </c>
      <c r="Y12" s="4">
        <v>80</v>
      </c>
      <c r="Z12" s="4">
        <v>21</v>
      </c>
      <c r="AA12" s="4">
        <v>1</v>
      </c>
      <c r="AB12" s="4" t="s">
        <v>71</v>
      </c>
      <c r="AC12" s="4">
        <v>28</v>
      </c>
      <c r="AD12" s="4">
        <v>2</v>
      </c>
      <c r="AE12" s="4">
        <v>4</v>
      </c>
      <c r="AF12" s="4">
        <v>121</v>
      </c>
      <c r="AG12" s="4">
        <v>4</v>
      </c>
      <c r="AH12" s="4" t="s">
        <v>72</v>
      </c>
      <c r="AI12" s="4" t="s">
        <v>74</v>
      </c>
      <c r="AJ12" s="4" t="s">
        <v>73</v>
      </c>
      <c r="AK12" s="4">
        <v>1</v>
      </c>
      <c r="AL12" s="4" t="s">
        <v>74</v>
      </c>
      <c r="AM12" s="4">
        <v>1.4</v>
      </c>
      <c r="AN12" s="4">
        <v>69</v>
      </c>
      <c r="AO12" s="4" t="s">
        <v>75</v>
      </c>
      <c r="AP12" s="4">
        <v>7.4</v>
      </c>
      <c r="AQ12" s="4">
        <v>23.4</v>
      </c>
      <c r="AR12" s="4">
        <v>2.04</v>
      </c>
      <c r="AS12" s="4">
        <v>7.7</v>
      </c>
      <c r="AT12" s="4">
        <v>1.6</v>
      </c>
      <c r="AU12" s="4">
        <v>0.39</v>
      </c>
      <c r="AV12" s="4">
        <v>1.2</v>
      </c>
      <c r="AW12" s="4">
        <v>0.2</v>
      </c>
      <c r="AX12" s="4">
        <v>1.1000000000000001</v>
      </c>
      <c r="AY12" s="4">
        <v>0.2</v>
      </c>
      <c r="AZ12" s="4">
        <v>0.6</v>
      </c>
      <c r="BA12" s="4">
        <v>0.1</v>
      </c>
      <c r="BB12" s="4">
        <v>0.8</v>
      </c>
      <c r="BC12" s="4">
        <v>0.13</v>
      </c>
      <c r="BD12" s="4">
        <v>3</v>
      </c>
      <c r="BE12" s="4">
        <v>0.3</v>
      </c>
      <c r="BF12" s="4" t="s">
        <v>68</v>
      </c>
      <c r="BG12" s="4" t="s">
        <v>79</v>
      </c>
      <c r="BH12" s="4">
        <v>11</v>
      </c>
      <c r="BI12" s="4">
        <v>4.2</v>
      </c>
      <c r="BJ12" s="4">
        <v>0.7</v>
      </c>
      <c r="BK12" s="257">
        <f t="shared" si="1"/>
        <v>97.485663872959833</v>
      </c>
      <c r="BL12" s="257">
        <v>0.3360142984807864</v>
      </c>
      <c r="BM12" s="257">
        <v>2.2341376228775695E-4</v>
      </c>
      <c r="BN12" s="257">
        <v>0</v>
      </c>
      <c r="BO12" s="257">
        <v>0</v>
      </c>
      <c r="BP12" s="257">
        <v>0</v>
      </c>
      <c r="BQ12" s="257">
        <v>0</v>
      </c>
      <c r="BR12" s="257">
        <v>0</v>
      </c>
      <c r="BS12" s="257">
        <v>9.8972296693476319E-2</v>
      </c>
      <c r="BT12" s="257">
        <v>1.9660411081322611E-2</v>
      </c>
      <c r="BU12" s="257">
        <v>0</v>
      </c>
      <c r="BV12" s="257">
        <v>0.29982126899016981</v>
      </c>
      <c r="BW12" s="257">
        <v>0.17605004468275245</v>
      </c>
      <c r="BX12" s="257">
        <v>2.0107238605898124E-3</v>
      </c>
      <c r="BY12" s="257">
        <v>0</v>
      </c>
      <c r="BZ12" s="257">
        <v>1.664432529043789E-2</v>
      </c>
      <c r="CA12" s="257">
        <v>5.060321715817695E-2</v>
      </c>
      <c r="CB12" s="257">
        <v>0</v>
      </c>
      <c r="CC12" s="257">
        <v>0</v>
      </c>
      <c r="CD12">
        <v>0</v>
      </c>
    </row>
    <row r="13" spans="1:82" x14ac:dyDescent="0.2">
      <c r="A13" s="2" t="s">
        <v>134</v>
      </c>
      <c r="B13" s="2" t="s">
        <v>421</v>
      </c>
      <c r="C13" s="7">
        <v>210</v>
      </c>
      <c r="D13" s="7">
        <v>300</v>
      </c>
      <c r="E13" s="4">
        <f t="shared" si="0"/>
        <v>255</v>
      </c>
      <c r="F13" s="4">
        <v>58.26</v>
      </c>
      <c r="G13" s="4">
        <v>20.92</v>
      </c>
      <c r="H13" s="4">
        <v>8.9700000000000006</v>
      </c>
      <c r="I13" s="4">
        <v>9.5000000000000001E-2</v>
      </c>
      <c r="J13" s="4">
        <v>0.69</v>
      </c>
      <c r="K13" s="4">
        <v>0</v>
      </c>
      <c r="L13" s="4">
        <v>0.04</v>
      </c>
      <c r="M13" s="4">
        <v>0.63</v>
      </c>
      <c r="N13" s="4">
        <v>0.67400000000000004</v>
      </c>
      <c r="O13" s="4">
        <v>0.04</v>
      </c>
      <c r="P13" s="4">
        <v>9.69</v>
      </c>
      <c r="Q13" s="4">
        <v>100</v>
      </c>
      <c r="R13" s="4">
        <v>27</v>
      </c>
      <c r="S13" s="4">
        <v>2</v>
      </c>
      <c r="T13" s="4">
        <v>134</v>
      </c>
      <c r="U13" s="4" t="s">
        <v>69</v>
      </c>
      <c r="V13" s="4">
        <v>19</v>
      </c>
      <c r="W13" s="4" t="s">
        <v>69</v>
      </c>
      <c r="X13" s="4">
        <v>50</v>
      </c>
      <c r="Y13" s="4">
        <v>100</v>
      </c>
      <c r="Z13" s="4">
        <v>20</v>
      </c>
      <c r="AA13" s="4">
        <v>1</v>
      </c>
      <c r="AB13" s="4" t="s">
        <v>71</v>
      </c>
      <c r="AC13" s="4">
        <v>36</v>
      </c>
      <c r="AD13" s="4" t="s">
        <v>72</v>
      </c>
      <c r="AE13" s="4">
        <v>8</v>
      </c>
      <c r="AF13" s="4">
        <v>126</v>
      </c>
      <c r="AG13" s="4">
        <v>4</v>
      </c>
      <c r="AH13" s="4" t="s">
        <v>72</v>
      </c>
      <c r="AI13" s="4" t="s">
        <v>74</v>
      </c>
      <c r="AJ13" s="4" t="s">
        <v>73</v>
      </c>
      <c r="AK13" s="4" t="s">
        <v>68</v>
      </c>
      <c r="AL13" s="4" t="s">
        <v>74</v>
      </c>
      <c r="AM13" s="4">
        <v>1.6</v>
      </c>
      <c r="AN13" s="4">
        <v>107</v>
      </c>
      <c r="AO13" s="4" t="s">
        <v>75</v>
      </c>
      <c r="AP13" s="4">
        <v>13.4</v>
      </c>
      <c r="AQ13" s="4">
        <v>39.4</v>
      </c>
      <c r="AR13" s="4">
        <v>3.51</v>
      </c>
      <c r="AS13" s="4">
        <v>13.7</v>
      </c>
      <c r="AT13" s="4">
        <v>2.7</v>
      </c>
      <c r="AU13" s="4">
        <v>0.72</v>
      </c>
      <c r="AV13" s="4">
        <v>2.2000000000000002</v>
      </c>
      <c r="AW13" s="4">
        <v>0.3</v>
      </c>
      <c r="AX13" s="4">
        <v>1.9</v>
      </c>
      <c r="AY13" s="4">
        <v>0.4</v>
      </c>
      <c r="AZ13" s="4">
        <v>1.1000000000000001</v>
      </c>
      <c r="BA13" s="4">
        <v>0.18</v>
      </c>
      <c r="BB13" s="4">
        <v>1.3</v>
      </c>
      <c r="BC13" s="4">
        <v>0.2</v>
      </c>
      <c r="BD13" s="4">
        <v>3</v>
      </c>
      <c r="BE13" s="4">
        <v>0.2</v>
      </c>
      <c r="BF13" s="4" t="s">
        <v>68</v>
      </c>
      <c r="BG13" s="4" t="s">
        <v>79</v>
      </c>
      <c r="BH13" s="4">
        <v>58</v>
      </c>
      <c r="BI13" s="4">
        <v>3.4</v>
      </c>
      <c r="BJ13" s="4">
        <v>0.6</v>
      </c>
      <c r="BK13" s="257">
        <f t="shared" si="1"/>
        <v>96.628175519630489</v>
      </c>
      <c r="BL13" s="257">
        <v>0.38359964491788728</v>
      </c>
      <c r="BM13" s="257">
        <v>0</v>
      </c>
      <c r="BN13" s="257">
        <v>0</v>
      </c>
      <c r="BO13" s="257">
        <v>0</v>
      </c>
      <c r="BP13" s="257">
        <v>0</v>
      </c>
      <c r="BQ13" s="257">
        <v>0</v>
      </c>
      <c r="BR13" s="257">
        <v>0</v>
      </c>
      <c r="BS13" s="257">
        <v>6.835330670217489E-2</v>
      </c>
      <c r="BT13" s="257">
        <v>1.5090989791389262E-2</v>
      </c>
      <c r="BU13" s="257">
        <v>0</v>
      </c>
      <c r="BV13" s="257">
        <v>0.28683976919662679</v>
      </c>
      <c r="BW13" s="257">
        <v>0.17654238792720819</v>
      </c>
      <c r="BX13" s="257">
        <v>1.5534842432312476E-3</v>
      </c>
      <c r="BY13" s="257">
        <v>0</v>
      </c>
      <c r="BZ13" s="257">
        <v>7.6564580559254332E-3</v>
      </c>
      <c r="CA13" s="257">
        <v>6.0363959165557049E-2</v>
      </c>
      <c r="CB13" s="257">
        <v>0</v>
      </c>
      <c r="CC13" s="257">
        <v>0</v>
      </c>
      <c r="CD13">
        <v>0</v>
      </c>
    </row>
    <row r="14" spans="1:82" x14ac:dyDescent="0.2">
      <c r="A14" s="2" t="s">
        <v>135</v>
      </c>
      <c r="B14" s="2" t="s">
        <v>421</v>
      </c>
      <c r="C14" s="7">
        <v>300</v>
      </c>
      <c r="D14" s="7">
        <v>400</v>
      </c>
      <c r="E14" s="4">
        <f t="shared" si="0"/>
        <v>350</v>
      </c>
      <c r="F14" s="4">
        <v>58.97</v>
      </c>
      <c r="G14" s="4">
        <v>20.079999999999998</v>
      </c>
      <c r="H14" s="4">
        <v>8.8699999999999992</v>
      </c>
      <c r="I14" s="4">
        <v>0.14099999999999999</v>
      </c>
      <c r="J14" s="4">
        <v>0.95</v>
      </c>
      <c r="K14" s="4">
        <v>0.01</v>
      </c>
      <c r="L14" s="4">
        <v>0.04</v>
      </c>
      <c r="M14" s="4">
        <v>0.83</v>
      </c>
      <c r="N14" s="4">
        <v>0.68100000000000005</v>
      </c>
      <c r="O14" s="4">
        <v>0.03</v>
      </c>
      <c r="P14" s="4">
        <v>9.23</v>
      </c>
      <c r="Q14" s="4">
        <v>99.85</v>
      </c>
      <c r="R14" s="4">
        <v>26</v>
      </c>
      <c r="S14" s="4">
        <v>2</v>
      </c>
      <c r="T14" s="4">
        <v>130</v>
      </c>
      <c r="U14" s="4" t="s">
        <v>69</v>
      </c>
      <c r="V14" s="4">
        <v>33</v>
      </c>
      <c r="W14" s="4" t="s">
        <v>69</v>
      </c>
      <c r="X14" s="4">
        <v>40</v>
      </c>
      <c r="Y14" s="4">
        <v>90</v>
      </c>
      <c r="Z14" s="4">
        <v>19</v>
      </c>
      <c r="AA14" s="4">
        <v>1</v>
      </c>
      <c r="AB14" s="4" t="s">
        <v>71</v>
      </c>
      <c r="AC14" s="4">
        <v>46</v>
      </c>
      <c r="AD14" s="4" t="s">
        <v>72</v>
      </c>
      <c r="AE14" s="4">
        <v>13</v>
      </c>
      <c r="AF14" s="4">
        <v>132</v>
      </c>
      <c r="AG14" s="4">
        <v>4</v>
      </c>
      <c r="AH14" s="4" t="s">
        <v>72</v>
      </c>
      <c r="AI14" s="4" t="s">
        <v>74</v>
      </c>
      <c r="AJ14" s="4" t="s">
        <v>73</v>
      </c>
      <c r="AK14" s="4">
        <v>1</v>
      </c>
      <c r="AL14" s="4" t="s">
        <v>74</v>
      </c>
      <c r="AM14" s="4">
        <v>2.2000000000000002</v>
      </c>
      <c r="AN14" s="4">
        <v>144</v>
      </c>
      <c r="AO14" s="4" t="s">
        <v>75</v>
      </c>
      <c r="AP14" s="4">
        <v>17.899999999999999</v>
      </c>
      <c r="AQ14" s="4">
        <v>42.4</v>
      </c>
      <c r="AR14" s="4">
        <v>4.42</v>
      </c>
      <c r="AS14" s="4">
        <v>16.8</v>
      </c>
      <c r="AT14" s="4">
        <v>3.4</v>
      </c>
      <c r="AU14" s="4">
        <v>0.88</v>
      </c>
      <c r="AV14" s="4">
        <v>3</v>
      </c>
      <c r="AW14" s="4">
        <v>0.4</v>
      </c>
      <c r="AX14" s="4">
        <v>2.6</v>
      </c>
      <c r="AY14" s="4">
        <v>0.5</v>
      </c>
      <c r="AZ14" s="4">
        <v>1.6</v>
      </c>
      <c r="BA14" s="4">
        <v>0.24</v>
      </c>
      <c r="BB14" s="4">
        <v>1.7</v>
      </c>
      <c r="BC14" s="4">
        <v>0.26</v>
      </c>
      <c r="BD14" s="4">
        <v>3.4</v>
      </c>
      <c r="BE14" s="4">
        <v>0.2</v>
      </c>
      <c r="BF14" s="4">
        <v>4</v>
      </c>
      <c r="BG14" s="4" t="s">
        <v>79</v>
      </c>
      <c r="BH14" s="4">
        <v>351</v>
      </c>
      <c r="BI14" s="4">
        <v>4.2</v>
      </c>
      <c r="BJ14" s="4">
        <v>0.7</v>
      </c>
      <c r="BK14" s="257">
        <f t="shared" si="1"/>
        <v>95.256166982922196</v>
      </c>
      <c r="BL14" s="257">
        <v>0.32066586354178073</v>
      </c>
      <c r="BM14" s="257">
        <v>0</v>
      </c>
      <c r="BN14" s="257">
        <v>0</v>
      </c>
      <c r="BO14" s="257">
        <v>0</v>
      </c>
      <c r="BP14" s="257">
        <v>0</v>
      </c>
      <c r="BQ14" s="257">
        <v>0</v>
      </c>
      <c r="BR14" s="257">
        <v>0</v>
      </c>
      <c r="BS14" s="257">
        <v>6.2972292191435769E-2</v>
      </c>
      <c r="BT14" s="257">
        <v>2.4203263607490963E-2</v>
      </c>
      <c r="BU14" s="257">
        <v>0</v>
      </c>
      <c r="BV14" s="257">
        <v>0.23075238199540027</v>
      </c>
      <c r="BW14" s="257">
        <v>0.1481765414521958</v>
      </c>
      <c r="BX14" s="257">
        <v>0</v>
      </c>
      <c r="BY14" s="257">
        <v>0</v>
      </c>
      <c r="BZ14" s="257">
        <v>0.18979301281349248</v>
      </c>
      <c r="CA14" s="257">
        <v>2.3436644398203921E-2</v>
      </c>
      <c r="CB14" s="257">
        <v>0</v>
      </c>
      <c r="CC14" s="257">
        <v>0</v>
      </c>
      <c r="CD14">
        <v>0</v>
      </c>
    </row>
    <row r="15" spans="1:82" x14ac:dyDescent="0.2">
      <c r="A15" s="2" t="s">
        <v>136</v>
      </c>
      <c r="B15" s="2" t="s">
        <v>421</v>
      </c>
      <c r="C15" s="7">
        <v>400</v>
      </c>
      <c r="D15" s="7">
        <v>500</v>
      </c>
      <c r="E15" s="4">
        <f t="shared" si="0"/>
        <v>450</v>
      </c>
      <c r="F15" s="4">
        <v>58.48</v>
      </c>
      <c r="G15" s="4">
        <v>20.86</v>
      </c>
      <c r="H15" s="4">
        <v>8.9</v>
      </c>
      <c r="I15" s="4">
        <v>0.16600000000000001</v>
      </c>
      <c r="J15" s="4">
        <v>0.9</v>
      </c>
      <c r="K15" s="4">
        <v>0.01</v>
      </c>
      <c r="L15" s="4">
        <v>0.04</v>
      </c>
      <c r="M15" s="4">
        <v>0.76</v>
      </c>
      <c r="N15" s="4">
        <v>0.68500000000000005</v>
      </c>
      <c r="O15" s="4">
        <v>0.03</v>
      </c>
      <c r="P15" s="4">
        <v>9.4700000000000006</v>
      </c>
      <c r="Q15" s="4">
        <v>100.3</v>
      </c>
      <c r="R15" s="4">
        <v>27</v>
      </c>
      <c r="S15" s="4">
        <v>2</v>
      </c>
      <c r="T15" s="4">
        <v>128</v>
      </c>
      <c r="U15" s="4" t="s">
        <v>69</v>
      </c>
      <c r="V15" s="4">
        <v>40</v>
      </c>
      <c r="W15" s="4" t="s">
        <v>69</v>
      </c>
      <c r="X15" s="4">
        <v>60</v>
      </c>
      <c r="Y15" s="4">
        <v>100</v>
      </c>
      <c r="Z15" s="4">
        <v>19</v>
      </c>
      <c r="AA15" s="4">
        <v>1</v>
      </c>
      <c r="AB15" s="4" t="s">
        <v>71</v>
      </c>
      <c r="AC15" s="4">
        <v>41</v>
      </c>
      <c r="AD15" s="4" t="s">
        <v>72</v>
      </c>
      <c r="AE15" s="4">
        <v>15</v>
      </c>
      <c r="AF15" s="4">
        <v>142</v>
      </c>
      <c r="AG15" s="4">
        <v>3</v>
      </c>
      <c r="AH15" s="4" t="s">
        <v>72</v>
      </c>
      <c r="AI15" s="4" t="s">
        <v>74</v>
      </c>
      <c r="AJ15" s="4" t="s">
        <v>73</v>
      </c>
      <c r="AK15" s="4" t="s">
        <v>68</v>
      </c>
      <c r="AL15" s="4" t="s">
        <v>74</v>
      </c>
      <c r="AM15" s="4">
        <v>1.7</v>
      </c>
      <c r="AN15" s="4">
        <v>151</v>
      </c>
      <c r="AO15" s="4" t="s">
        <v>75</v>
      </c>
      <c r="AP15" s="4">
        <v>17.899999999999999</v>
      </c>
      <c r="AQ15" s="4">
        <v>36.799999999999997</v>
      </c>
      <c r="AR15" s="4">
        <v>4.34</v>
      </c>
      <c r="AS15" s="4">
        <v>17</v>
      </c>
      <c r="AT15" s="4">
        <v>3.5</v>
      </c>
      <c r="AU15" s="4">
        <v>0.98</v>
      </c>
      <c r="AV15" s="4">
        <v>3.1</v>
      </c>
      <c r="AW15" s="4">
        <v>0.5</v>
      </c>
      <c r="AX15" s="4">
        <v>3</v>
      </c>
      <c r="AY15" s="4">
        <v>0.6</v>
      </c>
      <c r="AZ15" s="4">
        <v>1.8</v>
      </c>
      <c r="BA15" s="4">
        <v>0.28000000000000003</v>
      </c>
      <c r="BB15" s="4">
        <v>1.9</v>
      </c>
      <c r="BC15" s="4">
        <v>0.3</v>
      </c>
      <c r="BD15" s="4">
        <v>3.5</v>
      </c>
      <c r="BE15" s="4">
        <v>0.2</v>
      </c>
      <c r="BF15" s="4" t="s">
        <v>68</v>
      </c>
      <c r="BG15" s="4" t="s">
        <v>79</v>
      </c>
      <c r="BH15" s="4">
        <v>161</v>
      </c>
      <c r="BI15" s="4">
        <v>2.7</v>
      </c>
      <c r="BJ15" s="4">
        <v>0.6</v>
      </c>
      <c r="BK15" s="257">
        <f t="shared" si="1"/>
        <v>95.644199908298944</v>
      </c>
      <c r="BL15" s="257">
        <v>0.34369146005509643</v>
      </c>
      <c r="BM15" s="257">
        <v>0</v>
      </c>
      <c r="BN15" s="257">
        <v>0</v>
      </c>
      <c r="BO15" s="257">
        <v>0</v>
      </c>
      <c r="BP15" s="257">
        <v>0</v>
      </c>
      <c r="BQ15" s="257">
        <v>0</v>
      </c>
      <c r="BR15" s="257">
        <v>0</v>
      </c>
      <c r="BS15" s="257">
        <v>6.545454545454546E-2</v>
      </c>
      <c r="BT15" s="257">
        <v>4.4077134986225897E-2</v>
      </c>
      <c r="BU15" s="257">
        <v>0</v>
      </c>
      <c r="BV15" s="257">
        <v>0.1487603305785124</v>
      </c>
      <c r="BW15" s="257">
        <v>0.14490358126721764</v>
      </c>
      <c r="BX15" s="257">
        <v>0</v>
      </c>
      <c r="BY15" s="257">
        <v>0</v>
      </c>
      <c r="BZ15" s="257">
        <v>0.22159779614325067</v>
      </c>
      <c r="CA15" s="257">
        <v>3.1515151515151517E-2</v>
      </c>
      <c r="CB15" s="257">
        <v>0</v>
      </c>
      <c r="CC15" s="257">
        <v>0</v>
      </c>
      <c r="CD15">
        <v>0</v>
      </c>
    </row>
    <row r="16" spans="1:82" x14ac:dyDescent="0.2">
      <c r="A16" s="2" t="s">
        <v>137</v>
      </c>
      <c r="B16" s="2" t="s">
        <v>421</v>
      </c>
      <c r="C16" s="7">
        <v>500</v>
      </c>
      <c r="D16" s="7">
        <v>600</v>
      </c>
      <c r="E16" s="4">
        <f t="shared" si="0"/>
        <v>550</v>
      </c>
      <c r="F16" s="4">
        <v>57.42</v>
      </c>
      <c r="G16" s="4">
        <v>21.36</v>
      </c>
      <c r="H16" s="4">
        <v>9.23</v>
      </c>
      <c r="I16" s="4">
        <v>0.223</v>
      </c>
      <c r="J16" s="4">
        <v>0.97</v>
      </c>
      <c r="K16" s="4">
        <v>0.01</v>
      </c>
      <c r="L16" s="4">
        <v>0.03</v>
      </c>
      <c r="M16" s="4">
        <v>0.81</v>
      </c>
      <c r="N16" s="4">
        <v>0.71599999999999997</v>
      </c>
      <c r="O16" s="4">
        <v>0.04</v>
      </c>
      <c r="P16" s="4">
        <v>9.83</v>
      </c>
      <c r="Q16" s="4">
        <v>100.7</v>
      </c>
      <c r="R16" s="4">
        <v>28</v>
      </c>
      <c r="S16" s="4">
        <v>1</v>
      </c>
      <c r="T16" s="4">
        <v>138</v>
      </c>
      <c r="U16" s="4" t="s">
        <v>69</v>
      </c>
      <c r="V16" s="4">
        <v>52</v>
      </c>
      <c r="W16" s="4" t="s">
        <v>69</v>
      </c>
      <c r="X16" s="4">
        <v>70</v>
      </c>
      <c r="Y16" s="4">
        <v>90</v>
      </c>
      <c r="Z16" s="4">
        <v>19</v>
      </c>
      <c r="AA16" s="4">
        <v>1</v>
      </c>
      <c r="AB16" s="4" t="s">
        <v>71</v>
      </c>
      <c r="AC16" s="4">
        <v>42</v>
      </c>
      <c r="AD16" s="4" t="s">
        <v>72</v>
      </c>
      <c r="AE16" s="4">
        <v>17</v>
      </c>
      <c r="AF16" s="4">
        <v>149</v>
      </c>
      <c r="AG16" s="4">
        <v>4</v>
      </c>
      <c r="AH16" s="4" t="s">
        <v>72</v>
      </c>
      <c r="AI16" s="4" t="s">
        <v>74</v>
      </c>
      <c r="AJ16" s="4" t="s">
        <v>73</v>
      </c>
      <c r="AK16" s="4" t="s">
        <v>68</v>
      </c>
      <c r="AL16" s="4" t="s">
        <v>74</v>
      </c>
      <c r="AM16" s="4">
        <v>1.6</v>
      </c>
      <c r="AN16" s="4">
        <v>168</v>
      </c>
      <c r="AO16" s="4" t="s">
        <v>75</v>
      </c>
      <c r="AP16" s="4">
        <v>17.600000000000001</v>
      </c>
      <c r="AQ16" s="4">
        <v>37</v>
      </c>
      <c r="AR16" s="4">
        <v>4.47</v>
      </c>
      <c r="AS16" s="4">
        <v>17.3</v>
      </c>
      <c r="AT16" s="4">
        <v>3.7</v>
      </c>
      <c r="AU16" s="4">
        <v>1.0900000000000001</v>
      </c>
      <c r="AV16" s="4">
        <v>3.6</v>
      </c>
      <c r="AW16" s="4">
        <v>0.6</v>
      </c>
      <c r="AX16" s="4">
        <v>3.4</v>
      </c>
      <c r="AY16" s="4">
        <v>0.7</v>
      </c>
      <c r="AZ16" s="4">
        <v>2.1</v>
      </c>
      <c r="BA16" s="4">
        <v>0.31</v>
      </c>
      <c r="BB16" s="4">
        <v>2.2000000000000002</v>
      </c>
      <c r="BC16" s="4">
        <v>0.35</v>
      </c>
      <c r="BD16" s="4">
        <v>3.7</v>
      </c>
      <c r="BE16" s="4">
        <v>0.2</v>
      </c>
      <c r="BF16" s="4" t="s">
        <v>68</v>
      </c>
      <c r="BG16" s="4" t="s">
        <v>79</v>
      </c>
      <c r="BH16" s="4">
        <v>24</v>
      </c>
      <c r="BI16" s="4">
        <v>2.9</v>
      </c>
      <c r="BJ16" s="4">
        <v>0.6</v>
      </c>
      <c r="BK16" s="257">
        <f t="shared" si="1"/>
        <v>95.485024586499762</v>
      </c>
      <c r="BL16" s="257">
        <v>0.31192860252503263</v>
      </c>
      <c r="BM16" s="257">
        <v>0</v>
      </c>
      <c r="BN16" s="257">
        <v>0</v>
      </c>
      <c r="BO16" s="257">
        <v>0</v>
      </c>
      <c r="BP16" s="257">
        <v>0</v>
      </c>
      <c r="BQ16" s="257">
        <v>0</v>
      </c>
      <c r="BR16" s="257">
        <v>0</v>
      </c>
      <c r="BS16" s="257">
        <v>6.1057901610796689E-2</v>
      </c>
      <c r="BT16" s="257">
        <v>4.3317370483239005E-2</v>
      </c>
      <c r="BU16" s="257">
        <v>0</v>
      </c>
      <c r="BV16" s="257">
        <v>0.15063125816282105</v>
      </c>
      <c r="BW16" s="257">
        <v>0.19101001306051371</v>
      </c>
      <c r="BX16" s="257">
        <v>0</v>
      </c>
      <c r="BY16" s="257">
        <v>0</v>
      </c>
      <c r="BZ16" s="257">
        <v>0.20211144971702219</v>
      </c>
      <c r="CA16" s="257">
        <v>3.9943404440574655E-2</v>
      </c>
      <c r="CB16" s="257">
        <v>0</v>
      </c>
      <c r="CC16" s="257">
        <v>0</v>
      </c>
      <c r="CD16">
        <v>0</v>
      </c>
    </row>
    <row r="17" spans="1:82" x14ac:dyDescent="0.2">
      <c r="A17" s="2" t="s">
        <v>138</v>
      </c>
      <c r="B17" s="2" t="s">
        <v>421</v>
      </c>
      <c r="C17" s="7">
        <v>600</v>
      </c>
      <c r="D17" s="7">
        <v>700</v>
      </c>
      <c r="E17" s="4">
        <f t="shared" si="0"/>
        <v>650</v>
      </c>
      <c r="F17" s="4">
        <v>57.6</v>
      </c>
      <c r="G17" s="4">
        <v>20.13</v>
      </c>
      <c r="H17" s="4">
        <v>8.7200000000000006</v>
      </c>
      <c r="I17" s="4">
        <v>0.20499999999999999</v>
      </c>
      <c r="J17" s="4">
        <v>0.86</v>
      </c>
      <c r="K17" s="4">
        <v>0</v>
      </c>
      <c r="L17" s="4">
        <v>0.05</v>
      </c>
      <c r="M17" s="4">
        <v>0.68</v>
      </c>
      <c r="N17" s="4">
        <v>0.66900000000000004</v>
      </c>
      <c r="O17" s="4">
        <v>0.05</v>
      </c>
      <c r="P17" s="4">
        <v>9.5500000000000007</v>
      </c>
      <c r="Q17" s="4">
        <v>98.52</v>
      </c>
      <c r="R17" s="4">
        <v>26</v>
      </c>
      <c r="S17" s="4">
        <v>1</v>
      </c>
      <c r="T17" s="4">
        <v>126</v>
      </c>
      <c r="U17" s="4" t="s">
        <v>69</v>
      </c>
      <c r="V17" s="4">
        <v>55</v>
      </c>
      <c r="W17" s="4" t="s">
        <v>69</v>
      </c>
      <c r="X17" s="4">
        <v>110</v>
      </c>
      <c r="Y17" s="4">
        <v>80</v>
      </c>
      <c r="Z17" s="4">
        <v>19</v>
      </c>
      <c r="AA17" s="4">
        <v>1</v>
      </c>
      <c r="AB17" s="4" t="s">
        <v>71</v>
      </c>
      <c r="AC17" s="4">
        <v>36</v>
      </c>
      <c r="AD17" s="4">
        <v>3</v>
      </c>
      <c r="AE17" s="4">
        <v>18</v>
      </c>
      <c r="AF17" s="4">
        <v>115</v>
      </c>
      <c r="AG17" s="4">
        <v>4</v>
      </c>
      <c r="AH17" s="4" t="s">
        <v>72</v>
      </c>
      <c r="AI17" s="4">
        <v>0.9</v>
      </c>
      <c r="AJ17" s="4" t="s">
        <v>73</v>
      </c>
      <c r="AK17" s="4" t="s">
        <v>68</v>
      </c>
      <c r="AL17" s="4">
        <v>2.9</v>
      </c>
      <c r="AM17" s="4">
        <v>1.5</v>
      </c>
      <c r="AN17" s="4">
        <v>145</v>
      </c>
      <c r="AO17" s="4" t="s">
        <v>75</v>
      </c>
      <c r="AP17" s="4">
        <v>16.600000000000001</v>
      </c>
      <c r="AQ17" s="4">
        <v>31</v>
      </c>
      <c r="AR17" s="4">
        <v>4.12</v>
      </c>
      <c r="AS17" s="4">
        <v>16.3</v>
      </c>
      <c r="AT17" s="4">
        <v>3.7</v>
      </c>
      <c r="AU17" s="4">
        <v>1.1100000000000001</v>
      </c>
      <c r="AV17" s="4">
        <v>3.6</v>
      </c>
      <c r="AW17" s="4">
        <v>0.6</v>
      </c>
      <c r="AX17" s="4">
        <v>3.7</v>
      </c>
      <c r="AY17" s="4">
        <v>0.8</v>
      </c>
      <c r="AZ17" s="4">
        <v>2.2000000000000002</v>
      </c>
      <c r="BA17" s="4">
        <v>0.33</v>
      </c>
      <c r="BB17" s="4">
        <v>2.2999999999999998</v>
      </c>
      <c r="BC17" s="4">
        <v>0.36</v>
      </c>
      <c r="BD17" s="4">
        <v>3</v>
      </c>
      <c r="BE17" s="4">
        <v>0.3</v>
      </c>
      <c r="BF17" s="4" t="s">
        <v>68</v>
      </c>
      <c r="BG17" s="4" t="s">
        <v>79</v>
      </c>
      <c r="BH17" s="4">
        <v>3910</v>
      </c>
      <c r="BI17" s="4">
        <v>2.5</v>
      </c>
      <c r="BJ17" s="4">
        <v>0.6</v>
      </c>
      <c r="BK17" s="257">
        <f t="shared" si="1"/>
        <v>95.674904942965782</v>
      </c>
      <c r="BL17" s="257">
        <v>0.260481244089524</v>
      </c>
      <c r="BM17" s="257">
        <v>0</v>
      </c>
      <c r="BN17" s="257">
        <v>0</v>
      </c>
      <c r="BO17" s="257">
        <v>0</v>
      </c>
      <c r="BP17" s="257">
        <v>0</v>
      </c>
      <c r="BQ17" s="257">
        <v>0</v>
      </c>
      <c r="BR17" s="257">
        <v>0</v>
      </c>
      <c r="BS17" s="257">
        <v>3.8142271724282861E-2</v>
      </c>
      <c r="BT17" s="257">
        <v>2.3536828832615323E-2</v>
      </c>
      <c r="BU17" s="257">
        <v>0</v>
      </c>
      <c r="BV17" s="257">
        <v>0.12440895240096669</v>
      </c>
      <c r="BW17" s="257">
        <v>0.20972995691919724</v>
      </c>
      <c r="BX17" s="257">
        <v>0</v>
      </c>
      <c r="BY17" s="257">
        <v>0</v>
      </c>
      <c r="BZ17" s="257">
        <v>0.31228328254702109</v>
      </c>
      <c r="CA17" s="257">
        <v>3.1417463486392773E-2</v>
      </c>
      <c r="CB17" s="257">
        <v>0</v>
      </c>
      <c r="CC17" s="257">
        <v>0</v>
      </c>
      <c r="CD17">
        <v>0</v>
      </c>
    </row>
    <row r="18" spans="1:82" x14ac:dyDescent="0.2">
      <c r="A18" s="2" t="s">
        <v>139</v>
      </c>
      <c r="B18" s="2" t="s">
        <v>421</v>
      </c>
      <c r="C18" s="7">
        <v>700</v>
      </c>
      <c r="D18" s="7">
        <v>800</v>
      </c>
      <c r="E18" s="4">
        <f t="shared" si="0"/>
        <v>750</v>
      </c>
      <c r="F18" s="4">
        <v>54.67</v>
      </c>
      <c r="G18" s="4">
        <v>20.63</v>
      </c>
      <c r="H18" s="4">
        <v>10.86</v>
      </c>
      <c r="I18" s="4">
        <v>0.22800000000000001</v>
      </c>
      <c r="J18" s="4">
        <v>0.7</v>
      </c>
      <c r="K18" s="4">
        <v>0.01</v>
      </c>
      <c r="L18" s="4">
        <v>0.04</v>
      </c>
      <c r="M18" s="4">
        <v>0.67</v>
      </c>
      <c r="N18" s="4">
        <v>0.77300000000000002</v>
      </c>
      <c r="O18" s="4">
        <v>0.08</v>
      </c>
      <c r="P18" s="4">
        <v>10.31</v>
      </c>
      <c r="Q18" s="4">
        <v>98.98</v>
      </c>
      <c r="R18" s="4">
        <v>38</v>
      </c>
      <c r="S18" s="4">
        <v>1</v>
      </c>
      <c r="T18" s="4">
        <v>153</v>
      </c>
      <c r="U18" s="4">
        <v>20</v>
      </c>
      <c r="V18" s="4">
        <v>78</v>
      </c>
      <c r="W18" s="4" t="s">
        <v>69</v>
      </c>
      <c r="X18" s="4">
        <v>120</v>
      </c>
      <c r="Y18" s="4">
        <v>80</v>
      </c>
      <c r="Z18" s="4">
        <v>21</v>
      </c>
      <c r="AA18" s="4">
        <v>1</v>
      </c>
      <c r="AB18" s="4" t="s">
        <v>71</v>
      </c>
      <c r="AC18" s="4">
        <v>37</v>
      </c>
      <c r="AD18" s="4">
        <v>2</v>
      </c>
      <c r="AE18" s="4">
        <v>14</v>
      </c>
      <c r="AF18" s="4">
        <v>119</v>
      </c>
      <c r="AG18" s="4">
        <v>4</v>
      </c>
      <c r="AH18" s="4" t="s">
        <v>72</v>
      </c>
      <c r="AI18" s="4" t="s">
        <v>74</v>
      </c>
      <c r="AJ18" s="4" t="s">
        <v>73</v>
      </c>
      <c r="AK18" s="4" t="s">
        <v>68</v>
      </c>
      <c r="AL18" s="4" t="s">
        <v>74</v>
      </c>
      <c r="AM18" s="4">
        <v>1.6</v>
      </c>
      <c r="AN18" s="4">
        <v>138</v>
      </c>
      <c r="AO18" s="4" t="s">
        <v>75</v>
      </c>
      <c r="AP18" s="4">
        <v>12.5</v>
      </c>
      <c r="AQ18" s="4">
        <v>26.8</v>
      </c>
      <c r="AR18" s="4">
        <v>3.34</v>
      </c>
      <c r="AS18" s="4">
        <v>13.6</v>
      </c>
      <c r="AT18" s="4">
        <v>3.2</v>
      </c>
      <c r="AU18" s="4">
        <v>0.99</v>
      </c>
      <c r="AV18" s="4">
        <v>3.2</v>
      </c>
      <c r="AW18" s="4">
        <v>0.5</v>
      </c>
      <c r="AX18" s="4">
        <v>3.3</v>
      </c>
      <c r="AY18" s="4">
        <v>0.7</v>
      </c>
      <c r="AZ18" s="4">
        <v>2.1</v>
      </c>
      <c r="BA18" s="4">
        <v>0.31</v>
      </c>
      <c r="BB18" s="4">
        <v>2.2000000000000002</v>
      </c>
      <c r="BC18" s="4">
        <v>0.34</v>
      </c>
      <c r="BD18" s="4">
        <v>3.2</v>
      </c>
      <c r="BE18" s="4">
        <v>0.2</v>
      </c>
      <c r="BF18" s="4" t="s">
        <v>68</v>
      </c>
      <c r="BG18" s="4" t="s">
        <v>79</v>
      </c>
      <c r="BH18" s="4">
        <v>44</v>
      </c>
      <c r="BI18" s="4">
        <v>2.2999999999999998</v>
      </c>
      <c r="BJ18" s="4">
        <v>0.5</v>
      </c>
      <c r="BK18" s="257">
        <f t="shared" si="1"/>
        <v>96.492048643592142</v>
      </c>
      <c r="BL18" s="257">
        <v>0.23545464468944438</v>
      </c>
      <c r="BM18" s="257">
        <v>0</v>
      </c>
      <c r="BN18" s="257">
        <v>0</v>
      </c>
      <c r="BO18" s="257">
        <v>0</v>
      </c>
      <c r="BP18" s="257">
        <v>0</v>
      </c>
      <c r="BQ18" s="257">
        <v>0</v>
      </c>
      <c r="BR18" s="257">
        <v>0</v>
      </c>
      <c r="BS18" s="257">
        <v>4.8684641414692718E-2</v>
      </c>
      <c r="BT18" s="257">
        <v>3.3293308590765201E-2</v>
      </c>
      <c r="BU18" s="257">
        <v>0</v>
      </c>
      <c r="BV18" s="257">
        <v>0.13644798602772623</v>
      </c>
      <c r="BW18" s="257">
        <v>0.24178583124113087</v>
      </c>
      <c r="BX18" s="257">
        <v>0</v>
      </c>
      <c r="BY18" s="257">
        <v>0</v>
      </c>
      <c r="BZ18" s="257">
        <v>0.26383582578321146</v>
      </c>
      <c r="CA18" s="257">
        <v>4.0497762253029146E-2</v>
      </c>
      <c r="CB18" s="257">
        <v>0</v>
      </c>
      <c r="CC18" s="257">
        <v>0</v>
      </c>
      <c r="CD18">
        <v>0</v>
      </c>
    </row>
    <row r="19" spans="1:82" x14ac:dyDescent="0.2">
      <c r="A19" s="2" t="s">
        <v>454</v>
      </c>
      <c r="B19" s="2"/>
      <c r="C19" s="2"/>
      <c r="D19" s="2"/>
      <c r="E19" s="2">
        <v>1500</v>
      </c>
      <c r="F19" s="4">
        <v>76.819999999999993</v>
      </c>
      <c r="G19" s="4">
        <v>13.74</v>
      </c>
      <c r="H19" s="4">
        <v>1.01</v>
      </c>
      <c r="I19" s="4">
        <v>1.6E-2</v>
      </c>
      <c r="J19" s="4">
        <v>0.09</v>
      </c>
      <c r="K19" s="4">
        <v>3.37</v>
      </c>
      <c r="L19" s="4">
        <v>3.91</v>
      </c>
      <c r="M19" s="4">
        <v>0.92</v>
      </c>
      <c r="N19" s="4">
        <v>2.7E-2</v>
      </c>
      <c r="O19" s="4" t="s">
        <v>94</v>
      </c>
      <c r="P19" s="4">
        <v>0.89</v>
      </c>
      <c r="Q19" s="4">
        <v>100.8</v>
      </c>
      <c r="R19" s="4" t="s">
        <v>68</v>
      </c>
      <c r="S19" s="4">
        <v>1</v>
      </c>
      <c r="T19" s="4">
        <v>7</v>
      </c>
      <c r="U19" s="4" t="s">
        <v>69</v>
      </c>
      <c r="V19" s="4">
        <v>3</v>
      </c>
      <c r="W19" s="4" t="s">
        <v>69</v>
      </c>
      <c r="X19" s="4">
        <v>60</v>
      </c>
      <c r="Y19" s="4" t="s">
        <v>70</v>
      </c>
      <c r="Z19" s="4">
        <v>11</v>
      </c>
      <c r="AA19" s="4" t="s">
        <v>68</v>
      </c>
      <c r="AB19" s="4" t="s">
        <v>71</v>
      </c>
      <c r="AC19" s="4">
        <v>25</v>
      </c>
      <c r="AD19" s="4">
        <v>431</v>
      </c>
      <c r="AE19" s="4">
        <v>2</v>
      </c>
      <c r="AF19" s="4">
        <v>59</v>
      </c>
      <c r="AG19" s="4" t="s">
        <v>68</v>
      </c>
      <c r="AH19" s="4" t="s">
        <v>72</v>
      </c>
      <c r="AI19" s="4" t="s">
        <v>74</v>
      </c>
      <c r="AJ19" s="4" t="s">
        <v>73</v>
      </c>
      <c r="AK19" s="4" t="s">
        <v>68</v>
      </c>
      <c r="AL19" s="4" t="s">
        <v>74</v>
      </c>
      <c r="AM19" s="4" t="s">
        <v>74</v>
      </c>
      <c r="AN19" s="4">
        <v>113</v>
      </c>
      <c r="AO19" s="4" t="s">
        <v>75</v>
      </c>
      <c r="AP19" s="4">
        <v>2.5</v>
      </c>
      <c r="AQ19" s="4">
        <v>4.0999999999999996</v>
      </c>
      <c r="AR19" s="4">
        <v>0.4</v>
      </c>
      <c r="AS19" s="4">
        <v>1.4</v>
      </c>
      <c r="AT19" s="4">
        <v>0.2</v>
      </c>
      <c r="AU19" s="4">
        <v>0.37</v>
      </c>
      <c r="AV19" s="4">
        <v>0.2</v>
      </c>
      <c r="AW19" s="4">
        <v>0</v>
      </c>
      <c r="AX19" s="4">
        <v>0.2</v>
      </c>
      <c r="AY19" s="4">
        <v>0</v>
      </c>
      <c r="AZ19" s="4">
        <v>0.1</v>
      </c>
      <c r="BA19" s="4">
        <v>0</v>
      </c>
      <c r="BB19" s="4">
        <v>0.3</v>
      </c>
      <c r="BC19" s="4">
        <v>0.05</v>
      </c>
      <c r="BD19" s="4">
        <v>2</v>
      </c>
      <c r="BE19" s="4" t="s">
        <v>79</v>
      </c>
      <c r="BF19" s="4" t="s">
        <v>68</v>
      </c>
      <c r="BG19" s="4">
        <v>0.1</v>
      </c>
      <c r="BH19" s="4">
        <v>6</v>
      </c>
      <c r="BI19" s="4">
        <v>0.7</v>
      </c>
      <c r="BJ19" s="4">
        <v>0.3</v>
      </c>
      <c r="BK19" s="257">
        <f t="shared" si="1"/>
        <v>65.087636191378493</v>
      </c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</row>
    <row r="20" spans="1:82" x14ac:dyDescent="0.2">
      <c r="A20" s="2" t="s">
        <v>455</v>
      </c>
      <c r="B20" s="2"/>
      <c r="C20" s="2"/>
      <c r="D20" s="2"/>
      <c r="E20" s="2">
        <v>1500</v>
      </c>
      <c r="F20" s="4">
        <v>69.12</v>
      </c>
      <c r="G20" s="4">
        <v>15.87</v>
      </c>
      <c r="H20" s="4">
        <v>2.4500000000000002</v>
      </c>
      <c r="I20" s="4">
        <v>6.2E-2</v>
      </c>
      <c r="J20" s="4">
        <v>1.1100000000000001</v>
      </c>
      <c r="K20" s="4">
        <v>2.27</v>
      </c>
      <c r="L20" s="4">
        <v>4.8</v>
      </c>
      <c r="M20" s="4">
        <v>3.17</v>
      </c>
      <c r="N20" s="4">
        <v>0.25700000000000001</v>
      </c>
      <c r="O20" s="4">
        <v>0.06</v>
      </c>
      <c r="P20" s="4">
        <v>0.37</v>
      </c>
      <c r="Q20" s="4">
        <v>99.53</v>
      </c>
      <c r="R20" s="4">
        <v>4</v>
      </c>
      <c r="S20" s="4">
        <v>2</v>
      </c>
      <c r="T20" s="4">
        <v>25</v>
      </c>
      <c r="U20" s="4">
        <v>190</v>
      </c>
      <c r="V20" s="4">
        <v>4</v>
      </c>
      <c r="W20" s="4">
        <v>40</v>
      </c>
      <c r="X20" s="4">
        <v>30</v>
      </c>
      <c r="Y20" s="4">
        <v>50</v>
      </c>
      <c r="Z20" s="4">
        <v>16</v>
      </c>
      <c r="AA20" s="4">
        <v>1</v>
      </c>
      <c r="AB20" s="4" t="s">
        <v>71</v>
      </c>
      <c r="AC20" s="4">
        <v>95</v>
      </c>
      <c r="AD20" s="4">
        <v>452</v>
      </c>
      <c r="AE20" s="4">
        <v>14</v>
      </c>
      <c r="AF20" s="4">
        <v>157</v>
      </c>
      <c r="AG20" s="4">
        <v>4</v>
      </c>
      <c r="AH20" s="4">
        <v>4</v>
      </c>
      <c r="AI20" s="4" t="s">
        <v>74</v>
      </c>
      <c r="AJ20" s="4" t="s">
        <v>73</v>
      </c>
      <c r="AK20" s="4">
        <v>1</v>
      </c>
      <c r="AL20" s="4" t="s">
        <v>74</v>
      </c>
      <c r="AM20" s="4">
        <v>1.8</v>
      </c>
      <c r="AN20" s="4">
        <v>667</v>
      </c>
      <c r="AO20" s="4" t="s">
        <v>75</v>
      </c>
      <c r="AP20" s="4">
        <v>15.6</v>
      </c>
      <c r="AQ20" s="4">
        <v>32.700000000000003</v>
      </c>
      <c r="AR20" s="4">
        <v>3.6</v>
      </c>
      <c r="AS20" s="4">
        <v>13.5</v>
      </c>
      <c r="AT20" s="4">
        <v>2.5</v>
      </c>
      <c r="AU20" s="4">
        <v>0.63</v>
      </c>
      <c r="AV20" s="4">
        <v>2.2999999999999998</v>
      </c>
      <c r="AW20" s="4">
        <v>0.4</v>
      </c>
      <c r="AX20" s="4">
        <v>2.4</v>
      </c>
      <c r="AY20" s="4">
        <v>0.5</v>
      </c>
      <c r="AZ20" s="4">
        <v>1.6</v>
      </c>
      <c r="BA20" s="4">
        <v>0.28000000000000003</v>
      </c>
      <c r="BB20" s="4">
        <v>2</v>
      </c>
      <c r="BC20" s="4">
        <v>0.33</v>
      </c>
      <c r="BD20" s="4">
        <v>4.7</v>
      </c>
      <c r="BE20" s="4">
        <v>0.6</v>
      </c>
      <c r="BF20" s="4" t="s">
        <v>68</v>
      </c>
      <c r="BG20" s="4">
        <v>0.3</v>
      </c>
      <c r="BH20" s="4">
        <v>15</v>
      </c>
      <c r="BI20" s="4">
        <v>5.9</v>
      </c>
      <c r="BJ20" s="4">
        <v>1.6</v>
      </c>
      <c r="BK20">
        <f t="shared" si="1"/>
        <v>65.987525987525984</v>
      </c>
    </row>
    <row r="22" spans="1:82" x14ac:dyDescent="0.2">
      <c r="A22" s="7" t="s">
        <v>498</v>
      </c>
    </row>
    <row r="23" spans="1:82" x14ac:dyDescent="0.2">
      <c r="AE23" s="260" t="s">
        <v>660</v>
      </c>
      <c r="AG23" s="260" t="s">
        <v>661</v>
      </c>
      <c r="AM23" s="260" t="s">
        <v>657</v>
      </c>
      <c r="AP23" t="str">
        <f>AP3</f>
        <v>La</v>
      </c>
      <c r="AQ23" t="str">
        <f t="shared" ref="AQ23:BC23" si="2">AQ3</f>
        <v>Ce</v>
      </c>
      <c r="AR23" t="str">
        <f t="shared" si="2"/>
        <v>Pr</v>
      </c>
      <c r="AS23" t="str">
        <f t="shared" si="2"/>
        <v>Nd</v>
      </c>
      <c r="AT23" t="str">
        <f t="shared" si="2"/>
        <v>Sm</v>
      </c>
      <c r="AU23" t="str">
        <f t="shared" si="2"/>
        <v>Eu</v>
      </c>
      <c r="AV23" t="str">
        <f t="shared" si="2"/>
        <v>Gd</v>
      </c>
      <c r="AW23" t="str">
        <f t="shared" si="2"/>
        <v>Tb</v>
      </c>
      <c r="AX23" t="str">
        <f t="shared" si="2"/>
        <v>Dy</v>
      </c>
      <c r="AY23" t="str">
        <f t="shared" si="2"/>
        <v>Ho</v>
      </c>
      <c r="AZ23" t="str">
        <f t="shared" si="2"/>
        <v>Er</v>
      </c>
      <c r="BA23" t="str">
        <f t="shared" si="2"/>
        <v>Tm</v>
      </c>
      <c r="BB23" t="str">
        <f t="shared" si="2"/>
        <v>Yb</v>
      </c>
      <c r="BC23" t="str">
        <f t="shared" si="2"/>
        <v>Lu</v>
      </c>
      <c r="BE23" t="s">
        <v>625</v>
      </c>
      <c r="BF23" t="s">
        <v>626</v>
      </c>
      <c r="BH23" s="260" t="s">
        <v>648</v>
      </c>
    </row>
    <row r="24" spans="1:82" x14ac:dyDescent="0.2">
      <c r="AE24" s="352">
        <v>1.56</v>
      </c>
      <c r="AG24" s="351">
        <v>5.5599999999999997E-2</v>
      </c>
      <c r="AO24" t="s">
        <v>440</v>
      </c>
      <c r="AP24" s="15">
        <v>0.36699999999999999</v>
      </c>
      <c r="AQ24" s="15">
        <v>0.95699999999999996</v>
      </c>
      <c r="AR24" s="15">
        <v>0.13700000000000001</v>
      </c>
      <c r="AS24" s="15">
        <v>0.71099999999999997</v>
      </c>
      <c r="AT24" s="15">
        <v>0.23100000000000001</v>
      </c>
      <c r="AU24" s="15">
        <v>8.6999999999999994E-2</v>
      </c>
      <c r="AV24" s="15">
        <v>0.30599999999999999</v>
      </c>
      <c r="AW24" s="15">
        <v>5.8000000000000003E-2</v>
      </c>
      <c r="AX24" s="15">
        <v>0.38100000000000001</v>
      </c>
      <c r="AY24" s="15">
        <v>8.5000000000000006E-2</v>
      </c>
      <c r="AZ24" s="15">
        <v>0.249</v>
      </c>
      <c r="BA24" s="15">
        <v>3.5999999999999997E-2</v>
      </c>
      <c r="BB24" s="15">
        <v>0.248</v>
      </c>
      <c r="BC24" s="15">
        <v>3.7999999999999999E-2</v>
      </c>
      <c r="BD24" s="16" t="s">
        <v>441</v>
      </c>
      <c r="BE24" s="257"/>
      <c r="BF24" s="257"/>
    </row>
    <row r="25" spans="1:82" x14ac:dyDescent="0.2">
      <c r="AE25" s="257">
        <f t="shared" ref="AE25:AE38" si="3">AE7/AE$24</f>
        <v>21.153846153846153</v>
      </c>
      <c r="AG25">
        <f>AY7/AG$24</f>
        <v>21.582733812949641</v>
      </c>
      <c r="AM25">
        <f>AE25/AG25</f>
        <v>0.98012820512820509</v>
      </c>
      <c r="AO25">
        <f t="shared" ref="AO25:AO36" si="4">E7</f>
        <v>4</v>
      </c>
      <c r="AP25" s="257">
        <f>AP7/AP$24</f>
        <v>98.63760217983652</v>
      </c>
      <c r="AQ25" s="257">
        <f t="shared" ref="AQ25:BB25" si="5">AQ7/AQ$24</f>
        <v>84.012539184952985</v>
      </c>
      <c r="AR25" s="257">
        <f t="shared" si="5"/>
        <v>64.087591240875909</v>
      </c>
      <c r="AS25" s="257">
        <f t="shared" si="5"/>
        <v>46.132208157524609</v>
      </c>
      <c r="AT25" s="257">
        <f t="shared" si="5"/>
        <v>28.571428571428569</v>
      </c>
      <c r="AU25" s="257">
        <f t="shared" si="5"/>
        <v>20.114942528735632</v>
      </c>
      <c r="AV25" s="257">
        <f t="shared" si="5"/>
        <v>19.607843137254903</v>
      </c>
      <c r="AW25" s="257">
        <f t="shared" si="5"/>
        <v>15.517241379310345</v>
      </c>
      <c r="AX25" s="257">
        <f t="shared" si="5"/>
        <v>15.223097112860891</v>
      </c>
      <c r="AY25" s="257">
        <f t="shared" si="5"/>
        <v>14.117647058823527</v>
      </c>
      <c r="AZ25" s="257">
        <f t="shared" si="5"/>
        <v>13.654618473895582</v>
      </c>
      <c r="BA25" s="257">
        <f t="shared" si="5"/>
        <v>14.166666666666668</v>
      </c>
      <c r="BB25" s="257">
        <f t="shared" si="5"/>
        <v>14.112903225806452</v>
      </c>
      <c r="BC25" s="257">
        <f>BC7/BC$24</f>
        <v>13.684210526315791</v>
      </c>
      <c r="BD25" s="308">
        <f>SUM(AP7:BC7)</f>
        <v>188.36</v>
      </c>
      <c r="BE25" s="257">
        <f>AQ7/(AQ7+AP7)</f>
        <v>0.68953687821612353</v>
      </c>
      <c r="BF25" s="39">
        <f>G7+H7+P7</f>
        <v>22.22</v>
      </c>
      <c r="BH25" s="333">
        <f>3*AQ25/(2*AP25+AS25)</f>
        <v>1.0354558020580065</v>
      </c>
    </row>
    <row r="26" spans="1:82" x14ac:dyDescent="0.2">
      <c r="AE26" s="257">
        <f t="shared" si="3"/>
        <v>8.9743589743589745</v>
      </c>
      <c r="AG26">
        <f t="shared" ref="AG26:AG36" si="6">AY8/AG$24</f>
        <v>10.791366906474821</v>
      </c>
      <c r="AM26">
        <f t="shared" ref="AM26:AM36" si="7">AE26/AG26</f>
        <v>0.83162393162393156</v>
      </c>
      <c r="AO26">
        <f t="shared" si="4"/>
        <v>18</v>
      </c>
      <c r="AP26" s="257">
        <f t="shared" ref="AP26:BC26" si="8">AP8/AP$24</f>
        <v>52.588555858310627</v>
      </c>
      <c r="AQ26" s="257">
        <f t="shared" si="8"/>
        <v>40.020898641588296</v>
      </c>
      <c r="AR26" s="257">
        <f t="shared" si="8"/>
        <v>34.379562043795616</v>
      </c>
      <c r="AS26" s="257">
        <f t="shared" si="8"/>
        <v>25.035161744022506</v>
      </c>
      <c r="AT26" s="257">
        <f t="shared" si="8"/>
        <v>14.718614718614717</v>
      </c>
      <c r="AU26" s="257">
        <f t="shared" si="8"/>
        <v>10.459770114942529</v>
      </c>
      <c r="AV26" s="257">
        <f t="shared" si="8"/>
        <v>9.8039215686274517</v>
      </c>
      <c r="AW26" s="257">
        <f t="shared" si="8"/>
        <v>8.6206896551724128</v>
      </c>
      <c r="AX26" s="257">
        <f t="shared" si="8"/>
        <v>7.6115485564304457</v>
      </c>
      <c r="AY26" s="257">
        <f t="shared" si="8"/>
        <v>7.0588235294117636</v>
      </c>
      <c r="AZ26" s="257">
        <f t="shared" si="8"/>
        <v>6.8273092369477908</v>
      </c>
      <c r="BA26" s="257">
        <f t="shared" si="8"/>
        <v>7.2222222222222232</v>
      </c>
      <c r="BB26" s="257">
        <f t="shared" si="8"/>
        <v>6.854838709677419</v>
      </c>
      <c r="BC26" s="257">
        <f t="shared" si="8"/>
        <v>8.1578947368421062</v>
      </c>
      <c r="BD26" s="308">
        <f t="shared" ref="BD26:BD36" si="9">SUM(AP8:BC8)</f>
        <v>95.390000000000015</v>
      </c>
      <c r="BE26" s="257">
        <f t="shared" ref="BE26:BE35" si="10">AQ8/(AQ8+AP8)</f>
        <v>0.66493055555555558</v>
      </c>
      <c r="BF26" s="39">
        <f t="shared" ref="BF26:BF36" si="11">G8+H8+P8</f>
        <v>32.76</v>
      </c>
      <c r="BH26" s="333">
        <f t="shared" ref="BH26:BH36" si="12">3*AQ26/(2*AP26+AS26)</f>
        <v>0.92205360319627205</v>
      </c>
    </row>
    <row r="27" spans="1:82" x14ac:dyDescent="0.2">
      <c r="AE27" s="257">
        <f t="shared" si="3"/>
        <v>3.2051282051282048</v>
      </c>
      <c r="AG27">
        <f t="shared" si="6"/>
        <v>3.5971223021582737</v>
      </c>
      <c r="AM27">
        <f t="shared" si="7"/>
        <v>0.89102564102564086</v>
      </c>
      <c r="AO27">
        <f t="shared" si="4"/>
        <v>53</v>
      </c>
      <c r="AP27" s="257">
        <f t="shared" ref="AP27:BC27" si="13">AP9/AP$24</f>
        <v>25.068119891008173</v>
      </c>
      <c r="AQ27" s="257">
        <f t="shared" si="13"/>
        <v>20.689655172413794</v>
      </c>
      <c r="AR27" s="257">
        <f t="shared" si="13"/>
        <v>15.985401459854012</v>
      </c>
      <c r="AS27" s="257">
        <f t="shared" si="13"/>
        <v>11.814345991561183</v>
      </c>
      <c r="AT27" s="257">
        <f t="shared" si="13"/>
        <v>6.9264069264069263</v>
      </c>
      <c r="AU27" s="257">
        <f t="shared" si="13"/>
        <v>4.7126436781609193</v>
      </c>
      <c r="AV27" s="257">
        <f t="shared" si="13"/>
        <v>4.2483660130718954</v>
      </c>
      <c r="AW27" s="257">
        <f t="shared" si="13"/>
        <v>3.4482758620689657</v>
      </c>
      <c r="AX27" s="257">
        <f t="shared" si="13"/>
        <v>3.4120734908136483</v>
      </c>
      <c r="AY27" s="257">
        <f t="shared" si="13"/>
        <v>2.3529411764705883</v>
      </c>
      <c r="AZ27" s="257">
        <f t="shared" si="13"/>
        <v>3.2128514056224899</v>
      </c>
      <c r="BA27" s="257">
        <f t="shared" si="13"/>
        <v>3.3333333333333335</v>
      </c>
      <c r="BB27" s="257">
        <f t="shared" si="13"/>
        <v>3.6290322580645165</v>
      </c>
      <c r="BC27" s="257">
        <f t="shared" si="13"/>
        <v>3.9473684210526314</v>
      </c>
      <c r="BD27" s="308">
        <f t="shared" si="9"/>
        <v>46.569999999999993</v>
      </c>
      <c r="BE27" s="257">
        <f t="shared" si="10"/>
        <v>0.6827586206896552</v>
      </c>
      <c r="BF27" s="39">
        <f t="shared" si="11"/>
        <v>46.82</v>
      </c>
      <c r="BH27" s="333">
        <f t="shared" si="12"/>
        <v>1.001910873677555</v>
      </c>
    </row>
    <row r="28" spans="1:82" x14ac:dyDescent="0.2">
      <c r="AE28" s="257" t="e">
        <f t="shared" si="3"/>
        <v>#VALUE!</v>
      </c>
      <c r="AG28">
        <f t="shared" si="6"/>
        <v>3.5971223021582737</v>
      </c>
      <c r="AO28">
        <f t="shared" si="4"/>
        <v>94</v>
      </c>
      <c r="AP28" s="257">
        <f t="shared" ref="AP28:BC28" si="14">AP10/AP$24</f>
        <v>12.806539509536785</v>
      </c>
      <c r="AQ28" s="257">
        <f t="shared" si="14"/>
        <v>12.748171368861025</v>
      </c>
      <c r="AR28" s="257">
        <f t="shared" si="14"/>
        <v>8.7591240875912391</v>
      </c>
      <c r="AS28" s="257">
        <f t="shared" si="14"/>
        <v>6.3291139240506329</v>
      </c>
      <c r="AT28" s="257">
        <f t="shared" si="14"/>
        <v>3.8961038961038961</v>
      </c>
      <c r="AU28" s="257">
        <f t="shared" si="14"/>
        <v>2.8735632183908049</v>
      </c>
      <c r="AV28" s="257">
        <f t="shared" si="14"/>
        <v>1.9607843137254901</v>
      </c>
      <c r="AW28" s="257">
        <f t="shared" si="14"/>
        <v>1.7241379310344829</v>
      </c>
      <c r="AX28" s="257">
        <f t="shared" si="14"/>
        <v>1.837270341207349</v>
      </c>
      <c r="AY28" s="257">
        <f t="shared" si="14"/>
        <v>2.3529411764705883</v>
      </c>
      <c r="AZ28" s="257">
        <f t="shared" si="14"/>
        <v>2.0080321285140563</v>
      </c>
      <c r="BA28" s="257">
        <f t="shared" si="14"/>
        <v>2.2222222222222223</v>
      </c>
      <c r="BB28" s="257">
        <f t="shared" si="14"/>
        <v>2.4193548387096775</v>
      </c>
      <c r="BC28" s="257">
        <f t="shared" si="14"/>
        <v>2.6315789473684212</v>
      </c>
      <c r="BD28" s="308">
        <f t="shared" si="9"/>
        <v>26.63</v>
      </c>
      <c r="BE28" s="257">
        <f t="shared" si="10"/>
        <v>0.72189349112426038</v>
      </c>
      <c r="BF28" s="39">
        <f t="shared" si="11"/>
        <v>44.19</v>
      </c>
      <c r="BH28" s="333">
        <f t="shared" si="12"/>
        <v>1.1973039601470283</v>
      </c>
    </row>
    <row r="29" spans="1:82" ht="17" x14ac:dyDescent="0.25">
      <c r="B29" t="s">
        <v>466</v>
      </c>
      <c r="C29" t="s">
        <v>467</v>
      </c>
      <c r="D29" t="s">
        <v>468</v>
      </c>
      <c r="E29" s="260" t="s">
        <v>622</v>
      </c>
      <c r="F29" s="260" t="s">
        <v>623</v>
      </c>
      <c r="G29" s="260" t="s">
        <v>5</v>
      </c>
      <c r="H29" s="293" t="s">
        <v>620</v>
      </c>
      <c r="I29" s="260" t="s">
        <v>7</v>
      </c>
      <c r="J29" s="260" t="s">
        <v>8</v>
      </c>
      <c r="K29" s="260" t="s">
        <v>9</v>
      </c>
      <c r="L29" s="260" t="s">
        <v>10</v>
      </c>
      <c r="M29" s="260" t="s">
        <v>11</v>
      </c>
      <c r="N29" s="293" t="s">
        <v>621</v>
      </c>
      <c r="O29" s="260" t="s">
        <v>624</v>
      </c>
      <c r="AE29" s="257">
        <f t="shared" si="3"/>
        <v>1.2820512820512819</v>
      </c>
      <c r="AG29">
        <f t="shared" si="6"/>
        <v>3.5971223021582737</v>
      </c>
      <c r="AM29">
        <f t="shared" si="7"/>
        <v>0.35641025641025637</v>
      </c>
      <c r="AO29">
        <f t="shared" si="4"/>
        <v>129</v>
      </c>
      <c r="AP29" s="257">
        <f t="shared" ref="AP29:BC29" si="15">AP11/AP$24</f>
        <v>15.258855585831062</v>
      </c>
      <c r="AQ29" s="257">
        <f t="shared" si="15"/>
        <v>16.196447230929991</v>
      </c>
      <c r="AR29" s="257">
        <f t="shared" si="15"/>
        <v>10.291970802919707</v>
      </c>
      <c r="AS29" s="257">
        <f t="shared" si="15"/>
        <v>7.4542897327707456</v>
      </c>
      <c r="AT29" s="257">
        <f t="shared" si="15"/>
        <v>4.7619047619047619</v>
      </c>
      <c r="AU29" s="257">
        <f t="shared" si="15"/>
        <v>3.3333333333333335</v>
      </c>
      <c r="AV29" s="257">
        <f t="shared" si="15"/>
        <v>2.6143790849673203</v>
      </c>
      <c r="AW29" s="257">
        <f t="shared" si="15"/>
        <v>1.7241379310344829</v>
      </c>
      <c r="AX29" s="257">
        <f t="shared" si="15"/>
        <v>2.0997375328083989</v>
      </c>
      <c r="AY29" s="257">
        <f t="shared" si="15"/>
        <v>2.3529411764705883</v>
      </c>
      <c r="AZ29" s="257">
        <f t="shared" si="15"/>
        <v>2.0080321285140563</v>
      </c>
      <c r="BA29" s="257">
        <f t="shared" si="15"/>
        <v>2.5</v>
      </c>
      <c r="BB29" s="257">
        <f t="shared" si="15"/>
        <v>2.82258064516129</v>
      </c>
      <c r="BC29" s="257">
        <f t="shared" si="15"/>
        <v>3.1578947368421053</v>
      </c>
      <c r="BD29" s="308">
        <f t="shared" si="9"/>
        <v>32.510000000000005</v>
      </c>
      <c r="BE29" s="257">
        <f t="shared" si="10"/>
        <v>0.73459715639810419</v>
      </c>
      <c r="BF29" s="39">
        <f t="shared" si="11"/>
        <v>44.97</v>
      </c>
      <c r="BH29" s="333">
        <f t="shared" si="12"/>
        <v>1.2796097265213546</v>
      </c>
    </row>
    <row r="30" spans="1:82" ht="16" x14ac:dyDescent="0.2">
      <c r="A30" t="str">
        <f>A7</f>
        <v xml:space="preserve">R7H1EA01 </v>
      </c>
      <c r="B30" s="25">
        <f>100*G7/(G7+7+L7)</f>
        <v>60.457334076965978</v>
      </c>
      <c r="C30" s="25">
        <f>100*G7/(G7+K7+M7+L7)</f>
        <v>91.169049621530689</v>
      </c>
      <c r="D30" s="25">
        <f>100*((2*L7/0.35)+(J7/0.9)+(2*M7/0.25)+(K7/0.7))</f>
        <v>800</v>
      </c>
      <c r="E30" s="303">
        <f>((F7/F$18)*($N$18/$N7))-1</f>
        <v>0.62332228089405128</v>
      </c>
      <c r="F30" s="303">
        <f t="shared" ref="F30:O30" si="16">((G7/G$18)*($N$18/$N7))-1</f>
        <v>-0.37799143221300846</v>
      </c>
      <c r="G30" s="303">
        <f t="shared" si="16"/>
        <v>-0.50839869253396275</v>
      </c>
      <c r="H30" s="303">
        <f t="shared" si="16"/>
        <v>-0.41850030896536905</v>
      </c>
      <c r="I30" s="303">
        <f t="shared" si="16"/>
        <v>-0.69560271275432073</v>
      </c>
      <c r="J30" s="303">
        <f t="shared" si="16"/>
        <v>6.1026033690658501</v>
      </c>
      <c r="K30" s="303">
        <f t="shared" si="16"/>
        <v>1.6634762633996938</v>
      </c>
      <c r="L30" s="303">
        <f t="shared" si="16"/>
        <v>0.59013508262668268</v>
      </c>
      <c r="M30" s="303">
        <f t="shared" si="16"/>
        <v>0</v>
      </c>
      <c r="N30" s="303">
        <f t="shared" si="16"/>
        <v>-0.40811638591117916</v>
      </c>
      <c r="O30" s="303">
        <f t="shared" si="16"/>
        <v>-0.21120457249462676</v>
      </c>
      <c r="AE30" s="257">
        <f t="shared" si="3"/>
        <v>2.5641025641025639</v>
      </c>
      <c r="AG30">
        <f t="shared" si="6"/>
        <v>3.5971223021582737</v>
      </c>
      <c r="AM30">
        <f t="shared" si="7"/>
        <v>0.71282051282051273</v>
      </c>
      <c r="AO30">
        <f t="shared" si="4"/>
        <v>174</v>
      </c>
      <c r="AP30" s="257">
        <f t="shared" ref="AP30:BC30" si="17">AP12/AP$24</f>
        <v>20.163487738419619</v>
      </c>
      <c r="AQ30" s="257">
        <f t="shared" si="17"/>
        <v>24.451410658307211</v>
      </c>
      <c r="AR30" s="257">
        <f t="shared" si="17"/>
        <v>14.890510948905108</v>
      </c>
      <c r="AS30" s="257">
        <f t="shared" si="17"/>
        <v>10.829817158931084</v>
      </c>
      <c r="AT30" s="257">
        <f t="shared" si="17"/>
        <v>6.9264069264069263</v>
      </c>
      <c r="AU30" s="257">
        <f t="shared" si="17"/>
        <v>4.4827586206896557</v>
      </c>
      <c r="AV30" s="257">
        <f t="shared" si="17"/>
        <v>3.9215686274509802</v>
      </c>
      <c r="AW30" s="257">
        <f t="shared" si="17"/>
        <v>3.4482758620689657</v>
      </c>
      <c r="AX30" s="257">
        <f t="shared" si="17"/>
        <v>2.8871391076115489</v>
      </c>
      <c r="AY30" s="257">
        <f t="shared" si="17"/>
        <v>2.3529411764705883</v>
      </c>
      <c r="AZ30" s="257">
        <f t="shared" si="17"/>
        <v>2.4096385542168672</v>
      </c>
      <c r="BA30" s="257">
        <f t="shared" si="17"/>
        <v>2.7777777777777781</v>
      </c>
      <c r="BB30" s="257">
        <f t="shared" si="17"/>
        <v>3.2258064516129035</v>
      </c>
      <c r="BC30" s="257">
        <f t="shared" si="17"/>
        <v>3.4210526315789478</v>
      </c>
      <c r="BD30" s="308">
        <f t="shared" si="9"/>
        <v>46.860000000000014</v>
      </c>
      <c r="BE30" s="257">
        <f t="shared" si="10"/>
        <v>0.75974025974025972</v>
      </c>
      <c r="BF30" s="39">
        <f t="shared" si="11"/>
        <v>41.96</v>
      </c>
      <c r="BH30" s="333">
        <f t="shared" si="12"/>
        <v>1.4339099109905926</v>
      </c>
    </row>
    <row r="31" spans="1:82" ht="16" x14ac:dyDescent="0.2">
      <c r="A31" t="str">
        <f t="shared" ref="A31:A43" si="18">A8</f>
        <v xml:space="preserve">R7H1EA02 </v>
      </c>
      <c r="B31" s="25">
        <f t="shared" ref="B31:B43" si="19">100*G8/(G8+7+L8)</f>
        <v>70.632279534109813</v>
      </c>
      <c r="C31" s="25">
        <f t="shared" ref="C31:C43" si="20">100*G8/(G8+K8+M8+L8)</f>
        <v>95.500562429696302</v>
      </c>
      <c r="D31" s="25">
        <f t="shared" ref="D31:D43" si="21">100*((2*L8/0.35)+(J8/0.9)+(2*M8/0.25)+(K8/0.7))</f>
        <v>639.80952380952374</v>
      </c>
      <c r="E31" s="303">
        <f t="shared" ref="E31:O41" si="22">((F8/F$18)*($N$18/$N8))-1</f>
        <v>0.22288593859035277</v>
      </c>
      <c r="F31" s="303">
        <f t="shared" si="22"/>
        <v>-0.1471372932258519</v>
      </c>
      <c r="G31" s="303">
        <f t="shared" si="22"/>
        <v>-0.32160843096885028</v>
      </c>
      <c r="H31" s="303">
        <f t="shared" si="22"/>
        <v>-0.86820351817882502</v>
      </c>
      <c r="I31" s="303">
        <f t="shared" si="22"/>
        <v>-0.64473381846035993</v>
      </c>
      <c r="J31" s="303">
        <f t="shared" si="22"/>
        <v>1.0723860589812335</v>
      </c>
      <c r="K31" s="303">
        <f t="shared" si="22"/>
        <v>0.55428954423592502</v>
      </c>
      <c r="L31" s="303">
        <f t="shared" si="22"/>
        <v>0.1135208675123045</v>
      </c>
      <c r="M31" s="303">
        <f t="shared" si="22"/>
        <v>0</v>
      </c>
      <c r="N31" s="303">
        <f t="shared" si="22"/>
        <v>-0.48190348525469162</v>
      </c>
      <c r="O31" s="303">
        <f t="shared" si="22"/>
        <v>-0.12863301981729913</v>
      </c>
      <c r="AE31" s="257">
        <f t="shared" si="3"/>
        <v>5.1282051282051277</v>
      </c>
      <c r="AG31">
        <f t="shared" si="6"/>
        <v>7.1942446043165473</v>
      </c>
      <c r="AM31">
        <f t="shared" si="7"/>
        <v>0.71282051282051273</v>
      </c>
      <c r="AO31">
        <f t="shared" si="4"/>
        <v>255</v>
      </c>
      <c r="AP31" s="257">
        <f t="shared" ref="AP31:BC31" si="23">AP13/AP$24</f>
        <v>36.51226158038147</v>
      </c>
      <c r="AQ31" s="257">
        <f t="shared" si="23"/>
        <v>41.170323928944619</v>
      </c>
      <c r="AR31" s="257">
        <f t="shared" si="23"/>
        <v>25.620437956204377</v>
      </c>
      <c r="AS31" s="257">
        <f t="shared" si="23"/>
        <v>19.268635724331926</v>
      </c>
      <c r="AT31" s="257">
        <f t="shared" si="23"/>
        <v>11.688311688311689</v>
      </c>
      <c r="AU31" s="257">
        <f t="shared" si="23"/>
        <v>8.2758620689655178</v>
      </c>
      <c r="AV31" s="257">
        <f t="shared" si="23"/>
        <v>7.1895424836601318</v>
      </c>
      <c r="AW31" s="257">
        <f t="shared" si="23"/>
        <v>5.1724137931034475</v>
      </c>
      <c r="AX31" s="257">
        <f t="shared" si="23"/>
        <v>4.9868766404199469</v>
      </c>
      <c r="AY31" s="257">
        <f t="shared" si="23"/>
        <v>4.7058823529411766</v>
      </c>
      <c r="AZ31" s="257">
        <f t="shared" si="23"/>
        <v>4.4176706827309244</v>
      </c>
      <c r="BA31" s="257">
        <f t="shared" si="23"/>
        <v>5</v>
      </c>
      <c r="BB31" s="257">
        <f t="shared" si="23"/>
        <v>5.241935483870968</v>
      </c>
      <c r="BC31" s="257">
        <f t="shared" si="23"/>
        <v>5.2631578947368425</v>
      </c>
      <c r="BD31" s="308">
        <f t="shared" si="9"/>
        <v>81.010000000000005</v>
      </c>
      <c r="BE31" s="257">
        <f t="shared" si="10"/>
        <v>0.74621212121212122</v>
      </c>
      <c r="BF31" s="39">
        <f t="shared" si="11"/>
        <v>39.58</v>
      </c>
      <c r="BH31" s="333">
        <f t="shared" si="12"/>
        <v>1.3382462284187848</v>
      </c>
    </row>
    <row r="32" spans="1:82" ht="16" x14ac:dyDescent="0.2">
      <c r="A32" t="str">
        <f t="shared" si="18"/>
        <v xml:space="preserve">R7H1EA03 </v>
      </c>
      <c r="B32" s="25">
        <f t="shared" si="19"/>
        <v>77.068403908794792</v>
      </c>
      <c r="C32" s="25">
        <f t="shared" si="20"/>
        <v>98.011599005799496</v>
      </c>
      <c r="D32" s="25">
        <f t="shared" si="21"/>
        <v>400.50793650793651</v>
      </c>
      <c r="E32" s="303">
        <f t="shared" si="22"/>
        <v>-2.0529865097269617E-2</v>
      </c>
      <c r="F32" s="303">
        <f t="shared" si="22"/>
        <v>0.17266296834886297</v>
      </c>
      <c r="G32" s="303">
        <f t="shared" si="22"/>
        <v>6.4855008915782664E-2</v>
      </c>
      <c r="H32" s="303">
        <f t="shared" si="22"/>
        <v>-0.8789160401002506</v>
      </c>
      <c r="I32" s="303">
        <f t="shared" si="22"/>
        <v>-0.57639833711262289</v>
      </c>
      <c r="J32" s="303">
        <f t="shared" si="22"/>
        <v>2.2486772486772555E-2</v>
      </c>
      <c r="K32" s="303">
        <f t="shared" si="22"/>
        <v>2.2486772486772555E-2</v>
      </c>
      <c r="L32" s="303">
        <f t="shared" si="22"/>
        <v>-0.343777146015952</v>
      </c>
      <c r="M32" s="303">
        <f t="shared" si="22"/>
        <v>0</v>
      </c>
      <c r="N32" s="303">
        <f t="shared" si="22"/>
        <v>-0.23313492063492058</v>
      </c>
      <c r="O32" s="303">
        <f t="shared" si="22"/>
        <v>0.17521515557403045</v>
      </c>
      <c r="AE32" s="257">
        <f t="shared" si="3"/>
        <v>8.3333333333333339</v>
      </c>
      <c r="AG32">
        <f t="shared" si="6"/>
        <v>8.9928057553956844</v>
      </c>
      <c r="AM32">
        <f t="shared" si="7"/>
        <v>0.92666666666666664</v>
      </c>
      <c r="AO32">
        <f t="shared" si="4"/>
        <v>350</v>
      </c>
      <c r="AP32" s="257">
        <f t="shared" ref="AP32:BC32" si="24">AP14/AP$24</f>
        <v>48.77384196185286</v>
      </c>
      <c r="AQ32" s="257">
        <f t="shared" si="24"/>
        <v>44.305120167189131</v>
      </c>
      <c r="AR32" s="257">
        <f t="shared" si="24"/>
        <v>32.262773722627735</v>
      </c>
      <c r="AS32" s="257">
        <f t="shared" si="24"/>
        <v>23.628691983122366</v>
      </c>
      <c r="AT32" s="257">
        <f t="shared" si="24"/>
        <v>14.718614718614717</v>
      </c>
      <c r="AU32" s="257">
        <f t="shared" si="24"/>
        <v>10.114942528735632</v>
      </c>
      <c r="AV32" s="257">
        <f t="shared" si="24"/>
        <v>9.8039215686274517</v>
      </c>
      <c r="AW32" s="257">
        <f t="shared" si="24"/>
        <v>6.8965517241379315</v>
      </c>
      <c r="AX32" s="257">
        <f t="shared" si="24"/>
        <v>6.8241469816272966</v>
      </c>
      <c r="AY32" s="257">
        <f t="shared" si="24"/>
        <v>5.8823529411764701</v>
      </c>
      <c r="AZ32" s="257">
        <f t="shared" si="24"/>
        <v>6.4257028112449799</v>
      </c>
      <c r="BA32" s="257">
        <f t="shared" si="24"/>
        <v>6.666666666666667</v>
      </c>
      <c r="BB32" s="257">
        <f t="shared" si="24"/>
        <v>6.854838709677419</v>
      </c>
      <c r="BC32" s="257">
        <f t="shared" si="24"/>
        <v>6.8421052631578956</v>
      </c>
      <c r="BD32" s="308">
        <f t="shared" si="9"/>
        <v>96.1</v>
      </c>
      <c r="BE32" s="257">
        <f t="shared" si="10"/>
        <v>0.70315091210613601</v>
      </c>
      <c r="BF32" s="39">
        <f t="shared" si="11"/>
        <v>38.179999999999993</v>
      </c>
      <c r="BH32" s="333">
        <f t="shared" si="12"/>
        <v>1.0968751912812227</v>
      </c>
    </row>
    <row r="33" spans="1:60" ht="16" x14ac:dyDescent="0.2">
      <c r="A33" t="str">
        <f t="shared" si="18"/>
        <v xml:space="preserve">R7H1EA04 </v>
      </c>
      <c r="B33" s="25">
        <f t="shared" si="19"/>
        <v>76.264329062710715</v>
      </c>
      <c r="C33" s="25">
        <f t="shared" si="20"/>
        <v>98.305084745762699</v>
      </c>
      <c r="D33" s="25">
        <f t="shared" si="21"/>
        <v>327.58730158730157</v>
      </c>
      <c r="E33" s="303">
        <f t="shared" si="22"/>
        <v>1.8483170551252037E-2</v>
      </c>
      <c r="F33" s="303">
        <f t="shared" si="22"/>
        <v>0.11815925011223016</v>
      </c>
      <c r="G33" s="303">
        <f t="shared" si="22"/>
        <v>-8.3820463855156513E-3</v>
      </c>
      <c r="H33" s="303">
        <f t="shared" si="22"/>
        <v>-0.88818103967041617</v>
      </c>
      <c r="I33" s="303">
        <f t="shared" si="22"/>
        <v>-0.41726347531096852</v>
      </c>
      <c r="J33" s="303">
        <f t="shared" si="22"/>
        <v>2.0593667546174146</v>
      </c>
      <c r="K33" s="303">
        <f t="shared" si="22"/>
        <v>1.9788918205804862E-2</v>
      </c>
      <c r="L33" s="303">
        <f t="shared" si="22"/>
        <v>-0.51293663608080964</v>
      </c>
      <c r="M33" s="303">
        <f t="shared" si="22"/>
        <v>0</v>
      </c>
      <c r="N33" s="303">
        <f t="shared" si="22"/>
        <v>-0.10768469656992063</v>
      </c>
      <c r="O33" s="303">
        <f t="shared" si="22"/>
        <v>8.9027739034520881E-2</v>
      </c>
      <c r="AE33" s="257">
        <f t="shared" si="3"/>
        <v>9.615384615384615</v>
      </c>
      <c r="AG33">
        <f t="shared" si="6"/>
        <v>10.791366906474821</v>
      </c>
      <c r="AM33">
        <f t="shared" si="7"/>
        <v>0.89102564102564097</v>
      </c>
      <c r="AO33">
        <f t="shared" si="4"/>
        <v>450</v>
      </c>
      <c r="AP33" s="257">
        <f t="shared" ref="AP33:BC33" si="25">AP15/AP$24</f>
        <v>48.77384196185286</v>
      </c>
      <c r="AQ33" s="257">
        <f t="shared" si="25"/>
        <v>38.453500522466037</v>
      </c>
      <c r="AR33" s="257">
        <f t="shared" si="25"/>
        <v>31.678832116788318</v>
      </c>
      <c r="AS33" s="257">
        <f t="shared" si="25"/>
        <v>23.909985935302391</v>
      </c>
      <c r="AT33" s="257">
        <f t="shared" si="25"/>
        <v>15.15151515151515</v>
      </c>
      <c r="AU33" s="257">
        <f t="shared" si="25"/>
        <v>11.264367816091955</v>
      </c>
      <c r="AV33" s="257">
        <f t="shared" si="25"/>
        <v>10.130718954248367</v>
      </c>
      <c r="AW33" s="257">
        <f t="shared" si="25"/>
        <v>8.6206896551724128</v>
      </c>
      <c r="AX33" s="257">
        <f t="shared" si="25"/>
        <v>7.8740157480314963</v>
      </c>
      <c r="AY33" s="257">
        <f t="shared" si="25"/>
        <v>7.0588235294117636</v>
      </c>
      <c r="AZ33" s="257">
        <f t="shared" si="25"/>
        <v>7.2289156626506026</v>
      </c>
      <c r="BA33" s="257">
        <f t="shared" si="25"/>
        <v>7.7777777777777795</v>
      </c>
      <c r="BB33" s="257">
        <f t="shared" si="25"/>
        <v>7.661290322580645</v>
      </c>
      <c r="BC33" s="257">
        <f t="shared" si="25"/>
        <v>7.8947368421052628</v>
      </c>
      <c r="BD33" s="308">
        <f t="shared" si="9"/>
        <v>91.999999999999986</v>
      </c>
      <c r="BE33" s="257">
        <f t="shared" si="10"/>
        <v>0.67276051188299812</v>
      </c>
      <c r="BF33" s="39">
        <f t="shared" si="11"/>
        <v>39.229999999999997</v>
      </c>
      <c r="BH33" s="333">
        <f t="shared" si="12"/>
        <v>0.94980005545398827</v>
      </c>
    </row>
    <row r="34" spans="1:60" ht="16" x14ac:dyDescent="0.2">
      <c r="A34" t="str">
        <f t="shared" si="18"/>
        <v xml:space="preserve">R7H1EA05 </v>
      </c>
      <c r="B34" s="25">
        <f t="shared" si="19"/>
        <v>76.983349657198829</v>
      </c>
      <c r="C34" s="25">
        <f t="shared" si="20"/>
        <v>98.127340823970044</v>
      </c>
      <c r="D34" s="25">
        <f t="shared" si="21"/>
        <v>390.79365079365084</v>
      </c>
      <c r="E34" s="303">
        <f t="shared" si="22"/>
        <v>-2.8307579301616315E-3</v>
      </c>
      <c r="F34" s="303">
        <f t="shared" si="22"/>
        <v>0.15797592100473357</v>
      </c>
      <c r="G34" s="303">
        <f t="shared" si="22"/>
        <v>-2.1410348314904959E-2</v>
      </c>
      <c r="H34" s="303">
        <f t="shared" si="22"/>
        <v>-0.87114000597824837</v>
      </c>
      <c r="I34" s="303">
        <f t="shared" si="22"/>
        <v>-0.45002808462834665</v>
      </c>
      <c r="J34" s="303">
        <f t="shared" si="22"/>
        <v>-1</v>
      </c>
      <c r="K34" s="303">
        <f t="shared" si="22"/>
        <v>0.26638269986893848</v>
      </c>
      <c r="L34" s="303">
        <f t="shared" si="22"/>
        <v>-0.39516050155513394</v>
      </c>
      <c r="M34" s="303">
        <f t="shared" si="22"/>
        <v>0</v>
      </c>
      <c r="N34" s="303">
        <f t="shared" si="22"/>
        <v>-0.36680865006553076</v>
      </c>
      <c r="O34" s="303">
        <f t="shared" si="22"/>
        <v>7.1082167105445571E-2</v>
      </c>
      <c r="AE34" s="257">
        <f t="shared" si="3"/>
        <v>10.897435897435898</v>
      </c>
      <c r="AG34">
        <f>AY16/AG$24</f>
        <v>12.589928057553957</v>
      </c>
      <c r="AM34">
        <f t="shared" si="7"/>
        <v>0.8655677655677656</v>
      </c>
      <c r="AO34">
        <f t="shared" si="4"/>
        <v>550</v>
      </c>
      <c r="AP34" s="257">
        <f t="shared" ref="AP34:BC34" si="26">AP16/AP$24</f>
        <v>47.956403269754773</v>
      </c>
      <c r="AQ34" s="257">
        <f t="shared" si="26"/>
        <v>38.662486938349012</v>
      </c>
      <c r="AR34" s="257">
        <f t="shared" si="26"/>
        <v>32.627737226277368</v>
      </c>
      <c r="AS34" s="257">
        <f t="shared" si="26"/>
        <v>24.331926863572434</v>
      </c>
      <c r="AT34" s="257">
        <f t="shared" si="26"/>
        <v>16.017316017316016</v>
      </c>
      <c r="AU34" s="257">
        <f t="shared" si="26"/>
        <v>12.52873563218391</v>
      </c>
      <c r="AV34" s="257">
        <f t="shared" si="26"/>
        <v>11.764705882352942</v>
      </c>
      <c r="AW34" s="257">
        <f t="shared" si="26"/>
        <v>10.344827586206895</v>
      </c>
      <c r="AX34" s="257">
        <f t="shared" si="26"/>
        <v>8.9238845144356951</v>
      </c>
      <c r="AY34" s="257">
        <f t="shared" si="26"/>
        <v>8.235294117647058</v>
      </c>
      <c r="AZ34" s="257">
        <f t="shared" si="26"/>
        <v>8.4337349397590362</v>
      </c>
      <c r="BA34" s="257">
        <f t="shared" si="26"/>
        <v>8.6111111111111125</v>
      </c>
      <c r="BB34" s="257">
        <f t="shared" si="26"/>
        <v>8.870967741935484</v>
      </c>
      <c r="BC34" s="257">
        <f t="shared" si="26"/>
        <v>9.2105263157894726</v>
      </c>
      <c r="BD34" s="308">
        <f t="shared" si="9"/>
        <v>94.42</v>
      </c>
      <c r="BE34" s="257">
        <f t="shared" si="10"/>
        <v>0.67765567765567769</v>
      </c>
      <c r="BF34" s="39">
        <f t="shared" si="11"/>
        <v>40.42</v>
      </c>
      <c r="BH34" s="333">
        <f t="shared" si="12"/>
        <v>0.96459493511650274</v>
      </c>
    </row>
    <row r="35" spans="1:60" ht="16" x14ac:dyDescent="0.2">
      <c r="A35" t="str">
        <f t="shared" si="18"/>
        <v xml:space="preserve">R7H1EA06 </v>
      </c>
      <c r="B35" s="25">
        <f t="shared" si="19"/>
        <v>75.86680398214898</v>
      </c>
      <c r="C35" s="25">
        <f t="shared" si="20"/>
        <v>97.787610619469007</v>
      </c>
      <c r="D35" s="25">
        <f t="shared" si="21"/>
        <v>445.46031746031753</v>
      </c>
      <c r="E35" s="303">
        <f t="shared" si="22"/>
        <v>9.1444056618666059E-2</v>
      </c>
      <c r="F35" s="303">
        <f t="shared" si="22"/>
        <v>0.13435680183799392</v>
      </c>
      <c r="G35" s="303">
        <f t="shared" si="22"/>
        <v>-3.7625823053053731E-2</v>
      </c>
      <c r="H35" s="303">
        <f t="shared" si="22"/>
        <v>-0.80493871665465022</v>
      </c>
      <c r="I35" s="303">
        <f t="shared" si="22"/>
        <v>-0.19825831702544006</v>
      </c>
      <c r="J35" s="303">
        <f t="shared" si="22"/>
        <v>5.8904109589041243E-2</v>
      </c>
      <c r="K35" s="303">
        <f t="shared" si="22"/>
        <v>-0.20582191780821901</v>
      </c>
      <c r="L35" s="303">
        <f t="shared" si="22"/>
        <v>-0.27299120834185231</v>
      </c>
      <c r="M35" s="303">
        <f t="shared" si="22"/>
        <v>0</v>
      </c>
      <c r="N35" s="303">
        <f t="shared" si="22"/>
        <v>-0.33818493150684925</v>
      </c>
      <c r="O35" s="303">
        <f t="shared" si="22"/>
        <v>2.6038026653202984E-2</v>
      </c>
      <c r="AE35" s="257">
        <f t="shared" si="3"/>
        <v>11.538461538461538</v>
      </c>
      <c r="AG35">
        <f t="shared" si="6"/>
        <v>14.388489208633095</v>
      </c>
      <c r="AM35">
        <f t="shared" si="7"/>
        <v>0.80192307692307685</v>
      </c>
      <c r="AO35">
        <f t="shared" si="4"/>
        <v>650</v>
      </c>
      <c r="AP35" s="257">
        <f t="shared" ref="AP35:BC35" si="27">AP17/AP$24</f>
        <v>45.231607629427799</v>
      </c>
      <c r="AQ35" s="257">
        <f t="shared" si="27"/>
        <v>32.392894461859981</v>
      </c>
      <c r="AR35" s="257">
        <f t="shared" si="27"/>
        <v>30.072992700729927</v>
      </c>
      <c r="AS35" s="257">
        <f t="shared" si="27"/>
        <v>22.925457102672294</v>
      </c>
      <c r="AT35" s="257">
        <f t="shared" si="27"/>
        <v>16.017316017316016</v>
      </c>
      <c r="AU35" s="257">
        <f t="shared" si="27"/>
        <v>12.758620689655174</v>
      </c>
      <c r="AV35" s="257">
        <f t="shared" si="27"/>
        <v>11.764705882352942</v>
      </c>
      <c r="AW35" s="257">
        <f t="shared" si="27"/>
        <v>10.344827586206895</v>
      </c>
      <c r="AX35" s="257">
        <f t="shared" si="27"/>
        <v>9.7112860892388451</v>
      </c>
      <c r="AY35" s="257">
        <f t="shared" si="27"/>
        <v>9.4117647058823533</v>
      </c>
      <c r="AZ35" s="257">
        <f t="shared" si="27"/>
        <v>8.8353413654618489</v>
      </c>
      <c r="BA35" s="257">
        <f t="shared" si="27"/>
        <v>9.1666666666666679</v>
      </c>
      <c r="BB35" s="257">
        <f t="shared" si="27"/>
        <v>9.2741935483870961</v>
      </c>
      <c r="BC35" s="257">
        <f t="shared" si="27"/>
        <v>9.473684210526315</v>
      </c>
      <c r="BD35" s="308">
        <f t="shared" si="9"/>
        <v>86.719999999999985</v>
      </c>
      <c r="BE35" s="257">
        <f t="shared" si="10"/>
        <v>0.65126050420168069</v>
      </c>
      <c r="BF35" s="39">
        <f t="shared" si="11"/>
        <v>38.400000000000006</v>
      </c>
      <c r="BH35" s="333">
        <f t="shared" si="12"/>
        <v>0.85704049056801634</v>
      </c>
    </row>
    <row r="36" spans="1:60" ht="16" x14ac:dyDescent="0.2">
      <c r="A36" t="str">
        <f t="shared" si="18"/>
        <v xml:space="preserve">R7H1EA07 </v>
      </c>
      <c r="B36" s="25">
        <f t="shared" si="19"/>
        <v>74.821173104434905</v>
      </c>
      <c r="C36" s="25">
        <f t="shared" si="20"/>
        <v>96.89671144048171</v>
      </c>
      <c r="D36" s="25">
        <f t="shared" si="21"/>
        <v>603.52380952380952</v>
      </c>
      <c r="E36" s="303">
        <f t="shared" si="22"/>
        <v>0.22219641018487479</v>
      </c>
      <c r="F36" s="303">
        <f t="shared" si="22"/>
        <v>0.16300625259805734</v>
      </c>
      <c r="G36" s="303">
        <f t="shared" si="22"/>
        <v>-5.2711608767644358E-2</v>
      </c>
      <c r="H36" s="303">
        <f t="shared" si="22"/>
        <v>-0.52213155291790314</v>
      </c>
      <c r="I36" s="303">
        <f t="shared" si="22"/>
        <v>0.13050021195421779</v>
      </c>
      <c r="J36" s="303">
        <f t="shared" si="22"/>
        <v>-1</v>
      </c>
      <c r="K36" s="303">
        <f t="shared" si="22"/>
        <v>0.14688427299703255</v>
      </c>
      <c r="L36" s="303">
        <f t="shared" si="22"/>
        <v>7.8413570131538046E-2</v>
      </c>
      <c r="M36" s="303">
        <f t="shared" si="22"/>
        <v>0</v>
      </c>
      <c r="N36" s="303">
        <f t="shared" si="22"/>
        <v>-0.42655786350148372</v>
      </c>
      <c r="O36" s="303">
        <f t="shared" si="22"/>
        <v>7.7915480634456413E-2</v>
      </c>
      <c r="AE36" s="257">
        <f t="shared" si="3"/>
        <v>8.9743589743589745</v>
      </c>
      <c r="AG36">
        <f t="shared" si="6"/>
        <v>12.589928057553957</v>
      </c>
      <c r="AM36">
        <f t="shared" si="7"/>
        <v>0.71282051282051284</v>
      </c>
      <c r="AO36">
        <f t="shared" si="4"/>
        <v>750</v>
      </c>
      <c r="AP36" s="257">
        <f t="shared" ref="AP36:BC36" si="28">AP18/AP$24</f>
        <v>34.059945504087196</v>
      </c>
      <c r="AQ36" s="257">
        <f t="shared" si="28"/>
        <v>28.004179728317663</v>
      </c>
      <c r="AR36" s="257">
        <f t="shared" si="28"/>
        <v>24.379562043795616</v>
      </c>
      <c r="AS36" s="257">
        <f t="shared" si="28"/>
        <v>19.127988748241915</v>
      </c>
      <c r="AT36" s="257">
        <f t="shared" si="28"/>
        <v>13.852813852813853</v>
      </c>
      <c r="AU36" s="257">
        <f t="shared" si="28"/>
        <v>11.379310344827587</v>
      </c>
      <c r="AV36" s="257">
        <f t="shared" si="28"/>
        <v>10.457516339869281</v>
      </c>
      <c r="AW36" s="257">
        <f t="shared" si="28"/>
        <v>8.6206896551724128</v>
      </c>
      <c r="AX36" s="257">
        <f t="shared" si="28"/>
        <v>8.6614173228346445</v>
      </c>
      <c r="AY36" s="257">
        <f t="shared" si="28"/>
        <v>8.235294117647058</v>
      </c>
      <c r="AZ36" s="257">
        <f t="shared" si="28"/>
        <v>8.4337349397590362</v>
      </c>
      <c r="BA36" s="257">
        <f t="shared" si="28"/>
        <v>8.6111111111111125</v>
      </c>
      <c r="BB36" s="257">
        <f t="shared" si="28"/>
        <v>8.870967741935484</v>
      </c>
      <c r="BC36" s="257">
        <f t="shared" si="28"/>
        <v>8.9473684210526319</v>
      </c>
      <c r="BD36" s="308">
        <f t="shared" si="9"/>
        <v>73.080000000000013</v>
      </c>
      <c r="BE36" s="257">
        <f>AQ18/(AQ18+AP18)</f>
        <v>0.68193384223918585</v>
      </c>
      <c r="BF36" s="39">
        <f t="shared" si="11"/>
        <v>41.8</v>
      </c>
      <c r="BH36" s="333">
        <f t="shared" si="12"/>
        <v>0.96291783157944999</v>
      </c>
    </row>
    <row r="37" spans="1:60" ht="16" x14ac:dyDescent="0.2">
      <c r="A37" t="str">
        <f t="shared" si="18"/>
        <v xml:space="preserve">R7H1EA08 </v>
      </c>
      <c r="B37" s="25">
        <f t="shared" si="19"/>
        <v>74.041297935103245</v>
      </c>
      <c r="C37" s="25">
        <f t="shared" si="20"/>
        <v>95.801526717557252</v>
      </c>
      <c r="D37" s="25">
        <f t="shared" si="21"/>
        <v>793.84126984126976</v>
      </c>
      <c r="E37" s="303">
        <f t="shared" si="22"/>
        <v>0.2243749508128734</v>
      </c>
      <c r="F37" s="303">
        <f t="shared" si="22"/>
        <v>0.10483357213985589</v>
      </c>
      <c r="G37" s="303">
        <f t="shared" si="22"/>
        <v>-7.2900863479392064E-2</v>
      </c>
      <c r="H37" s="303">
        <f t="shared" si="22"/>
        <v>-0.2980330782904399</v>
      </c>
      <c r="I37" s="303">
        <f t="shared" si="22"/>
        <v>0.54048667925319904</v>
      </c>
      <c r="J37" s="303">
        <f t="shared" si="22"/>
        <v>0.13509544787077821</v>
      </c>
      <c r="K37" s="303">
        <f t="shared" si="22"/>
        <v>0.13509544787077821</v>
      </c>
      <c r="L37" s="303">
        <f t="shared" si="22"/>
        <v>0.40616301751156092</v>
      </c>
      <c r="M37" s="303">
        <f t="shared" si="22"/>
        <v>0</v>
      </c>
      <c r="N37" s="303">
        <f t="shared" si="22"/>
        <v>-0.5743392070484582</v>
      </c>
      <c r="O37" s="303">
        <f t="shared" si="22"/>
        <v>1.6191172051142955E-2</v>
      </c>
      <c r="AE37" s="257">
        <f t="shared" si="3"/>
        <v>1.2820512820512819</v>
      </c>
      <c r="AG37">
        <f t="shared" ref="AG37:AG38" si="29">AY19/AG$24</f>
        <v>0</v>
      </c>
      <c r="BH37" s="333"/>
    </row>
    <row r="38" spans="1:60" ht="16" x14ac:dyDescent="0.2">
      <c r="A38" t="str">
        <f t="shared" si="18"/>
        <v xml:space="preserve">R7H1EA09 </v>
      </c>
      <c r="B38" s="25">
        <f t="shared" si="19"/>
        <v>74.767025089605738</v>
      </c>
      <c r="C38" s="25">
        <f t="shared" si="20"/>
        <v>96.262113520996763</v>
      </c>
      <c r="D38" s="25">
        <f t="shared" si="21"/>
        <v>732.28571428571433</v>
      </c>
      <c r="E38" s="303">
        <f t="shared" si="22"/>
        <v>0.20711101379344399</v>
      </c>
      <c r="F38" s="303">
        <f t="shared" si="22"/>
        <v>0.14104822188648813</v>
      </c>
      <c r="G38" s="303">
        <f t="shared" si="22"/>
        <v>-7.5197268486779212E-2</v>
      </c>
      <c r="H38" s="303">
        <f t="shared" si="22"/>
        <v>-0.17839672173133558</v>
      </c>
      <c r="I38" s="303">
        <f t="shared" si="22"/>
        <v>0.45088633993743499</v>
      </c>
      <c r="J38" s="303">
        <f t="shared" si="22"/>
        <v>0.12846715328467151</v>
      </c>
      <c r="K38" s="303">
        <f t="shared" si="22"/>
        <v>0.12846715328467151</v>
      </c>
      <c r="L38" s="303">
        <f t="shared" si="22"/>
        <v>0.28005229327813486</v>
      </c>
      <c r="M38" s="303">
        <f t="shared" si="22"/>
        <v>0</v>
      </c>
      <c r="N38" s="303">
        <f t="shared" si="22"/>
        <v>-0.57682481751824821</v>
      </c>
      <c r="O38" s="303">
        <f t="shared" si="22"/>
        <v>3.6526085509780648E-2</v>
      </c>
      <c r="AE38" s="257">
        <f t="shared" si="3"/>
        <v>8.9743589743589745</v>
      </c>
      <c r="AG38">
        <f t="shared" si="29"/>
        <v>8.9928057553956844</v>
      </c>
      <c r="AM38">
        <f t="shared" ref="AM38" si="30">AE38/AG38</f>
        <v>0.99794871794871787</v>
      </c>
    </row>
    <row r="39" spans="1:60" ht="16" x14ac:dyDescent="0.2">
      <c r="A39" t="str">
        <f t="shared" si="18"/>
        <v xml:space="preserve">R7H1EA10 </v>
      </c>
      <c r="B39" s="25">
        <f t="shared" si="19"/>
        <v>75.237759774568502</v>
      </c>
      <c r="C39" s="25">
        <f t="shared" si="20"/>
        <v>96.172895092300763</v>
      </c>
      <c r="D39" s="25">
        <f t="shared" si="21"/>
        <v>774.34920634920638</v>
      </c>
      <c r="E39" s="303">
        <f t="shared" si="22"/>
        <v>0.13391522318267146</v>
      </c>
      <c r="F39" s="303">
        <f t="shared" si="22"/>
        <v>0.11781129071130891</v>
      </c>
      <c r="G39" s="303">
        <f t="shared" si="22"/>
        <v>-8.2431813739107018E-2</v>
      </c>
      <c r="H39" s="303">
        <f t="shared" si="22"/>
        <v>5.593330393021656E-2</v>
      </c>
      <c r="I39" s="303">
        <f t="shared" si="22"/>
        <v>0.4960295291300878</v>
      </c>
      <c r="J39" s="303">
        <f t="shared" si="22"/>
        <v>7.9608938547486074E-2</v>
      </c>
      <c r="K39" s="303">
        <f t="shared" si="22"/>
        <v>-0.1902932960893855</v>
      </c>
      <c r="L39" s="303">
        <f t="shared" si="22"/>
        <v>0.30519886600516966</v>
      </c>
      <c r="M39" s="303">
        <f t="shared" si="22"/>
        <v>0</v>
      </c>
      <c r="N39" s="303">
        <f t="shared" si="22"/>
        <v>-0.46019553072625696</v>
      </c>
      <c r="O39" s="303">
        <f t="shared" si="22"/>
        <v>2.9345864783878461E-2</v>
      </c>
    </row>
    <row r="40" spans="1:60" ht="16" x14ac:dyDescent="0.2">
      <c r="A40" t="str">
        <f t="shared" si="18"/>
        <v xml:space="preserve">R7H1EA11 </v>
      </c>
      <c r="B40" s="25">
        <f t="shared" si="19"/>
        <v>74.061810154525389</v>
      </c>
      <c r="C40" s="25">
        <f t="shared" si="20"/>
        <v>96.500479386385436</v>
      </c>
      <c r="D40" s="25">
        <f t="shared" si="21"/>
        <v>668.12698412698421</v>
      </c>
      <c r="E40" s="303">
        <f t="shared" si="22"/>
        <v>0.21738174665604704</v>
      </c>
      <c r="F40" s="303">
        <f t="shared" si="22"/>
        <v>0.12745164102084772</v>
      </c>
      <c r="G40" s="303">
        <f t="shared" si="22"/>
        <v>-7.2230618250487932E-2</v>
      </c>
      <c r="H40" s="303">
        <f t="shared" si="22"/>
        <v>3.889675609052512E-2</v>
      </c>
      <c r="I40" s="303">
        <f t="shared" si="22"/>
        <v>0.41956011103993163</v>
      </c>
      <c r="J40" s="303">
        <f t="shared" si="22"/>
        <v>-1</v>
      </c>
      <c r="K40" s="303">
        <f t="shared" si="22"/>
        <v>0.4443198804185351</v>
      </c>
      <c r="L40" s="303">
        <f t="shared" si="22"/>
        <v>0.17270151484728813</v>
      </c>
      <c r="M40" s="303">
        <f t="shared" si="22"/>
        <v>0</v>
      </c>
      <c r="N40" s="303">
        <f t="shared" si="22"/>
        <v>-0.27784005979073245</v>
      </c>
      <c r="O40" s="303">
        <f t="shared" si="22"/>
        <v>7.0281657264559483E-2</v>
      </c>
    </row>
    <row r="41" spans="1:60" ht="16" x14ac:dyDescent="0.2">
      <c r="A41" t="str">
        <f t="shared" si="18"/>
        <v xml:space="preserve">R7H1EA12 </v>
      </c>
      <c r="B41" s="25">
        <f t="shared" si="19"/>
        <v>74.557282255149985</v>
      </c>
      <c r="C41" s="25">
        <f t="shared" si="20"/>
        <v>96.627634660421535</v>
      </c>
      <c r="D41" s="25">
        <f t="shared" si="21"/>
        <v>638.06349206349205</v>
      </c>
      <c r="E41" s="303">
        <f t="shared" si="22"/>
        <v>0</v>
      </c>
      <c r="F41" s="303">
        <f t="shared" si="22"/>
        <v>0</v>
      </c>
      <c r="G41" s="303">
        <f t="shared" si="22"/>
        <v>0</v>
      </c>
      <c r="H41" s="303">
        <f t="shared" si="22"/>
        <v>0</v>
      </c>
      <c r="I41" s="303">
        <f t="shared" si="22"/>
        <v>0</v>
      </c>
      <c r="J41" s="303">
        <f t="shared" si="22"/>
        <v>0</v>
      </c>
      <c r="K41" s="303">
        <f t="shared" si="22"/>
        <v>0</v>
      </c>
      <c r="L41" s="303">
        <f t="shared" si="22"/>
        <v>0</v>
      </c>
      <c r="M41" s="303">
        <f t="shared" si="22"/>
        <v>0</v>
      </c>
      <c r="N41" s="303">
        <f t="shared" si="22"/>
        <v>0</v>
      </c>
      <c r="O41" s="303">
        <f t="shared" si="22"/>
        <v>0</v>
      </c>
    </row>
    <row r="42" spans="1:60" x14ac:dyDescent="0.2">
      <c r="A42" t="str">
        <f t="shared" si="18"/>
        <v xml:space="preserve">CZO-GNEISS </v>
      </c>
      <c r="B42" s="25">
        <f t="shared" si="19"/>
        <v>55.740365111561864</v>
      </c>
      <c r="C42" s="25">
        <f t="shared" si="20"/>
        <v>62.625341841385591</v>
      </c>
      <c r="D42" s="25">
        <f t="shared" si="21"/>
        <v>3461.7142857142858</v>
      </c>
    </row>
    <row r="43" spans="1:60" x14ac:dyDescent="0.2">
      <c r="A43" t="str">
        <f t="shared" si="18"/>
        <v xml:space="preserve">_MLG </v>
      </c>
      <c r="B43" s="25">
        <f t="shared" si="19"/>
        <v>57.354535598120712</v>
      </c>
      <c r="C43" s="25">
        <f t="shared" si="20"/>
        <v>60.781309842972036</v>
      </c>
      <c r="D43" s="25">
        <f t="shared" si="21"/>
        <v>5726.4761904761908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3"/>
  <sheetViews>
    <sheetView topLeftCell="X1" zoomScale="80" zoomScaleNormal="80" workbookViewId="0">
      <selection activeCell="AE18" sqref="AE18:AM26"/>
    </sheetView>
  </sheetViews>
  <sheetFormatPr baseColWidth="10" defaultRowHeight="15" x14ac:dyDescent="0.2"/>
  <cols>
    <col min="1" max="1" width="12.1640625" customWidth="1"/>
    <col min="2" max="2" width="6.5" bestFit="1" customWidth="1"/>
    <col min="3" max="4" width="8.83203125" bestFit="1" customWidth="1"/>
    <col min="5" max="5" width="10.33203125" bestFit="1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9.5" customWidth="1"/>
    <col min="42" max="42" width="9.83203125" customWidth="1"/>
    <col min="43" max="55" width="7" bestFit="1" customWidth="1"/>
    <col min="56" max="56" width="7.33203125" bestFit="1" customWidth="1"/>
    <col min="57" max="62" width="7" bestFit="1" customWidth="1"/>
  </cols>
  <sheetData>
    <row r="1" spans="1:63" x14ac:dyDescent="0.2">
      <c r="A1" s="2" t="s">
        <v>416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3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3" x14ac:dyDescent="0.2">
      <c r="A3" s="2" t="s">
        <v>2</v>
      </c>
      <c r="B3" s="2" t="s">
        <v>422</v>
      </c>
      <c r="C3" s="2" t="s">
        <v>426</v>
      </c>
      <c r="D3" s="2" t="s">
        <v>426</v>
      </c>
      <c r="E3" s="2" t="s">
        <v>426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63" x14ac:dyDescent="0.2">
      <c r="A4" s="2" t="s">
        <v>60</v>
      </c>
      <c r="B4" s="2"/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63" x14ac:dyDescent="0.2">
      <c r="A5" s="2" t="s">
        <v>63</v>
      </c>
      <c r="B5" s="2"/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63" ht="16" thickBot="1" x14ac:dyDescent="0.25">
      <c r="A6" s="5" t="s">
        <v>64</v>
      </c>
      <c r="B6" s="5"/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  <c r="BK6" s="38" t="s">
        <v>467</v>
      </c>
    </row>
    <row r="7" spans="1:63" ht="16" customHeight="1" thickTop="1" x14ac:dyDescent="0.2">
      <c r="A7" s="2" t="s">
        <v>163</v>
      </c>
      <c r="B7" s="7" t="s">
        <v>428</v>
      </c>
      <c r="C7" s="7">
        <v>0</v>
      </c>
      <c r="D7" s="7">
        <v>9</v>
      </c>
      <c r="E7" s="4">
        <f>AVERAGE(C7:D7)</f>
        <v>4.5</v>
      </c>
      <c r="F7" s="4">
        <v>75.78</v>
      </c>
      <c r="G7" s="4">
        <v>9.41</v>
      </c>
      <c r="H7" s="4">
        <v>3.2</v>
      </c>
      <c r="I7" s="4">
        <v>0.26900000000000002</v>
      </c>
      <c r="J7" s="4">
        <v>0.18</v>
      </c>
      <c r="K7" s="4">
        <v>0.17</v>
      </c>
      <c r="L7" s="4">
        <v>0.19</v>
      </c>
      <c r="M7" s="4">
        <v>1.31</v>
      </c>
      <c r="N7" s="4">
        <v>0.69099999999999995</v>
      </c>
      <c r="O7" s="4">
        <v>0.06</v>
      </c>
      <c r="P7" s="4">
        <v>7.7</v>
      </c>
      <c r="Q7" s="4">
        <v>98.97</v>
      </c>
      <c r="R7" s="4">
        <v>8</v>
      </c>
      <c r="S7" s="4">
        <v>1</v>
      </c>
      <c r="T7" s="4">
        <v>58</v>
      </c>
      <c r="U7" s="4">
        <v>30</v>
      </c>
      <c r="V7" s="4">
        <v>27</v>
      </c>
      <c r="W7" s="4" t="s">
        <v>69</v>
      </c>
      <c r="X7" s="4">
        <v>20</v>
      </c>
      <c r="Y7" s="4">
        <v>40</v>
      </c>
      <c r="Z7" s="4">
        <v>10</v>
      </c>
      <c r="AA7" s="4" t="s">
        <v>68</v>
      </c>
      <c r="AB7" s="4" t="s">
        <v>71</v>
      </c>
      <c r="AC7" s="4">
        <v>57</v>
      </c>
      <c r="AD7" s="4">
        <v>60</v>
      </c>
      <c r="AE7" s="4">
        <v>42</v>
      </c>
      <c r="AF7" s="4">
        <v>343</v>
      </c>
      <c r="AG7" s="4">
        <v>5</v>
      </c>
      <c r="AH7" s="4" t="s">
        <v>72</v>
      </c>
      <c r="AI7" s="4" t="s">
        <v>74</v>
      </c>
      <c r="AJ7" s="4" t="s">
        <v>73</v>
      </c>
      <c r="AK7" s="4" t="s">
        <v>68</v>
      </c>
      <c r="AL7" s="4" t="s">
        <v>74</v>
      </c>
      <c r="AM7" s="4">
        <v>2.4</v>
      </c>
      <c r="AN7" s="4">
        <v>595</v>
      </c>
      <c r="AO7" s="4" t="s">
        <v>75</v>
      </c>
      <c r="AP7" s="4">
        <v>54.9</v>
      </c>
      <c r="AQ7" s="4">
        <v>172</v>
      </c>
      <c r="AR7" s="4">
        <v>14.9</v>
      </c>
      <c r="AS7" s="4">
        <v>56.7</v>
      </c>
      <c r="AT7" s="4">
        <v>11.5</v>
      </c>
      <c r="AU7" s="4">
        <v>3.04</v>
      </c>
      <c r="AV7" s="4">
        <v>9.9</v>
      </c>
      <c r="AW7" s="4">
        <v>1.6</v>
      </c>
      <c r="AX7" s="4">
        <v>9.5</v>
      </c>
      <c r="AY7" s="4">
        <v>1.9</v>
      </c>
      <c r="AZ7" s="4">
        <v>5.3</v>
      </c>
      <c r="BA7" s="4">
        <v>0.8</v>
      </c>
      <c r="BB7" s="4">
        <v>5.5</v>
      </c>
      <c r="BC7" s="4">
        <v>0.84</v>
      </c>
      <c r="BD7" s="4">
        <v>6.9</v>
      </c>
      <c r="BE7" s="4">
        <v>0.5</v>
      </c>
      <c r="BF7" s="4" t="s">
        <v>68</v>
      </c>
      <c r="BG7" s="4">
        <v>0.2</v>
      </c>
      <c r="BH7" s="4">
        <v>65</v>
      </c>
      <c r="BI7" s="4">
        <v>5.7</v>
      </c>
      <c r="BJ7" s="4">
        <v>2.4</v>
      </c>
      <c r="BK7">
        <f>100*(G7/(G7+J7+K7+L7))</f>
        <v>94.572864321608051</v>
      </c>
    </row>
    <row r="8" spans="1:63" x14ac:dyDescent="0.2">
      <c r="A8" s="2" t="s">
        <v>164</v>
      </c>
      <c r="B8" s="7" t="s">
        <v>433</v>
      </c>
      <c r="C8" s="7">
        <v>9</v>
      </c>
      <c r="D8" s="7">
        <v>21</v>
      </c>
      <c r="E8" s="4">
        <f t="shared" ref="E8:E13" si="0">AVERAGE(C8:D8)</f>
        <v>15</v>
      </c>
      <c r="F8" s="4">
        <v>75.47</v>
      </c>
      <c r="G8" s="4">
        <v>10.89</v>
      </c>
      <c r="H8" s="4">
        <v>3.87</v>
      </c>
      <c r="I8" s="4">
        <v>0.30199999999999999</v>
      </c>
      <c r="J8" s="4">
        <v>0.17</v>
      </c>
      <c r="K8" s="4">
        <v>7.0000000000000007E-2</v>
      </c>
      <c r="L8" s="4">
        <v>0.14000000000000001</v>
      </c>
      <c r="M8" s="4">
        <v>1.38</v>
      </c>
      <c r="N8" s="4">
        <v>0.74299999999999999</v>
      </c>
      <c r="O8" s="4">
        <v>0.05</v>
      </c>
      <c r="P8" s="4">
        <v>6.09</v>
      </c>
      <c r="Q8" s="4">
        <v>99.18</v>
      </c>
      <c r="R8" s="4">
        <v>9</v>
      </c>
      <c r="S8" s="4">
        <v>1</v>
      </c>
      <c r="T8" s="4">
        <v>69</v>
      </c>
      <c r="U8" s="4">
        <v>30</v>
      </c>
      <c r="V8" s="4">
        <v>30</v>
      </c>
      <c r="W8" s="4" t="s">
        <v>69</v>
      </c>
      <c r="X8" s="4">
        <v>30</v>
      </c>
      <c r="Y8" s="4">
        <v>40</v>
      </c>
      <c r="Z8" s="4">
        <v>11</v>
      </c>
      <c r="AA8" s="4" t="s">
        <v>68</v>
      </c>
      <c r="AB8" s="4" t="s">
        <v>71</v>
      </c>
      <c r="AC8" s="4">
        <v>65</v>
      </c>
      <c r="AD8" s="4">
        <v>62</v>
      </c>
      <c r="AE8" s="4">
        <v>54</v>
      </c>
      <c r="AF8" s="4">
        <v>396</v>
      </c>
      <c r="AG8" s="4">
        <v>7</v>
      </c>
      <c r="AH8" s="4" t="s">
        <v>72</v>
      </c>
      <c r="AI8" s="4">
        <v>0.8</v>
      </c>
      <c r="AJ8" s="4" t="s">
        <v>73</v>
      </c>
      <c r="AK8" s="4" t="s">
        <v>68</v>
      </c>
      <c r="AL8" s="4" t="s">
        <v>74</v>
      </c>
      <c r="AM8" s="4">
        <v>2.8</v>
      </c>
      <c r="AN8" s="4">
        <v>637</v>
      </c>
      <c r="AO8" s="4" t="s">
        <v>75</v>
      </c>
      <c r="AP8" s="4">
        <v>65.099999999999994</v>
      </c>
      <c r="AQ8" s="4">
        <v>199</v>
      </c>
      <c r="AR8" s="4">
        <v>17.899999999999999</v>
      </c>
      <c r="AS8" s="4">
        <v>68.599999999999994</v>
      </c>
      <c r="AT8" s="4">
        <v>13.9</v>
      </c>
      <c r="AU8" s="4">
        <v>3.85</v>
      </c>
      <c r="AV8" s="4">
        <v>12.1</v>
      </c>
      <c r="AW8" s="4">
        <v>1.9</v>
      </c>
      <c r="AX8" s="4">
        <v>11.5</v>
      </c>
      <c r="AY8" s="4">
        <v>2.2999999999999998</v>
      </c>
      <c r="AZ8" s="4">
        <v>6.7</v>
      </c>
      <c r="BA8" s="4">
        <v>0.97</v>
      </c>
      <c r="BB8" s="4">
        <v>6.6</v>
      </c>
      <c r="BC8" s="4">
        <v>1.03</v>
      </c>
      <c r="BD8" s="4">
        <v>9.1</v>
      </c>
      <c r="BE8" s="4">
        <v>0.5</v>
      </c>
      <c r="BF8" s="4" t="s">
        <v>68</v>
      </c>
      <c r="BG8" s="4">
        <v>0.2</v>
      </c>
      <c r="BH8" s="4">
        <v>27</v>
      </c>
      <c r="BI8" s="4">
        <v>6.6</v>
      </c>
      <c r="BJ8" s="4">
        <v>2.8</v>
      </c>
      <c r="BK8">
        <f t="shared" ref="BK8:BK15" si="1">100*(G8/(G8+J8+K8+L8))</f>
        <v>96.628216503992888</v>
      </c>
    </row>
    <row r="9" spans="1:63" x14ac:dyDescent="0.2">
      <c r="A9" s="2" t="s">
        <v>165</v>
      </c>
      <c r="B9" s="7" t="s">
        <v>418</v>
      </c>
      <c r="C9" s="7">
        <v>21</v>
      </c>
      <c r="D9" s="7">
        <v>44</v>
      </c>
      <c r="E9" s="4">
        <f t="shared" si="0"/>
        <v>32.5</v>
      </c>
      <c r="F9" s="4">
        <v>69.19</v>
      </c>
      <c r="G9" s="4">
        <v>15.07</v>
      </c>
      <c r="H9" s="4">
        <v>4.95</v>
      </c>
      <c r="I9" s="4">
        <v>0.189</v>
      </c>
      <c r="J9" s="4">
        <v>0.22</v>
      </c>
      <c r="K9" s="4">
        <v>7.0000000000000007E-2</v>
      </c>
      <c r="L9" s="4">
        <v>0.13</v>
      </c>
      <c r="M9" s="4">
        <v>1.32</v>
      </c>
      <c r="N9" s="4">
        <v>0.77600000000000002</v>
      </c>
      <c r="O9" s="4">
        <v>0.05</v>
      </c>
      <c r="P9" s="4">
        <v>7.24</v>
      </c>
      <c r="Q9" s="4">
        <v>99.19</v>
      </c>
      <c r="R9" s="4">
        <v>12</v>
      </c>
      <c r="S9" s="4">
        <v>2</v>
      </c>
      <c r="T9" s="4">
        <v>91</v>
      </c>
      <c r="U9" s="4">
        <v>30</v>
      </c>
      <c r="V9" s="4">
        <v>33</v>
      </c>
      <c r="W9" s="4" t="s">
        <v>69</v>
      </c>
      <c r="X9" s="4">
        <v>30</v>
      </c>
      <c r="Y9" s="4">
        <v>50</v>
      </c>
      <c r="Z9" s="4">
        <v>16</v>
      </c>
      <c r="AA9" s="4" t="s">
        <v>68</v>
      </c>
      <c r="AB9" s="4" t="s">
        <v>71</v>
      </c>
      <c r="AC9" s="4">
        <v>73</v>
      </c>
      <c r="AD9" s="4">
        <v>58</v>
      </c>
      <c r="AE9" s="4">
        <v>30</v>
      </c>
      <c r="AF9" s="4">
        <v>347</v>
      </c>
      <c r="AG9" s="4">
        <v>8</v>
      </c>
      <c r="AH9" s="4" t="s">
        <v>72</v>
      </c>
      <c r="AI9" s="4" t="s">
        <v>74</v>
      </c>
      <c r="AJ9" s="4" t="s">
        <v>73</v>
      </c>
      <c r="AK9" s="4" t="s">
        <v>68</v>
      </c>
      <c r="AL9" s="4" t="s">
        <v>74</v>
      </c>
      <c r="AM9" s="4">
        <v>3.3</v>
      </c>
      <c r="AN9" s="4">
        <v>561</v>
      </c>
      <c r="AO9" s="4" t="s">
        <v>75</v>
      </c>
      <c r="AP9" s="4">
        <v>40.4</v>
      </c>
      <c r="AQ9" s="4">
        <v>189</v>
      </c>
      <c r="AR9" s="4">
        <v>11.1</v>
      </c>
      <c r="AS9" s="4">
        <v>42</v>
      </c>
      <c r="AT9" s="4">
        <v>8.8000000000000007</v>
      </c>
      <c r="AU9" s="4">
        <v>2.2799999999999998</v>
      </c>
      <c r="AV9" s="4">
        <v>7.2</v>
      </c>
      <c r="AW9" s="4">
        <v>1.1000000000000001</v>
      </c>
      <c r="AX9" s="4">
        <v>6.7</v>
      </c>
      <c r="AY9" s="4">
        <v>1.4</v>
      </c>
      <c r="AZ9" s="4">
        <v>3.9</v>
      </c>
      <c r="BA9" s="4">
        <v>0.6</v>
      </c>
      <c r="BB9" s="4">
        <v>4.2</v>
      </c>
      <c r="BC9" s="4">
        <v>0.68</v>
      </c>
      <c r="BD9" s="4">
        <v>8</v>
      </c>
      <c r="BE9" s="4">
        <v>0.6</v>
      </c>
      <c r="BF9" s="4" t="s">
        <v>68</v>
      </c>
      <c r="BG9" s="4">
        <v>0.3</v>
      </c>
      <c r="BH9" s="4">
        <v>36</v>
      </c>
      <c r="BI9" s="4">
        <v>9.1</v>
      </c>
      <c r="BJ9" s="4">
        <v>2.8</v>
      </c>
      <c r="BK9">
        <f t="shared" si="1"/>
        <v>97.288573273079393</v>
      </c>
    </row>
    <row r="10" spans="1:63" x14ac:dyDescent="0.2">
      <c r="A10" s="2" t="s">
        <v>166</v>
      </c>
      <c r="B10" s="7" t="s">
        <v>419</v>
      </c>
      <c r="C10" s="7">
        <v>44</v>
      </c>
      <c r="D10" s="7">
        <v>76</v>
      </c>
      <c r="E10" s="4">
        <f t="shared" si="0"/>
        <v>60</v>
      </c>
      <c r="F10" s="4">
        <v>63.04</v>
      </c>
      <c r="G10" s="4">
        <v>19.059999999999999</v>
      </c>
      <c r="H10" s="4">
        <v>6.5</v>
      </c>
      <c r="I10" s="4">
        <v>0.14299999999999999</v>
      </c>
      <c r="J10" s="4">
        <v>0.25</v>
      </c>
      <c r="K10" s="4">
        <v>0.08</v>
      </c>
      <c r="L10" s="4">
        <v>0.09</v>
      </c>
      <c r="M10" s="4">
        <v>1.1499999999999999</v>
      </c>
      <c r="N10" s="4">
        <v>0.78300000000000003</v>
      </c>
      <c r="O10" s="4">
        <v>0.05</v>
      </c>
      <c r="P10" s="4">
        <v>8.8699999999999992</v>
      </c>
      <c r="Q10" s="4">
        <v>100</v>
      </c>
      <c r="R10" s="4">
        <v>16</v>
      </c>
      <c r="S10" s="4">
        <v>2</v>
      </c>
      <c r="T10" s="4">
        <v>114</v>
      </c>
      <c r="U10" s="4">
        <v>40</v>
      </c>
      <c r="V10" s="4">
        <v>31</v>
      </c>
      <c r="W10" s="4">
        <v>30</v>
      </c>
      <c r="X10" s="4">
        <v>40</v>
      </c>
      <c r="Y10" s="4">
        <v>60</v>
      </c>
      <c r="Z10" s="4">
        <v>15</v>
      </c>
      <c r="AA10" s="4">
        <v>1</v>
      </c>
      <c r="AB10" s="4" t="s">
        <v>71</v>
      </c>
      <c r="AC10" s="4">
        <v>71</v>
      </c>
      <c r="AD10" s="4">
        <v>57</v>
      </c>
      <c r="AE10" s="4">
        <v>14</v>
      </c>
      <c r="AF10" s="4">
        <v>268</v>
      </c>
      <c r="AG10" s="4">
        <v>8</v>
      </c>
      <c r="AH10" s="4" t="s">
        <v>72</v>
      </c>
      <c r="AI10" s="4">
        <v>1</v>
      </c>
      <c r="AJ10" s="4" t="s">
        <v>73</v>
      </c>
      <c r="AK10" s="4">
        <v>1</v>
      </c>
      <c r="AL10" s="4" t="s">
        <v>74</v>
      </c>
      <c r="AM10" s="4">
        <v>3.2</v>
      </c>
      <c r="AN10" s="4">
        <v>458</v>
      </c>
      <c r="AO10" s="4" t="s">
        <v>75</v>
      </c>
      <c r="AP10" s="4">
        <v>18.2</v>
      </c>
      <c r="AQ10" s="4">
        <v>158</v>
      </c>
      <c r="AR10" s="4">
        <v>4.5</v>
      </c>
      <c r="AS10" s="4">
        <v>16.899999999999999</v>
      </c>
      <c r="AT10" s="4">
        <v>3.4</v>
      </c>
      <c r="AU10" s="4">
        <v>0.81</v>
      </c>
      <c r="AV10" s="4">
        <v>2.6</v>
      </c>
      <c r="AW10" s="4">
        <v>0.5</v>
      </c>
      <c r="AX10" s="4">
        <v>2.9</v>
      </c>
      <c r="AY10" s="4">
        <v>0.6</v>
      </c>
      <c r="AZ10" s="4">
        <v>1.8</v>
      </c>
      <c r="BA10" s="4">
        <v>0.28000000000000003</v>
      </c>
      <c r="BB10" s="4">
        <v>2</v>
      </c>
      <c r="BC10" s="4">
        <v>0.32</v>
      </c>
      <c r="BD10" s="4">
        <v>6.6</v>
      </c>
      <c r="BE10" s="4">
        <v>0.6</v>
      </c>
      <c r="BF10" s="4">
        <v>1</v>
      </c>
      <c r="BG10" s="4">
        <v>0.4</v>
      </c>
      <c r="BH10" s="4">
        <v>30</v>
      </c>
      <c r="BI10" s="4">
        <v>11.4</v>
      </c>
      <c r="BJ10" s="4">
        <v>2.7</v>
      </c>
      <c r="BK10">
        <f t="shared" si="1"/>
        <v>97.843942505133469</v>
      </c>
    </row>
    <row r="11" spans="1:63" x14ac:dyDescent="0.2">
      <c r="A11" s="2" t="s">
        <v>167</v>
      </c>
      <c r="B11" s="7" t="s">
        <v>429</v>
      </c>
      <c r="C11" s="7">
        <v>76</v>
      </c>
      <c r="D11" s="7">
        <v>102</v>
      </c>
      <c r="E11" s="4">
        <f t="shared" si="0"/>
        <v>89</v>
      </c>
      <c r="F11" s="4">
        <v>62.76</v>
      </c>
      <c r="G11" s="4">
        <v>18.739999999999998</v>
      </c>
      <c r="H11" s="4">
        <v>7.27</v>
      </c>
      <c r="I11" s="4">
        <v>4.7E-2</v>
      </c>
      <c r="J11" s="4">
        <v>0.25</v>
      </c>
      <c r="K11" s="4">
        <v>0.04</v>
      </c>
      <c r="L11" s="4">
        <v>0.1</v>
      </c>
      <c r="M11" s="4">
        <v>0.87</v>
      </c>
      <c r="N11" s="4">
        <v>0.73699999999999999</v>
      </c>
      <c r="O11" s="4">
        <v>0.03</v>
      </c>
      <c r="P11" s="4">
        <v>8.67</v>
      </c>
      <c r="Q11" s="4">
        <v>99.5</v>
      </c>
      <c r="R11" s="4">
        <v>19</v>
      </c>
      <c r="S11" s="4">
        <v>1</v>
      </c>
      <c r="T11" s="4">
        <v>133</v>
      </c>
      <c r="U11" s="4">
        <v>40</v>
      </c>
      <c r="V11" s="4">
        <v>9</v>
      </c>
      <c r="W11" s="4" t="s">
        <v>69</v>
      </c>
      <c r="X11" s="4">
        <v>40</v>
      </c>
      <c r="Y11" s="4">
        <v>60</v>
      </c>
      <c r="Z11" s="4">
        <v>16</v>
      </c>
      <c r="AA11" s="4">
        <v>1</v>
      </c>
      <c r="AB11" s="4" t="s">
        <v>71</v>
      </c>
      <c r="AC11" s="4">
        <v>54</v>
      </c>
      <c r="AD11" s="4">
        <v>33</v>
      </c>
      <c r="AE11" s="4">
        <v>6</v>
      </c>
      <c r="AF11" s="4">
        <v>227</v>
      </c>
      <c r="AG11" s="4">
        <v>7</v>
      </c>
      <c r="AH11" s="4" t="s">
        <v>72</v>
      </c>
      <c r="AI11" s="4">
        <v>0.7</v>
      </c>
      <c r="AJ11" s="4" t="s">
        <v>73</v>
      </c>
      <c r="AK11" s="4">
        <v>1</v>
      </c>
      <c r="AL11" s="4">
        <v>0.5</v>
      </c>
      <c r="AM11" s="4">
        <v>2.7</v>
      </c>
      <c r="AN11" s="4">
        <v>305</v>
      </c>
      <c r="AO11" s="4" t="s">
        <v>75</v>
      </c>
      <c r="AP11" s="4">
        <v>8.3000000000000007</v>
      </c>
      <c r="AQ11" s="4">
        <v>37.6</v>
      </c>
      <c r="AR11" s="4">
        <v>1.93</v>
      </c>
      <c r="AS11" s="4">
        <v>7.2</v>
      </c>
      <c r="AT11" s="4">
        <v>1.4</v>
      </c>
      <c r="AU11" s="4">
        <v>0.35</v>
      </c>
      <c r="AV11" s="4">
        <v>1</v>
      </c>
      <c r="AW11" s="4">
        <v>0.2</v>
      </c>
      <c r="AX11" s="4">
        <v>1.3</v>
      </c>
      <c r="AY11" s="4">
        <v>0.3</v>
      </c>
      <c r="AZ11" s="4">
        <v>0.9</v>
      </c>
      <c r="BA11" s="4">
        <v>0.14000000000000001</v>
      </c>
      <c r="BB11" s="4">
        <v>1.1000000000000001</v>
      </c>
      <c r="BC11" s="4">
        <v>0.2</v>
      </c>
      <c r="BD11" s="4">
        <v>5.7</v>
      </c>
      <c r="BE11" s="4">
        <v>0.5</v>
      </c>
      <c r="BF11" s="4" t="s">
        <v>68</v>
      </c>
      <c r="BG11" s="4">
        <v>0.2</v>
      </c>
      <c r="BH11" s="4">
        <v>23</v>
      </c>
      <c r="BI11" s="4">
        <v>10.5</v>
      </c>
      <c r="BJ11" s="4">
        <v>2.2999999999999998</v>
      </c>
      <c r="BK11">
        <f t="shared" si="1"/>
        <v>97.961317302665961</v>
      </c>
    </row>
    <row r="12" spans="1:63" x14ac:dyDescent="0.2">
      <c r="A12" s="2" t="s">
        <v>168</v>
      </c>
      <c r="B12" s="7" t="s">
        <v>436</v>
      </c>
      <c r="C12" s="7">
        <v>102</v>
      </c>
      <c r="D12" s="7">
        <v>149</v>
      </c>
      <c r="E12" s="4">
        <f t="shared" si="0"/>
        <v>125.5</v>
      </c>
      <c r="F12" s="4">
        <v>66.180000000000007</v>
      </c>
      <c r="G12" s="4">
        <v>15.82</v>
      </c>
      <c r="H12" s="4">
        <v>7.59</v>
      </c>
      <c r="I12" s="4">
        <v>3.9E-2</v>
      </c>
      <c r="J12" s="4">
        <v>0.19</v>
      </c>
      <c r="K12" s="4">
        <v>0.03</v>
      </c>
      <c r="L12" s="4">
        <v>0.06</v>
      </c>
      <c r="M12" s="4">
        <v>0.49</v>
      </c>
      <c r="N12" s="4">
        <v>0.68500000000000005</v>
      </c>
      <c r="O12" s="4">
        <v>0.03</v>
      </c>
      <c r="P12" s="4">
        <v>7.54</v>
      </c>
      <c r="Q12" s="4">
        <v>98.65</v>
      </c>
      <c r="R12" s="4">
        <v>19</v>
      </c>
      <c r="S12" s="4">
        <v>1</v>
      </c>
      <c r="T12" s="4">
        <v>133</v>
      </c>
      <c r="U12" s="4">
        <v>40</v>
      </c>
      <c r="V12" s="4">
        <v>7</v>
      </c>
      <c r="W12" s="4" t="s">
        <v>69</v>
      </c>
      <c r="X12" s="4">
        <v>40</v>
      </c>
      <c r="Y12" s="4">
        <v>50</v>
      </c>
      <c r="Z12" s="4">
        <v>14</v>
      </c>
      <c r="AA12" s="4">
        <v>1</v>
      </c>
      <c r="AB12" s="4" t="s">
        <v>71</v>
      </c>
      <c r="AC12" s="4">
        <v>34</v>
      </c>
      <c r="AD12" s="4">
        <v>17</v>
      </c>
      <c r="AE12" s="4">
        <v>3</v>
      </c>
      <c r="AF12" s="4">
        <v>210</v>
      </c>
      <c r="AG12" s="4">
        <v>5</v>
      </c>
      <c r="AH12" s="4" t="s">
        <v>72</v>
      </c>
      <c r="AI12" s="4">
        <v>0.7</v>
      </c>
      <c r="AJ12" s="4" t="s">
        <v>73</v>
      </c>
      <c r="AK12" s="4">
        <v>1</v>
      </c>
      <c r="AL12" s="4" t="s">
        <v>74</v>
      </c>
      <c r="AM12" s="4">
        <v>2</v>
      </c>
      <c r="AN12" s="4">
        <v>154</v>
      </c>
      <c r="AO12" s="4" t="s">
        <v>75</v>
      </c>
      <c r="AP12" s="4">
        <v>5.0999999999999996</v>
      </c>
      <c r="AQ12" s="4">
        <v>24.2</v>
      </c>
      <c r="AR12" s="4">
        <v>1.24</v>
      </c>
      <c r="AS12" s="4">
        <v>4.4000000000000004</v>
      </c>
      <c r="AT12" s="4">
        <v>0.9</v>
      </c>
      <c r="AU12" s="4">
        <v>0.21</v>
      </c>
      <c r="AV12" s="4">
        <v>0.7</v>
      </c>
      <c r="AW12" s="4">
        <v>0.1</v>
      </c>
      <c r="AX12" s="4">
        <v>0.9</v>
      </c>
      <c r="AY12" s="4">
        <v>0.2</v>
      </c>
      <c r="AZ12" s="4">
        <v>0.6</v>
      </c>
      <c r="BA12" s="4">
        <v>0.1</v>
      </c>
      <c r="BB12" s="4">
        <v>0.8</v>
      </c>
      <c r="BC12" s="4">
        <v>0.14000000000000001</v>
      </c>
      <c r="BD12" s="4">
        <v>4.9000000000000004</v>
      </c>
      <c r="BE12" s="4">
        <v>0.4</v>
      </c>
      <c r="BF12" s="4" t="s">
        <v>68</v>
      </c>
      <c r="BG12" s="4">
        <v>0.1</v>
      </c>
      <c r="BH12" s="4">
        <v>11</v>
      </c>
      <c r="BI12" s="4">
        <v>8</v>
      </c>
      <c r="BJ12" s="4">
        <v>1.7</v>
      </c>
      <c r="BK12">
        <f t="shared" si="1"/>
        <v>98.260869565217376</v>
      </c>
    </row>
    <row r="13" spans="1:63" x14ac:dyDescent="0.2">
      <c r="A13" s="2" t="s">
        <v>169</v>
      </c>
      <c r="B13" s="7" t="s">
        <v>437</v>
      </c>
      <c r="C13" s="7">
        <v>149</v>
      </c>
      <c r="D13" s="7">
        <v>155</v>
      </c>
      <c r="E13" s="4">
        <f t="shared" si="0"/>
        <v>152</v>
      </c>
      <c r="F13" s="4">
        <v>61.35</v>
      </c>
      <c r="G13" s="4">
        <v>19.559999999999999</v>
      </c>
      <c r="H13" s="4">
        <v>8.2200000000000006</v>
      </c>
      <c r="I13" s="4">
        <v>3.4000000000000002E-2</v>
      </c>
      <c r="J13" s="4">
        <v>0.23</v>
      </c>
      <c r="K13" s="4">
        <v>0.03</v>
      </c>
      <c r="L13" s="4">
        <v>0.1</v>
      </c>
      <c r="M13" s="4">
        <v>0.59</v>
      </c>
      <c r="N13" s="4">
        <v>0.73799999999999999</v>
      </c>
      <c r="O13" s="4">
        <v>0.03</v>
      </c>
      <c r="P13" s="4">
        <v>8.91</v>
      </c>
      <c r="Q13" s="4">
        <v>99.78</v>
      </c>
      <c r="R13" s="4">
        <v>23</v>
      </c>
      <c r="S13" s="4">
        <v>2</v>
      </c>
      <c r="T13" s="4">
        <v>138</v>
      </c>
      <c r="U13" s="4">
        <v>30</v>
      </c>
      <c r="V13" s="4">
        <v>6</v>
      </c>
      <c r="W13" s="4" t="s">
        <v>69</v>
      </c>
      <c r="X13" s="4">
        <v>40</v>
      </c>
      <c r="Y13" s="4">
        <v>60</v>
      </c>
      <c r="Z13" s="4">
        <v>16</v>
      </c>
      <c r="AA13" s="4">
        <v>1</v>
      </c>
      <c r="AB13" s="4" t="s">
        <v>71</v>
      </c>
      <c r="AC13" s="4">
        <v>41</v>
      </c>
      <c r="AD13" s="4">
        <v>18</v>
      </c>
      <c r="AE13" s="4">
        <v>5</v>
      </c>
      <c r="AF13" s="4">
        <v>137</v>
      </c>
      <c r="AG13" s="4">
        <v>6</v>
      </c>
      <c r="AH13" s="4" t="s">
        <v>72</v>
      </c>
      <c r="AI13" s="4" t="s">
        <v>74</v>
      </c>
      <c r="AJ13" s="4" t="s">
        <v>73</v>
      </c>
      <c r="AK13" s="4">
        <v>1</v>
      </c>
      <c r="AL13" s="4" t="s">
        <v>74</v>
      </c>
      <c r="AM13" s="4">
        <v>2.5</v>
      </c>
      <c r="AN13" s="4">
        <v>163</v>
      </c>
      <c r="AO13" s="4" t="s">
        <v>75</v>
      </c>
      <c r="AP13" s="4">
        <v>6</v>
      </c>
      <c r="AQ13" s="4">
        <v>27.1</v>
      </c>
      <c r="AR13" s="4">
        <v>1.44</v>
      </c>
      <c r="AS13" s="4">
        <v>5.2</v>
      </c>
      <c r="AT13" s="4">
        <v>0.9</v>
      </c>
      <c r="AU13" s="4">
        <v>0.25</v>
      </c>
      <c r="AV13" s="4">
        <v>0.8</v>
      </c>
      <c r="AW13" s="4">
        <v>0.1</v>
      </c>
      <c r="AX13" s="4">
        <v>1</v>
      </c>
      <c r="AY13" s="4">
        <v>0.2</v>
      </c>
      <c r="AZ13" s="4">
        <v>0.7</v>
      </c>
      <c r="BA13" s="4">
        <v>0.11</v>
      </c>
      <c r="BB13" s="4">
        <v>0.8</v>
      </c>
      <c r="BC13" s="4">
        <v>0.13</v>
      </c>
      <c r="BD13" s="4">
        <v>3.6</v>
      </c>
      <c r="BE13" s="4">
        <v>0.4</v>
      </c>
      <c r="BF13" s="4" t="s">
        <v>68</v>
      </c>
      <c r="BG13" s="4">
        <v>0.2</v>
      </c>
      <c r="BH13" s="4">
        <v>24</v>
      </c>
      <c r="BI13" s="4">
        <v>9.6</v>
      </c>
      <c r="BJ13" s="4">
        <v>1.9</v>
      </c>
      <c r="BK13">
        <f t="shared" si="1"/>
        <v>98.192771084337338</v>
      </c>
    </row>
    <row r="14" spans="1:63" x14ac:dyDescent="0.2">
      <c r="A14" s="2" t="s">
        <v>454</v>
      </c>
      <c r="B14" s="2"/>
      <c r="C14" s="2"/>
      <c r="D14" s="2"/>
      <c r="E14" s="2">
        <v>1000</v>
      </c>
      <c r="F14" s="4">
        <v>76.819999999999993</v>
      </c>
      <c r="G14" s="4">
        <v>13.74</v>
      </c>
      <c r="H14" s="4">
        <v>1.01</v>
      </c>
      <c r="I14" s="4">
        <v>1.6E-2</v>
      </c>
      <c r="J14" s="4">
        <v>0.09</v>
      </c>
      <c r="K14" s="4">
        <v>3.37</v>
      </c>
      <c r="L14" s="4">
        <v>3.91</v>
      </c>
      <c r="M14" s="4">
        <v>0.92</v>
      </c>
      <c r="N14" s="4">
        <v>2.7E-2</v>
      </c>
      <c r="O14" s="4" t="s">
        <v>94</v>
      </c>
      <c r="P14" s="4">
        <v>0.89</v>
      </c>
      <c r="Q14" s="4">
        <v>100.8</v>
      </c>
      <c r="R14" s="4" t="s">
        <v>68</v>
      </c>
      <c r="S14" s="4">
        <v>1</v>
      </c>
      <c r="T14" s="4">
        <v>7</v>
      </c>
      <c r="U14" s="4" t="s">
        <v>69</v>
      </c>
      <c r="V14" s="4">
        <v>3</v>
      </c>
      <c r="W14" s="4" t="s">
        <v>69</v>
      </c>
      <c r="X14" s="4">
        <v>60</v>
      </c>
      <c r="Y14" s="4" t="s">
        <v>70</v>
      </c>
      <c r="Z14" s="4">
        <v>11</v>
      </c>
      <c r="AA14" s="4" t="s">
        <v>68</v>
      </c>
      <c r="AB14" s="4" t="s">
        <v>71</v>
      </c>
      <c r="AC14" s="4">
        <v>25</v>
      </c>
      <c r="AD14" s="4">
        <v>431</v>
      </c>
      <c r="AE14" s="4">
        <v>2</v>
      </c>
      <c r="AF14" s="4">
        <v>59</v>
      </c>
      <c r="AG14" s="4" t="s">
        <v>68</v>
      </c>
      <c r="AH14" s="4" t="s">
        <v>72</v>
      </c>
      <c r="AI14" s="4" t="s">
        <v>74</v>
      </c>
      <c r="AJ14" s="4" t="s">
        <v>73</v>
      </c>
      <c r="AK14" s="4" t="s">
        <v>68</v>
      </c>
      <c r="AL14" s="4" t="s">
        <v>74</v>
      </c>
      <c r="AM14" s="4" t="s">
        <v>74</v>
      </c>
      <c r="AN14" s="4">
        <v>113</v>
      </c>
      <c r="AO14" s="4" t="s">
        <v>75</v>
      </c>
      <c r="AP14" s="4">
        <v>2.5</v>
      </c>
      <c r="AQ14" s="4">
        <v>4.0999999999999996</v>
      </c>
      <c r="AR14" s="4">
        <v>0.4</v>
      </c>
      <c r="AS14" s="4">
        <v>1.4</v>
      </c>
      <c r="AT14" s="4">
        <v>0.2</v>
      </c>
      <c r="AU14" s="4">
        <v>0.37</v>
      </c>
      <c r="AV14" s="4">
        <v>0.2</v>
      </c>
      <c r="AW14" s="4">
        <v>0</v>
      </c>
      <c r="AX14" s="4">
        <v>0.2</v>
      </c>
      <c r="AY14" s="4">
        <v>0</v>
      </c>
      <c r="AZ14" s="4">
        <v>0.1</v>
      </c>
      <c r="BA14" s="4">
        <v>0</v>
      </c>
      <c r="BB14" s="4">
        <v>0.3</v>
      </c>
      <c r="BC14" s="4">
        <v>0.05</v>
      </c>
      <c r="BD14" s="4">
        <v>2</v>
      </c>
      <c r="BE14" s="4" t="s">
        <v>79</v>
      </c>
      <c r="BF14" s="4" t="s">
        <v>68</v>
      </c>
      <c r="BG14" s="4">
        <v>0.1</v>
      </c>
      <c r="BH14" s="4">
        <v>6</v>
      </c>
      <c r="BI14" s="4">
        <v>0.7</v>
      </c>
      <c r="BJ14" s="4">
        <v>0.3</v>
      </c>
      <c r="BK14">
        <f t="shared" si="1"/>
        <v>65.087636191378493</v>
      </c>
    </row>
    <row r="15" spans="1:63" x14ac:dyDescent="0.2">
      <c r="A15" s="2" t="s">
        <v>455</v>
      </c>
      <c r="B15" s="2"/>
      <c r="C15" s="2"/>
      <c r="D15" s="2"/>
      <c r="E15" s="2">
        <v>100</v>
      </c>
      <c r="F15" s="4">
        <v>69.12</v>
      </c>
      <c r="G15" s="4">
        <v>15.87</v>
      </c>
      <c r="H15" s="4">
        <v>2.4500000000000002</v>
      </c>
      <c r="I15" s="4">
        <v>6.2E-2</v>
      </c>
      <c r="J15" s="4">
        <v>1.1100000000000001</v>
      </c>
      <c r="K15" s="4">
        <v>2.27</v>
      </c>
      <c r="L15" s="4">
        <v>4.8</v>
      </c>
      <c r="M15" s="4">
        <v>3.17</v>
      </c>
      <c r="N15" s="4">
        <v>0.25700000000000001</v>
      </c>
      <c r="O15" s="4">
        <v>0.06</v>
      </c>
      <c r="P15" s="4">
        <v>0.37</v>
      </c>
      <c r="Q15" s="4">
        <v>99.53</v>
      </c>
      <c r="R15" s="4">
        <v>4</v>
      </c>
      <c r="S15" s="4">
        <v>2</v>
      </c>
      <c r="T15" s="4">
        <v>25</v>
      </c>
      <c r="U15" s="4">
        <v>190</v>
      </c>
      <c r="V15" s="4">
        <v>4</v>
      </c>
      <c r="W15" s="4">
        <v>40</v>
      </c>
      <c r="X15" s="4">
        <v>30</v>
      </c>
      <c r="Y15" s="4">
        <v>50</v>
      </c>
      <c r="Z15" s="4">
        <v>16</v>
      </c>
      <c r="AA15" s="4">
        <v>1</v>
      </c>
      <c r="AB15" s="4" t="s">
        <v>71</v>
      </c>
      <c r="AC15" s="4">
        <v>95</v>
      </c>
      <c r="AD15" s="4">
        <v>452</v>
      </c>
      <c r="AE15" s="4">
        <v>14</v>
      </c>
      <c r="AF15" s="4">
        <v>157</v>
      </c>
      <c r="AG15" s="4">
        <v>4</v>
      </c>
      <c r="AH15" s="4">
        <v>4</v>
      </c>
      <c r="AI15" s="4" t="s">
        <v>74</v>
      </c>
      <c r="AJ15" s="4" t="s">
        <v>73</v>
      </c>
      <c r="AK15" s="4">
        <v>1</v>
      </c>
      <c r="AL15" s="4" t="s">
        <v>74</v>
      </c>
      <c r="AM15" s="4">
        <v>1.8</v>
      </c>
      <c r="AN15" s="4">
        <v>667</v>
      </c>
      <c r="AO15" s="4" t="s">
        <v>75</v>
      </c>
      <c r="AP15" s="4">
        <v>15.6</v>
      </c>
      <c r="AQ15" s="4">
        <v>32.700000000000003</v>
      </c>
      <c r="AR15" s="4">
        <v>3.6</v>
      </c>
      <c r="AS15" s="4">
        <v>13.5</v>
      </c>
      <c r="AT15" s="4">
        <v>2.5</v>
      </c>
      <c r="AU15" s="4">
        <v>0.63</v>
      </c>
      <c r="AV15" s="4">
        <v>2.2999999999999998</v>
      </c>
      <c r="AW15" s="4">
        <v>0.4</v>
      </c>
      <c r="AX15" s="4">
        <v>2.4</v>
      </c>
      <c r="AY15" s="4">
        <v>0.5</v>
      </c>
      <c r="AZ15" s="4">
        <v>1.6</v>
      </c>
      <c r="BA15" s="4">
        <v>0.28000000000000003</v>
      </c>
      <c r="BB15" s="4">
        <v>2</v>
      </c>
      <c r="BC15" s="4">
        <v>0.33</v>
      </c>
      <c r="BD15" s="4">
        <v>4.7</v>
      </c>
      <c r="BE15" s="4">
        <v>0.6</v>
      </c>
      <c r="BF15" s="4" t="s">
        <v>68</v>
      </c>
      <c r="BG15" s="4">
        <v>0.3</v>
      </c>
      <c r="BH15" s="4">
        <v>15</v>
      </c>
      <c r="BI15" s="4">
        <v>5.9</v>
      </c>
      <c r="BJ15" s="4">
        <v>1.6</v>
      </c>
      <c r="BK15">
        <f t="shared" si="1"/>
        <v>65.987525987525984</v>
      </c>
    </row>
    <row r="17" spans="1:56" x14ac:dyDescent="0.2">
      <c r="A17" s="7" t="s">
        <v>500</v>
      </c>
    </row>
    <row r="18" spans="1:56" x14ac:dyDescent="0.2">
      <c r="AE18" s="260" t="s">
        <v>660</v>
      </c>
      <c r="AG18" s="260" t="s">
        <v>661</v>
      </c>
      <c r="AM18" s="260" t="s">
        <v>657</v>
      </c>
      <c r="AP18" t="str">
        <f>AP3</f>
        <v>La</v>
      </c>
      <c r="AQ18" t="str">
        <f t="shared" ref="AQ18:BC18" si="2">AQ3</f>
        <v>Ce</v>
      </c>
      <c r="AR18" t="str">
        <f t="shared" si="2"/>
        <v>Pr</v>
      </c>
      <c r="AS18" t="str">
        <f t="shared" si="2"/>
        <v>Nd</v>
      </c>
      <c r="AT18" t="str">
        <f t="shared" si="2"/>
        <v>Sm</v>
      </c>
      <c r="AU18" t="str">
        <f t="shared" si="2"/>
        <v>Eu</v>
      </c>
      <c r="AV18" t="str">
        <f t="shared" si="2"/>
        <v>Gd</v>
      </c>
      <c r="AW18" t="str">
        <f t="shared" si="2"/>
        <v>Tb</v>
      </c>
      <c r="AX18" t="str">
        <f t="shared" si="2"/>
        <v>Dy</v>
      </c>
      <c r="AY18" t="str">
        <f t="shared" si="2"/>
        <v>Ho</v>
      </c>
      <c r="AZ18" t="str">
        <f t="shared" si="2"/>
        <v>Er</v>
      </c>
      <c r="BA18" t="str">
        <f t="shared" si="2"/>
        <v>Tm</v>
      </c>
      <c r="BB18" t="str">
        <f t="shared" si="2"/>
        <v>Yb</v>
      </c>
      <c r="BC18" t="str">
        <f t="shared" si="2"/>
        <v>Lu</v>
      </c>
    </row>
    <row r="19" spans="1:56" x14ac:dyDescent="0.2">
      <c r="AE19" s="352">
        <v>1.56</v>
      </c>
      <c r="AG19" s="351">
        <v>5.5599999999999997E-2</v>
      </c>
      <c r="AO19" s="11" t="s">
        <v>440</v>
      </c>
      <c r="AP19" s="12">
        <v>0.36699999999999999</v>
      </c>
      <c r="AQ19" s="12">
        <v>0.95699999999999996</v>
      </c>
      <c r="AR19" s="12">
        <v>0.13700000000000001</v>
      </c>
      <c r="AS19" s="12">
        <v>0.71099999999999997</v>
      </c>
      <c r="AT19" s="12">
        <v>0.23100000000000001</v>
      </c>
      <c r="AU19" s="12">
        <v>8.6999999999999994E-2</v>
      </c>
      <c r="AV19" s="12">
        <v>0.30599999999999999</v>
      </c>
      <c r="AW19" s="12">
        <v>5.8000000000000003E-2</v>
      </c>
      <c r="AX19" s="12">
        <v>0.38100000000000001</v>
      </c>
      <c r="AY19" s="12">
        <v>8.5000000000000006E-2</v>
      </c>
      <c r="AZ19" s="12">
        <v>0.249</v>
      </c>
      <c r="BA19" s="12">
        <v>3.5999999999999997E-2</v>
      </c>
      <c r="BB19" s="12">
        <v>0.248</v>
      </c>
      <c r="BC19" s="12">
        <v>3.7999999999999999E-2</v>
      </c>
      <c r="BD19" s="16" t="s">
        <v>441</v>
      </c>
    </row>
    <row r="20" spans="1:56" ht="17" x14ac:dyDescent="0.25">
      <c r="B20" t="s">
        <v>466</v>
      </c>
      <c r="C20" t="s">
        <v>467</v>
      </c>
      <c r="D20" t="s">
        <v>468</v>
      </c>
      <c r="E20" s="260" t="s">
        <v>622</v>
      </c>
      <c r="F20" s="260" t="s">
        <v>623</v>
      </c>
      <c r="G20" s="260" t="s">
        <v>5</v>
      </c>
      <c r="H20" s="293" t="s">
        <v>620</v>
      </c>
      <c r="I20" s="260" t="s">
        <v>7</v>
      </c>
      <c r="J20" s="260" t="s">
        <v>8</v>
      </c>
      <c r="K20" s="260" t="s">
        <v>9</v>
      </c>
      <c r="L20" s="260" t="s">
        <v>10</v>
      </c>
      <c r="M20" s="260" t="s">
        <v>11</v>
      </c>
      <c r="N20" s="293" t="s">
        <v>621</v>
      </c>
      <c r="O20" s="260" t="s">
        <v>624</v>
      </c>
      <c r="AE20" s="14">
        <f t="shared" ref="AE20:AE26" si="3">AE7/AE$19</f>
        <v>26.923076923076923</v>
      </c>
      <c r="AG20">
        <f>AY7/AG$19</f>
        <v>34.172661870503596</v>
      </c>
      <c r="AM20">
        <f>AE20/AG20</f>
        <v>0.78785425101214579</v>
      </c>
      <c r="AO20" s="13">
        <f t="shared" ref="AO20:AO26" si="4">E7</f>
        <v>4.5</v>
      </c>
      <c r="AP20" s="14">
        <f>AP7/AP$19</f>
        <v>149.59128065395095</v>
      </c>
      <c r="AQ20" s="14">
        <f t="shared" ref="AQ20:BC20" si="5">AQ7/AQ$19</f>
        <v>179.72831765935214</v>
      </c>
      <c r="AR20" s="14">
        <f t="shared" si="5"/>
        <v>108.75912408759123</v>
      </c>
      <c r="AS20" s="14">
        <f t="shared" si="5"/>
        <v>79.74683544303798</v>
      </c>
      <c r="AT20" s="14">
        <f t="shared" si="5"/>
        <v>49.78354978354978</v>
      </c>
      <c r="AU20" s="14">
        <f t="shared" si="5"/>
        <v>34.942528735632187</v>
      </c>
      <c r="AV20" s="14">
        <f t="shared" si="5"/>
        <v>32.352941176470587</v>
      </c>
      <c r="AW20" s="14">
        <f t="shared" si="5"/>
        <v>27.586206896551726</v>
      </c>
      <c r="AX20" s="14">
        <f t="shared" si="5"/>
        <v>24.934383202099738</v>
      </c>
      <c r="AY20" s="14">
        <f t="shared" si="5"/>
        <v>22.352941176470587</v>
      </c>
      <c r="AZ20" s="14">
        <f t="shared" si="5"/>
        <v>21.285140562248994</v>
      </c>
      <c r="BA20" s="14">
        <f t="shared" si="5"/>
        <v>22.222222222222225</v>
      </c>
      <c r="BB20" s="14">
        <f t="shared" si="5"/>
        <v>22.177419354838708</v>
      </c>
      <c r="BC20" s="14">
        <f t="shared" si="5"/>
        <v>22.105263157894736</v>
      </c>
      <c r="BD20" s="17">
        <f t="shared" ref="BD20:BD26" si="6">SUM(AP7:BC7)</f>
        <v>348.38</v>
      </c>
    </row>
    <row r="21" spans="1:56" x14ac:dyDescent="0.2">
      <c r="A21" t="str">
        <f t="shared" ref="A21:A29" si="7">A7</f>
        <v xml:space="preserve">R7P1EA01 </v>
      </c>
      <c r="B21" s="25">
        <f t="shared" ref="B21:B24" si="8">100*G7/(G7+K7+L7)</f>
        <v>96.315250767656096</v>
      </c>
      <c r="C21" s="25">
        <f t="shared" ref="C21:C24" si="9">100*G7/(G7+K7+M7+L7)</f>
        <v>84.927797833935017</v>
      </c>
      <c r="D21" s="25">
        <f t="shared" ref="D21:D24" si="10">100*((2*L7/0.35)+(J7/0.9)+(2*M7/0.25)+(K7/0.7))</f>
        <v>1200.8571428571429</v>
      </c>
      <c r="E21" s="257">
        <f>((F7/F$13)*($N$13/$N7))-1</f>
        <v>0.31922340677732208</v>
      </c>
      <c r="F21" s="257">
        <f t="shared" ref="F21:O21" si="11">((G7/G$13)*($N$13/$N7))-1</f>
        <v>-0.48619409942024083</v>
      </c>
      <c r="G21" s="257">
        <f t="shared" si="11"/>
        <v>-0.58422681610276017</v>
      </c>
      <c r="H21" s="257">
        <f t="shared" si="11"/>
        <v>7.4499021026645114</v>
      </c>
      <c r="I21" s="257">
        <f t="shared" si="11"/>
        <v>-0.16416032215440757</v>
      </c>
      <c r="J21" s="257">
        <f t="shared" si="11"/>
        <v>5.0520984081041975</v>
      </c>
      <c r="K21" s="257">
        <f t="shared" si="11"/>
        <v>1.0292329956584663</v>
      </c>
      <c r="L21" s="257">
        <f t="shared" si="11"/>
        <v>1.3713605926071284</v>
      </c>
      <c r="M21" s="257">
        <f t="shared" si="11"/>
        <v>0</v>
      </c>
      <c r="N21" s="257">
        <f t="shared" si="11"/>
        <v>1.1360347322720696</v>
      </c>
      <c r="O21" s="257">
        <f t="shared" si="11"/>
        <v>-7.7022029265155112E-2</v>
      </c>
      <c r="AE21" s="14">
        <f t="shared" si="3"/>
        <v>34.615384615384613</v>
      </c>
      <c r="AG21">
        <f t="shared" ref="AG21:AG26" si="12">AY8/AG$19</f>
        <v>41.366906474820141</v>
      </c>
      <c r="AM21">
        <f t="shared" ref="AM21:AM26" si="13">AE21/AG21</f>
        <v>0.8367892976588629</v>
      </c>
      <c r="AO21" s="13">
        <f t="shared" si="4"/>
        <v>15</v>
      </c>
      <c r="AP21" s="14">
        <f t="shared" ref="AP21:BC21" si="14">AP8/AP$19</f>
        <v>177.3841961852861</v>
      </c>
      <c r="AQ21" s="14">
        <f t="shared" si="14"/>
        <v>207.94148380355279</v>
      </c>
      <c r="AR21" s="14">
        <f t="shared" si="14"/>
        <v>130.65693430656933</v>
      </c>
      <c r="AS21" s="14">
        <f t="shared" si="14"/>
        <v>96.483825597749643</v>
      </c>
      <c r="AT21" s="14">
        <f t="shared" si="14"/>
        <v>60.17316017316017</v>
      </c>
      <c r="AU21" s="14">
        <f t="shared" si="14"/>
        <v>44.252873563218394</v>
      </c>
      <c r="AV21" s="14">
        <f t="shared" si="14"/>
        <v>39.542483660130721</v>
      </c>
      <c r="AW21" s="14">
        <f t="shared" si="14"/>
        <v>32.758620689655167</v>
      </c>
      <c r="AX21" s="14">
        <f t="shared" si="14"/>
        <v>30.183727034120736</v>
      </c>
      <c r="AY21" s="14">
        <f t="shared" si="14"/>
        <v>27.058823529411761</v>
      </c>
      <c r="AZ21" s="14">
        <f t="shared" si="14"/>
        <v>26.907630522088354</v>
      </c>
      <c r="BA21" s="14">
        <f t="shared" si="14"/>
        <v>26.944444444444446</v>
      </c>
      <c r="BB21" s="14">
        <f t="shared" si="14"/>
        <v>26.612903225806452</v>
      </c>
      <c r="BC21" s="14">
        <f t="shared" si="14"/>
        <v>27.10526315789474</v>
      </c>
      <c r="BD21" s="17">
        <f t="shared" si="6"/>
        <v>411.45000000000005</v>
      </c>
    </row>
    <row r="22" spans="1:56" x14ac:dyDescent="0.2">
      <c r="A22" t="str">
        <f t="shared" si="7"/>
        <v xml:space="preserve">R7P1EA02 </v>
      </c>
      <c r="B22" s="25">
        <f t="shared" si="8"/>
        <v>98.108108108108098</v>
      </c>
      <c r="C22" s="25">
        <f t="shared" si="9"/>
        <v>87.259615384615387</v>
      </c>
      <c r="D22" s="25">
        <f t="shared" si="10"/>
        <v>1212.8888888888887</v>
      </c>
      <c r="E22" s="257">
        <f t="shared" ref="E22:O27" si="15">((F8/F$13)*($N$13/$N8))-1</f>
        <v>0.22187655279758589</v>
      </c>
      <c r="F22" s="257">
        <f t="shared" si="15"/>
        <v>-0.4469981586834999</v>
      </c>
      <c r="G22" s="257">
        <f t="shared" si="15"/>
        <v>-0.5323653368175969</v>
      </c>
      <c r="H22" s="257">
        <f t="shared" si="15"/>
        <v>7.8225793682210423</v>
      </c>
      <c r="I22" s="257">
        <f t="shared" si="15"/>
        <v>-0.26584352507460929</v>
      </c>
      <c r="J22" s="257">
        <f t="shared" si="15"/>
        <v>1.3176312247644684</v>
      </c>
      <c r="K22" s="257">
        <f t="shared" si="15"/>
        <v>0.39057873485868111</v>
      </c>
      <c r="L22" s="257">
        <f t="shared" si="15"/>
        <v>1.323242922645254</v>
      </c>
      <c r="M22" s="257">
        <f t="shared" si="15"/>
        <v>0</v>
      </c>
      <c r="N22" s="257">
        <f t="shared" si="15"/>
        <v>0.65545087483176312</v>
      </c>
      <c r="O22" s="257">
        <f t="shared" si="15"/>
        <v>-0.32109792405889315</v>
      </c>
      <c r="AE22" s="14">
        <f t="shared" si="3"/>
        <v>19.23076923076923</v>
      </c>
      <c r="AG22">
        <f t="shared" si="12"/>
        <v>25.179856115107913</v>
      </c>
      <c r="AM22">
        <f t="shared" si="13"/>
        <v>0.76373626373626369</v>
      </c>
      <c r="AO22" s="13">
        <f t="shared" si="4"/>
        <v>32.5</v>
      </c>
      <c r="AP22" s="14">
        <f t="shared" ref="AP22:BC22" si="16">AP9/AP$19</f>
        <v>110.0817438692098</v>
      </c>
      <c r="AQ22" s="14">
        <f t="shared" si="16"/>
        <v>197.49216300940441</v>
      </c>
      <c r="AR22" s="14">
        <f t="shared" si="16"/>
        <v>81.021897810218974</v>
      </c>
      <c r="AS22" s="14">
        <f t="shared" si="16"/>
        <v>59.071729957805907</v>
      </c>
      <c r="AT22" s="14">
        <f t="shared" si="16"/>
        <v>38.095238095238095</v>
      </c>
      <c r="AU22" s="14">
        <f t="shared" si="16"/>
        <v>26.206896551724139</v>
      </c>
      <c r="AV22" s="14">
        <f t="shared" si="16"/>
        <v>23.529411764705884</v>
      </c>
      <c r="AW22" s="14">
        <f t="shared" si="16"/>
        <v>18.96551724137931</v>
      </c>
      <c r="AX22" s="14">
        <f t="shared" si="16"/>
        <v>17.585301837270343</v>
      </c>
      <c r="AY22" s="14">
        <f t="shared" si="16"/>
        <v>16.470588235294116</v>
      </c>
      <c r="AZ22" s="14">
        <f t="shared" si="16"/>
        <v>15.662650602409638</v>
      </c>
      <c r="BA22" s="14">
        <f t="shared" si="16"/>
        <v>16.666666666666668</v>
      </c>
      <c r="BB22" s="14">
        <f t="shared" si="16"/>
        <v>16.935483870967744</v>
      </c>
      <c r="BC22" s="14">
        <f t="shared" si="16"/>
        <v>17.894736842105264</v>
      </c>
      <c r="BD22" s="17">
        <f t="shared" si="6"/>
        <v>319.35999999999996</v>
      </c>
    </row>
    <row r="23" spans="1:56" x14ac:dyDescent="0.2">
      <c r="A23" t="str">
        <f t="shared" si="7"/>
        <v xml:space="preserve">R7P1EA03 </v>
      </c>
      <c r="B23" s="25">
        <f t="shared" si="8"/>
        <v>98.690242305173541</v>
      </c>
      <c r="C23" s="25">
        <f t="shared" si="9"/>
        <v>90.837854128993371</v>
      </c>
      <c r="D23" s="25">
        <f t="shared" si="10"/>
        <v>1164.7301587301588</v>
      </c>
      <c r="E23" s="257">
        <f t="shared" si="15"/>
        <v>7.2564464497264947E-2</v>
      </c>
      <c r="F23" s="257">
        <f t="shared" si="15"/>
        <v>-0.26727831889191067</v>
      </c>
      <c r="G23" s="257">
        <f t="shared" si="15"/>
        <v>-0.42729889382195807</v>
      </c>
      <c r="H23" s="257">
        <f t="shared" si="15"/>
        <v>4.286613098847786</v>
      </c>
      <c r="I23" s="257">
        <f t="shared" si="15"/>
        <v>-9.0318242940385596E-2</v>
      </c>
      <c r="J23" s="257">
        <f t="shared" si="15"/>
        <v>1.2190721649484537</v>
      </c>
      <c r="K23" s="257">
        <f t="shared" si="15"/>
        <v>0.23634020618556706</v>
      </c>
      <c r="L23" s="257">
        <f t="shared" si="15"/>
        <v>1.1277302114275729</v>
      </c>
      <c r="M23" s="257">
        <f t="shared" si="15"/>
        <v>0</v>
      </c>
      <c r="N23" s="257">
        <f t="shared" si="15"/>
        <v>0.5850515463917525</v>
      </c>
      <c r="O23" s="257">
        <f t="shared" si="15"/>
        <v>-0.22722066021035103</v>
      </c>
      <c r="AE23" s="14">
        <f t="shared" si="3"/>
        <v>8.9743589743589745</v>
      </c>
      <c r="AG23">
        <f t="shared" si="12"/>
        <v>10.791366906474821</v>
      </c>
      <c r="AM23">
        <f t="shared" si="13"/>
        <v>0.83162393162393156</v>
      </c>
      <c r="AO23" s="13">
        <f t="shared" si="4"/>
        <v>60</v>
      </c>
      <c r="AP23" s="14">
        <f t="shared" ref="AP23:BC23" si="17">AP10/AP$19</f>
        <v>49.591280653950953</v>
      </c>
      <c r="AQ23" s="14">
        <f t="shared" si="17"/>
        <v>165.09926854754443</v>
      </c>
      <c r="AR23" s="14">
        <f t="shared" si="17"/>
        <v>32.846715328467148</v>
      </c>
      <c r="AS23" s="14">
        <f t="shared" si="17"/>
        <v>23.769338959212376</v>
      </c>
      <c r="AT23" s="14">
        <f t="shared" si="17"/>
        <v>14.718614718614717</v>
      </c>
      <c r="AU23" s="14">
        <f t="shared" si="17"/>
        <v>9.3103448275862082</v>
      </c>
      <c r="AV23" s="14">
        <f t="shared" si="17"/>
        <v>8.4967320261437909</v>
      </c>
      <c r="AW23" s="14">
        <f t="shared" si="17"/>
        <v>8.6206896551724128</v>
      </c>
      <c r="AX23" s="14">
        <f t="shared" si="17"/>
        <v>7.6115485564304457</v>
      </c>
      <c r="AY23" s="14">
        <f t="shared" si="17"/>
        <v>7.0588235294117636</v>
      </c>
      <c r="AZ23" s="14">
        <f t="shared" si="17"/>
        <v>7.2289156626506026</v>
      </c>
      <c r="BA23" s="14">
        <f t="shared" si="17"/>
        <v>7.7777777777777795</v>
      </c>
      <c r="BB23" s="14">
        <f t="shared" si="17"/>
        <v>8.064516129032258</v>
      </c>
      <c r="BC23" s="14">
        <f t="shared" si="17"/>
        <v>8.4210526315789469</v>
      </c>
      <c r="BD23" s="17">
        <f t="shared" si="6"/>
        <v>212.81</v>
      </c>
    </row>
    <row r="24" spans="1:56" x14ac:dyDescent="0.2">
      <c r="A24" t="str">
        <f t="shared" si="7"/>
        <v xml:space="preserve">R7P1EA04 </v>
      </c>
      <c r="B24" s="25">
        <f t="shared" si="8"/>
        <v>99.115964638585552</v>
      </c>
      <c r="C24" s="25">
        <f t="shared" si="9"/>
        <v>93.523061825318948</v>
      </c>
      <c r="D24" s="25">
        <f t="shared" si="10"/>
        <v>1010.6349206349206</v>
      </c>
      <c r="E24" s="257">
        <f t="shared" si="15"/>
        <v>-3.150755510590264E-2</v>
      </c>
      <c r="F24" s="257">
        <f t="shared" si="15"/>
        <v>-8.1564534706062175E-2</v>
      </c>
      <c r="G24" s="257">
        <f t="shared" si="15"/>
        <v>-0.25469138909863809</v>
      </c>
      <c r="H24" s="257">
        <f t="shared" si="15"/>
        <v>2.9641649763353608</v>
      </c>
      <c r="I24" s="257">
        <f t="shared" si="15"/>
        <v>2.4487756121938986E-2</v>
      </c>
      <c r="J24" s="257">
        <f t="shared" si="15"/>
        <v>1.5134099616858241</v>
      </c>
      <c r="K24" s="257">
        <f t="shared" si="15"/>
        <v>-0.15172413793103456</v>
      </c>
      <c r="L24" s="257">
        <f t="shared" si="15"/>
        <v>0.83713228131696837</v>
      </c>
      <c r="M24" s="257">
        <f t="shared" si="15"/>
        <v>0</v>
      </c>
      <c r="N24" s="257">
        <f t="shared" si="15"/>
        <v>0.57088122605363978</v>
      </c>
      <c r="O24" s="257">
        <f t="shared" si="15"/>
        <v>-6.1702594269644195E-2</v>
      </c>
      <c r="AE24" s="14">
        <f t="shared" si="3"/>
        <v>3.8461538461538458</v>
      </c>
      <c r="AG24">
        <f t="shared" si="12"/>
        <v>5.3956834532374103</v>
      </c>
      <c r="AM24">
        <f t="shared" si="13"/>
        <v>0.71282051282051273</v>
      </c>
      <c r="AO24" s="13">
        <f t="shared" si="4"/>
        <v>89</v>
      </c>
      <c r="AP24" s="14">
        <f t="shared" ref="AP24:BC24" si="18">AP11/AP$19</f>
        <v>22.6158038147139</v>
      </c>
      <c r="AQ24" s="14">
        <f t="shared" si="18"/>
        <v>39.28944618599791</v>
      </c>
      <c r="AR24" s="14">
        <f t="shared" si="18"/>
        <v>14.087591240875911</v>
      </c>
      <c r="AS24" s="14">
        <f t="shared" si="18"/>
        <v>10.126582278481013</v>
      </c>
      <c r="AT24" s="14">
        <f t="shared" si="18"/>
        <v>6.0606060606060597</v>
      </c>
      <c r="AU24" s="14">
        <f t="shared" si="18"/>
        <v>4.0229885057471266</v>
      </c>
      <c r="AV24" s="14">
        <f t="shared" si="18"/>
        <v>3.2679738562091503</v>
      </c>
      <c r="AW24" s="14">
        <f t="shared" si="18"/>
        <v>3.4482758620689657</v>
      </c>
      <c r="AX24" s="14">
        <f t="shared" si="18"/>
        <v>3.4120734908136483</v>
      </c>
      <c r="AY24" s="14">
        <f t="shared" si="18"/>
        <v>3.5294117647058818</v>
      </c>
      <c r="AZ24" s="14">
        <f t="shared" si="18"/>
        <v>3.6144578313253013</v>
      </c>
      <c r="BA24" s="14">
        <f t="shared" si="18"/>
        <v>3.8888888888888897</v>
      </c>
      <c r="BB24" s="14">
        <f t="shared" si="18"/>
        <v>4.435483870967742</v>
      </c>
      <c r="BC24" s="14">
        <f t="shared" si="18"/>
        <v>5.2631578947368425</v>
      </c>
      <c r="BD24" s="17">
        <f t="shared" si="6"/>
        <v>61.920000000000009</v>
      </c>
    </row>
    <row r="25" spans="1:56" x14ac:dyDescent="0.2">
      <c r="A25" t="str">
        <f t="shared" si="7"/>
        <v xml:space="preserve">R7P1EA05 </v>
      </c>
      <c r="B25" s="25">
        <f t="shared" ref="B25:B29" si="19">100*G11/(G11+K11+L11)</f>
        <v>99.258474576271183</v>
      </c>
      <c r="C25" s="25">
        <f t="shared" ref="C25:C29" si="20">100*G11/(G11+K11+M11+L11)</f>
        <v>94.886075949367083</v>
      </c>
      <c r="D25" s="25">
        <f t="shared" ref="D25:D29" si="21">100*((2*L11/0.35)+(J11/0.9)+(2*M11/0.25)+(K11/0.7))</f>
        <v>786.6349206349206</v>
      </c>
      <c r="E25" s="257">
        <f t="shared" si="15"/>
        <v>2.4370921564659476E-2</v>
      </c>
      <c r="F25" s="257">
        <f t="shared" si="15"/>
        <v>-4.0622320633308617E-2</v>
      </c>
      <c r="G25" s="257">
        <f t="shared" si="15"/>
        <v>-0.11437173786013533</v>
      </c>
      <c r="H25" s="257">
        <f t="shared" si="15"/>
        <v>0.38422858967196127</v>
      </c>
      <c r="I25" s="257">
        <f t="shared" si="15"/>
        <v>8.8431360981653162E-2</v>
      </c>
      <c r="J25" s="257">
        <f t="shared" si="15"/>
        <v>0.33514246947082804</v>
      </c>
      <c r="K25" s="257">
        <f t="shared" si="15"/>
        <v>1.3568521031208647E-3</v>
      </c>
      <c r="L25" s="257">
        <f t="shared" si="15"/>
        <v>0.47657705310121212</v>
      </c>
      <c r="M25" s="257">
        <f t="shared" si="15"/>
        <v>0</v>
      </c>
      <c r="N25" s="257">
        <f t="shared" si="15"/>
        <v>1.3568521031208647E-3</v>
      </c>
      <c r="O25" s="257">
        <f t="shared" si="15"/>
        <v>-2.5615723037703875E-2</v>
      </c>
      <c r="AE25" s="14">
        <f t="shared" si="3"/>
        <v>1.9230769230769229</v>
      </c>
      <c r="AG25">
        <f t="shared" si="12"/>
        <v>3.5971223021582737</v>
      </c>
      <c r="AM25">
        <f t="shared" si="13"/>
        <v>0.53461538461538449</v>
      </c>
      <c r="AO25" s="13">
        <f t="shared" si="4"/>
        <v>125.5</v>
      </c>
      <c r="AP25" s="14">
        <f t="shared" ref="AP25:BC25" si="22">AP12/AP$19</f>
        <v>13.896457765667574</v>
      </c>
      <c r="AQ25" s="14">
        <f t="shared" si="22"/>
        <v>25.287356321839081</v>
      </c>
      <c r="AR25" s="14">
        <f t="shared" si="22"/>
        <v>9.0510948905109476</v>
      </c>
      <c r="AS25" s="14">
        <f t="shared" si="22"/>
        <v>6.1884669479606194</v>
      </c>
      <c r="AT25" s="14">
        <f t="shared" si="22"/>
        <v>3.8961038961038961</v>
      </c>
      <c r="AU25" s="14">
        <f t="shared" si="22"/>
        <v>2.4137931034482758</v>
      </c>
      <c r="AV25" s="14">
        <f t="shared" si="22"/>
        <v>2.2875816993464051</v>
      </c>
      <c r="AW25" s="14">
        <f t="shared" si="22"/>
        <v>1.7241379310344829</v>
      </c>
      <c r="AX25" s="14">
        <f t="shared" si="22"/>
        <v>2.3622047244094491</v>
      </c>
      <c r="AY25" s="14">
        <f t="shared" si="22"/>
        <v>2.3529411764705883</v>
      </c>
      <c r="AZ25" s="14">
        <f t="shared" si="22"/>
        <v>2.4096385542168672</v>
      </c>
      <c r="BA25" s="14">
        <f t="shared" si="22"/>
        <v>2.7777777777777781</v>
      </c>
      <c r="BB25" s="14">
        <f t="shared" si="22"/>
        <v>3.2258064516129035</v>
      </c>
      <c r="BC25" s="14">
        <f t="shared" si="22"/>
        <v>3.6842105263157898</v>
      </c>
      <c r="BD25" s="17">
        <f t="shared" si="6"/>
        <v>39.590000000000003</v>
      </c>
    </row>
    <row r="26" spans="1:56" x14ac:dyDescent="0.2">
      <c r="A26" t="str">
        <f t="shared" si="7"/>
        <v xml:space="preserve">R7P1EA06 </v>
      </c>
      <c r="B26" s="25">
        <f t="shared" si="19"/>
        <v>99.434318038969195</v>
      </c>
      <c r="C26" s="25">
        <f t="shared" si="20"/>
        <v>96.463414634146346</v>
      </c>
      <c r="D26" s="25">
        <f t="shared" si="21"/>
        <v>451.68253968253964</v>
      </c>
      <c r="E26" s="257">
        <f t="shared" si="15"/>
        <v>0.16219227954955118</v>
      </c>
      <c r="F26" s="257">
        <f t="shared" si="15"/>
        <v>-0.12862836415744927</v>
      </c>
      <c r="G26" s="257">
        <f t="shared" si="15"/>
        <v>-5.20006393521244E-3</v>
      </c>
      <c r="H26" s="257">
        <f t="shared" si="15"/>
        <v>0.2358093602404463</v>
      </c>
      <c r="I26" s="257">
        <f t="shared" si="15"/>
        <v>-0.10999682640431618</v>
      </c>
      <c r="J26" s="257">
        <f t="shared" si="15"/>
        <v>7.7372262773722555E-2</v>
      </c>
      <c r="K26" s="257">
        <f t="shared" si="15"/>
        <v>-0.35357664233576647</v>
      </c>
      <c r="L26" s="257">
        <f t="shared" si="15"/>
        <v>-0.10523320549301007</v>
      </c>
      <c r="M26" s="257">
        <f t="shared" si="15"/>
        <v>0</v>
      </c>
      <c r="N26" s="257">
        <f t="shared" si="15"/>
        <v>7.7372262773722555E-2</v>
      </c>
      <c r="O26" s="257">
        <f t="shared" si="15"/>
        <v>-8.8284302882843058E-2</v>
      </c>
      <c r="AE26" s="14">
        <f t="shared" si="3"/>
        <v>3.2051282051282048</v>
      </c>
      <c r="AG26">
        <f t="shared" si="12"/>
        <v>3.5971223021582737</v>
      </c>
      <c r="AM26">
        <f t="shared" si="13"/>
        <v>0.89102564102564086</v>
      </c>
      <c r="AO26" s="13">
        <f t="shared" si="4"/>
        <v>152</v>
      </c>
      <c r="AP26" s="14">
        <f t="shared" ref="AP26:BC26" si="23">AP13/AP$19</f>
        <v>16.348773841961854</v>
      </c>
      <c r="AQ26" s="14">
        <f t="shared" si="23"/>
        <v>28.317659352142112</v>
      </c>
      <c r="AR26" s="14">
        <f t="shared" si="23"/>
        <v>10.510948905109489</v>
      </c>
      <c r="AS26" s="14">
        <f t="shared" si="23"/>
        <v>7.313642756680732</v>
      </c>
      <c r="AT26" s="14">
        <f t="shared" si="23"/>
        <v>3.8961038961038961</v>
      </c>
      <c r="AU26" s="14">
        <f t="shared" si="23"/>
        <v>2.8735632183908049</v>
      </c>
      <c r="AV26" s="14">
        <f t="shared" si="23"/>
        <v>2.6143790849673203</v>
      </c>
      <c r="AW26" s="14">
        <f t="shared" si="23"/>
        <v>1.7241379310344829</v>
      </c>
      <c r="AX26" s="14">
        <f t="shared" si="23"/>
        <v>2.6246719160104988</v>
      </c>
      <c r="AY26" s="14">
        <f t="shared" si="23"/>
        <v>2.3529411764705883</v>
      </c>
      <c r="AZ26" s="14">
        <f t="shared" si="23"/>
        <v>2.8112449799196786</v>
      </c>
      <c r="BA26" s="14">
        <f t="shared" si="23"/>
        <v>3.0555555555555558</v>
      </c>
      <c r="BB26" s="14">
        <f t="shared" si="23"/>
        <v>3.2258064516129035</v>
      </c>
      <c r="BC26" s="14">
        <f t="shared" si="23"/>
        <v>3.4210526315789478</v>
      </c>
      <c r="BD26" s="17">
        <f t="shared" si="6"/>
        <v>44.730000000000004</v>
      </c>
    </row>
    <row r="27" spans="1:56" x14ac:dyDescent="0.2">
      <c r="A27" t="str">
        <f t="shared" si="7"/>
        <v xml:space="preserve">R7P1EA07 </v>
      </c>
      <c r="B27" s="25">
        <f t="shared" si="19"/>
        <v>99.339766378872511</v>
      </c>
      <c r="C27" s="25">
        <f t="shared" si="20"/>
        <v>96.449704142011811</v>
      </c>
      <c r="D27" s="25">
        <f t="shared" si="21"/>
        <v>558.98412698412687</v>
      </c>
      <c r="E27" s="257">
        <f t="shared" si="15"/>
        <v>0</v>
      </c>
      <c r="F27" s="257">
        <f t="shared" si="15"/>
        <v>0</v>
      </c>
      <c r="G27" s="257">
        <f t="shared" si="15"/>
        <v>0</v>
      </c>
      <c r="H27" s="257">
        <f t="shared" si="15"/>
        <v>0</v>
      </c>
      <c r="I27" s="257">
        <f t="shared" si="15"/>
        <v>0</v>
      </c>
      <c r="J27" s="257">
        <f t="shared" si="15"/>
        <v>0</v>
      </c>
      <c r="K27" s="257">
        <f t="shared" si="15"/>
        <v>0</v>
      </c>
      <c r="L27" s="257">
        <f t="shared" si="15"/>
        <v>0</v>
      </c>
      <c r="M27" s="257">
        <f t="shared" si="15"/>
        <v>0</v>
      </c>
      <c r="N27" s="257">
        <f t="shared" si="15"/>
        <v>0</v>
      </c>
      <c r="O27" s="257">
        <f t="shared" si="15"/>
        <v>0</v>
      </c>
      <c r="AE27" s="14"/>
    </row>
    <row r="28" spans="1:56" x14ac:dyDescent="0.2">
      <c r="A28" t="str">
        <f t="shared" si="7"/>
        <v xml:space="preserve">CZO-GNEISS </v>
      </c>
      <c r="B28" s="25">
        <f t="shared" si="19"/>
        <v>65.366317792578499</v>
      </c>
      <c r="C28" s="25">
        <f t="shared" si="20"/>
        <v>62.625341841385591</v>
      </c>
      <c r="D28" s="25">
        <f t="shared" si="21"/>
        <v>3461.7142857142858</v>
      </c>
      <c r="AE28" s="14"/>
    </row>
    <row r="29" spans="1:56" x14ac:dyDescent="0.2">
      <c r="A29" t="str">
        <f t="shared" si="7"/>
        <v xml:space="preserve">_MLG </v>
      </c>
      <c r="B29" s="25">
        <f t="shared" si="19"/>
        <v>69.180470793374013</v>
      </c>
      <c r="C29" s="25">
        <f t="shared" si="20"/>
        <v>60.781309842972036</v>
      </c>
      <c r="D29" s="25">
        <f t="shared" si="21"/>
        <v>5726.4761904761908</v>
      </c>
      <c r="AE29" s="14"/>
    </row>
    <row r="30" spans="1:56" x14ac:dyDescent="0.2">
      <c r="AE30" s="14"/>
    </row>
    <row r="31" spans="1:56" x14ac:dyDescent="0.2">
      <c r="AE31" s="14"/>
    </row>
    <row r="32" spans="1:56" x14ac:dyDescent="0.2">
      <c r="AE32" s="14"/>
    </row>
    <row r="33" spans="31:31" x14ac:dyDescent="0.2">
      <c r="AE33" s="309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43"/>
  <sheetViews>
    <sheetView topLeftCell="S1" zoomScale="80" zoomScaleNormal="80" workbookViewId="0">
      <selection activeCell="AK28" sqref="AK28"/>
    </sheetView>
  </sheetViews>
  <sheetFormatPr baseColWidth="10" defaultRowHeight="15" x14ac:dyDescent="0.2"/>
  <cols>
    <col min="1" max="1" width="12.33203125" customWidth="1"/>
    <col min="2" max="2" width="7.1640625" bestFit="1" customWidth="1"/>
    <col min="3" max="4" width="8.83203125" bestFit="1" customWidth="1"/>
    <col min="5" max="5" width="10.33203125" bestFit="1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10.83203125" customWidth="1"/>
    <col min="42" max="55" width="7" bestFit="1" customWidth="1"/>
    <col min="56" max="56" width="8.1640625" bestFit="1" customWidth="1"/>
    <col min="57" max="62" width="7" bestFit="1" customWidth="1"/>
  </cols>
  <sheetData>
    <row r="1" spans="1:63" x14ac:dyDescent="0.2">
      <c r="A1" s="2" t="s">
        <v>416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3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3" x14ac:dyDescent="0.2">
      <c r="A3" s="2" t="s">
        <v>2</v>
      </c>
      <c r="B3" t="s">
        <v>422</v>
      </c>
      <c r="C3" s="2" t="s">
        <v>426</v>
      </c>
      <c r="D3" s="2" t="s">
        <v>426</v>
      </c>
      <c r="E3" s="2" t="s">
        <v>426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63" x14ac:dyDescent="0.2">
      <c r="A4" s="2" t="s">
        <v>60</v>
      </c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63" x14ac:dyDescent="0.2">
      <c r="A5" s="2" t="s">
        <v>63</v>
      </c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63" ht="16" thickBot="1" x14ac:dyDescent="0.25">
      <c r="A6" s="5" t="s">
        <v>64</v>
      </c>
      <c r="B6" s="10"/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  <c r="BK6" s="38" t="s">
        <v>467</v>
      </c>
    </row>
    <row r="7" spans="1:63" ht="16" thickTop="1" x14ac:dyDescent="0.2">
      <c r="A7" s="2" t="s">
        <v>113</v>
      </c>
      <c r="B7" s="7" t="s">
        <v>428</v>
      </c>
      <c r="C7" s="7">
        <v>0</v>
      </c>
      <c r="D7" s="7">
        <v>2</v>
      </c>
      <c r="E7" s="4">
        <f>AVERAGE(C7:D7)</f>
        <v>1</v>
      </c>
      <c r="F7" s="4">
        <v>81.59</v>
      </c>
      <c r="G7" s="4">
        <v>3.93</v>
      </c>
      <c r="H7" s="4">
        <v>2.84</v>
      </c>
      <c r="I7" s="4">
        <v>6.6000000000000003E-2</v>
      </c>
      <c r="J7" s="4">
        <v>7.0000000000000007E-2</v>
      </c>
      <c r="K7" s="4">
        <v>0.2</v>
      </c>
      <c r="L7" s="4">
        <v>0.12</v>
      </c>
      <c r="M7" s="4">
        <v>1.1599999999999999</v>
      </c>
      <c r="N7" s="4">
        <v>0.28299999999999997</v>
      </c>
      <c r="O7" s="4">
        <v>1E-3</v>
      </c>
      <c r="P7" s="4">
        <v>9.08</v>
      </c>
      <c r="Q7" s="4">
        <v>99.35</v>
      </c>
      <c r="R7" s="4">
        <v>3</v>
      </c>
      <c r="S7" s="4" t="s">
        <v>68</v>
      </c>
      <c r="T7" s="4">
        <v>38</v>
      </c>
      <c r="U7" s="4" t="s">
        <v>69</v>
      </c>
      <c r="V7" s="4">
        <v>3</v>
      </c>
      <c r="W7" s="4" t="s">
        <v>69</v>
      </c>
      <c r="X7" s="4" t="s">
        <v>114</v>
      </c>
      <c r="Y7" s="4" t="s">
        <v>70</v>
      </c>
      <c r="Z7" s="4">
        <v>5</v>
      </c>
      <c r="AA7" s="4" t="s">
        <v>68</v>
      </c>
      <c r="AB7" s="4" t="s">
        <v>71</v>
      </c>
      <c r="AC7" s="4">
        <v>31</v>
      </c>
      <c r="AD7" s="4">
        <v>49</v>
      </c>
      <c r="AE7" s="4">
        <v>4</v>
      </c>
      <c r="AF7" s="4">
        <v>392</v>
      </c>
      <c r="AG7" s="4">
        <v>3</v>
      </c>
      <c r="AH7" s="4" t="s">
        <v>72</v>
      </c>
      <c r="AI7" s="4">
        <v>0.8</v>
      </c>
      <c r="AJ7" s="4" t="s">
        <v>73</v>
      </c>
      <c r="AK7" s="4">
        <v>1</v>
      </c>
      <c r="AL7" s="4" t="s">
        <v>74</v>
      </c>
      <c r="AM7" s="4">
        <v>0.8</v>
      </c>
      <c r="AN7" s="4">
        <v>368</v>
      </c>
      <c r="AO7" s="4" t="s">
        <v>75</v>
      </c>
      <c r="AP7" s="4">
        <v>5</v>
      </c>
      <c r="AQ7" s="4">
        <v>9.5</v>
      </c>
      <c r="AR7" s="4">
        <v>1.1000000000000001</v>
      </c>
      <c r="AS7" s="4">
        <v>3.9</v>
      </c>
      <c r="AT7" s="4">
        <v>0.8</v>
      </c>
      <c r="AU7" s="4">
        <v>0.16</v>
      </c>
      <c r="AV7" s="4">
        <v>0.6</v>
      </c>
      <c r="AW7" s="4">
        <v>0.1</v>
      </c>
      <c r="AX7" s="4">
        <v>0.8</v>
      </c>
      <c r="AY7" s="4">
        <v>0.2</v>
      </c>
      <c r="AZ7" s="4">
        <v>0.6</v>
      </c>
      <c r="BA7" s="4">
        <v>0.09</v>
      </c>
      <c r="BB7" s="4">
        <v>0.7</v>
      </c>
      <c r="BC7" s="4">
        <v>0.13</v>
      </c>
      <c r="BD7" s="4">
        <v>10.6</v>
      </c>
      <c r="BE7" s="4">
        <v>0.4</v>
      </c>
      <c r="BF7" s="4" t="s">
        <v>68</v>
      </c>
      <c r="BG7" s="4">
        <v>0.1</v>
      </c>
      <c r="BH7" s="4">
        <v>14</v>
      </c>
      <c r="BI7" s="4">
        <v>2.4</v>
      </c>
      <c r="BJ7" s="4">
        <v>1.5</v>
      </c>
      <c r="BK7" s="39">
        <f>100*G7/(G7+K7+L7+M7)</f>
        <v>72.64325323475046</v>
      </c>
    </row>
    <row r="8" spans="1:63" x14ac:dyDescent="0.2">
      <c r="A8" s="2" t="s">
        <v>115</v>
      </c>
      <c r="B8" s="7" t="s">
        <v>431</v>
      </c>
      <c r="C8" s="7">
        <v>2</v>
      </c>
      <c r="D8" s="7">
        <v>9</v>
      </c>
      <c r="E8" s="4">
        <f t="shared" ref="E8:E20" si="0">AVERAGE(C8:D8)</f>
        <v>5.5</v>
      </c>
      <c r="F8" s="4">
        <v>85.97</v>
      </c>
      <c r="G8" s="4">
        <v>5.42</v>
      </c>
      <c r="H8" s="4">
        <v>3.65</v>
      </c>
      <c r="I8" s="4">
        <v>4.7E-2</v>
      </c>
      <c r="J8" s="4">
        <v>0.06</v>
      </c>
      <c r="K8" s="4">
        <v>7.0000000000000007E-2</v>
      </c>
      <c r="L8" s="4">
        <v>0.12</v>
      </c>
      <c r="M8" s="4">
        <v>1.56</v>
      </c>
      <c r="N8" s="4">
        <v>0.41</v>
      </c>
      <c r="O8" s="4">
        <v>1E-3</v>
      </c>
      <c r="P8" s="4">
        <v>3.27</v>
      </c>
      <c r="Q8" s="4">
        <v>100.6</v>
      </c>
      <c r="R8" s="4">
        <v>4</v>
      </c>
      <c r="S8" s="4" t="s">
        <v>68</v>
      </c>
      <c r="T8" s="4">
        <v>51</v>
      </c>
      <c r="U8" s="4">
        <v>20</v>
      </c>
      <c r="V8" s="4">
        <v>4</v>
      </c>
      <c r="W8" s="4" t="s">
        <v>69</v>
      </c>
      <c r="X8" s="4">
        <v>20</v>
      </c>
      <c r="Y8" s="4" t="s">
        <v>70</v>
      </c>
      <c r="Z8" s="4">
        <v>7</v>
      </c>
      <c r="AA8" s="4">
        <v>1</v>
      </c>
      <c r="AB8" s="4" t="s">
        <v>71</v>
      </c>
      <c r="AC8" s="4">
        <v>43</v>
      </c>
      <c r="AD8" s="4">
        <v>53</v>
      </c>
      <c r="AE8" s="4">
        <v>6</v>
      </c>
      <c r="AF8" s="4">
        <v>679</v>
      </c>
      <c r="AG8" s="4">
        <v>7</v>
      </c>
      <c r="AH8" s="4" t="s">
        <v>72</v>
      </c>
      <c r="AI8" s="4">
        <v>1.7</v>
      </c>
      <c r="AJ8" s="4" t="s">
        <v>73</v>
      </c>
      <c r="AK8" s="4">
        <v>2</v>
      </c>
      <c r="AL8" s="4" t="s">
        <v>74</v>
      </c>
      <c r="AM8" s="4">
        <v>1.1000000000000001</v>
      </c>
      <c r="AN8" s="4">
        <v>461</v>
      </c>
      <c r="AO8" s="4" t="s">
        <v>75</v>
      </c>
      <c r="AP8" s="4">
        <v>5.5</v>
      </c>
      <c r="AQ8" s="4">
        <v>11.8</v>
      </c>
      <c r="AR8" s="4">
        <v>1.23</v>
      </c>
      <c r="AS8" s="4">
        <v>4.5</v>
      </c>
      <c r="AT8" s="4">
        <v>0.8</v>
      </c>
      <c r="AU8" s="4">
        <v>0.19</v>
      </c>
      <c r="AV8" s="4">
        <v>0.9</v>
      </c>
      <c r="AW8" s="4">
        <v>0.2</v>
      </c>
      <c r="AX8" s="4">
        <v>1</v>
      </c>
      <c r="AY8" s="4">
        <v>0.2</v>
      </c>
      <c r="AZ8" s="4">
        <v>0.7</v>
      </c>
      <c r="BA8" s="4">
        <v>0.13</v>
      </c>
      <c r="BB8" s="4">
        <v>1.1000000000000001</v>
      </c>
      <c r="BC8" s="4">
        <v>0.2</v>
      </c>
      <c r="BD8" s="4">
        <v>17.899999999999999</v>
      </c>
      <c r="BE8" s="4">
        <v>0.6</v>
      </c>
      <c r="BF8" s="4" t="s">
        <v>68</v>
      </c>
      <c r="BG8" s="4">
        <v>0.1</v>
      </c>
      <c r="BH8" s="4">
        <v>20</v>
      </c>
      <c r="BI8" s="4">
        <v>3.6</v>
      </c>
      <c r="BJ8" s="4">
        <v>2.2999999999999998</v>
      </c>
      <c r="BK8" s="39">
        <f t="shared" ref="BK8:BK22" si="1">100*G8/(G8+K8+L8+M8)</f>
        <v>75.592747559274756</v>
      </c>
    </row>
    <row r="9" spans="1:63" x14ac:dyDescent="0.2">
      <c r="A9" s="2" t="s">
        <v>116</v>
      </c>
      <c r="B9" s="7" t="s">
        <v>433</v>
      </c>
      <c r="C9" s="7">
        <v>9</v>
      </c>
      <c r="D9" s="7">
        <v>15</v>
      </c>
      <c r="E9" s="4">
        <f t="shared" si="0"/>
        <v>12</v>
      </c>
      <c r="F9" s="4">
        <v>84.94</v>
      </c>
      <c r="G9" s="4">
        <v>6.63</v>
      </c>
      <c r="H9" s="4">
        <v>3.22</v>
      </c>
      <c r="I9" s="4">
        <v>0.03</v>
      </c>
      <c r="J9" s="4">
        <v>0.06</v>
      </c>
      <c r="K9" s="4">
        <v>0.05</v>
      </c>
      <c r="L9" s="4">
        <v>0.11</v>
      </c>
      <c r="M9" s="4">
        <v>1.41</v>
      </c>
      <c r="N9" s="4">
        <v>0.36899999999999999</v>
      </c>
      <c r="O9" s="4">
        <v>1E-3</v>
      </c>
      <c r="P9" s="4">
        <v>2.85</v>
      </c>
      <c r="Q9" s="4">
        <v>99.67</v>
      </c>
      <c r="R9" s="4">
        <v>5</v>
      </c>
      <c r="S9" s="4" t="s">
        <v>68</v>
      </c>
      <c r="T9" s="4">
        <v>50</v>
      </c>
      <c r="U9" s="4" t="s">
        <v>69</v>
      </c>
      <c r="V9" s="4">
        <v>5</v>
      </c>
      <c r="W9" s="4" t="s">
        <v>69</v>
      </c>
      <c r="X9" s="4">
        <v>10</v>
      </c>
      <c r="Y9" s="4" t="s">
        <v>70</v>
      </c>
      <c r="Z9" s="4">
        <v>8</v>
      </c>
      <c r="AA9" s="4" t="s">
        <v>68</v>
      </c>
      <c r="AB9" s="4" t="s">
        <v>71</v>
      </c>
      <c r="AC9" s="4">
        <v>42</v>
      </c>
      <c r="AD9" s="4">
        <v>46</v>
      </c>
      <c r="AE9" s="4">
        <v>6</v>
      </c>
      <c r="AF9" s="4">
        <v>486</v>
      </c>
      <c r="AG9" s="4">
        <v>5</v>
      </c>
      <c r="AH9" s="4" t="s">
        <v>72</v>
      </c>
      <c r="AI9" s="4">
        <v>0.6</v>
      </c>
      <c r="AJ9" s="4" t="s">
        <v>73</v>
      </c>
      <c r="AK9" s="4" t="s">
        <v>68</v>
      </c>
      <c r="AL9" s="4" t="s">
        <v>74</v>
      </c>
      <c r="AM9" s="4">
        <v>1.3</v>
      </c>
      <c r="AN9" s="4">
        <v>411</v>
      </c>
      <c r="AO9" s="4" t="s">
        <v>75</v>
      </c>
      <c r="AP9" s="4">
        <v>7.2</v>
      </c>
      <c r="AQ9" s="4">
        <v>19</v>
      </c>
      <c r="AR9" s="4">
        <v>1.64</v>
      </c>
      <c r="AS9" s="4">
        <v>5.9</v>
      </c>
      <c r="AT9" s="4">
        <v>1.2</v>
      </c>
      <c r="AU9" s="4">
        <v>0.28000000000000003</v>
      </c>
      <c r="AV9" s="4">
        <v>1</v>
      </c>
      <c r="AW9" s="4">
        <v>0.2</v>
      </c>
      <c r="AX9" s="4">
        <v>1.2</v>
      </c>
      <c r="AY9" s="4">
        <v>0.3</v>
      </c>
      <c r="AZ9" s="4">
        <v>0.8</v>
      </c>
      <c r="BA9" s="4">
        <v>0.14000000000000001</v>
      </c>
      <c r="BB9" s="4">
        <v>1</v>
      </c>
      <c r="BC9" s="4">
        <v>0.18</v>
      </c>
      <c r="BD9" s="4">
        <v>10.8</v>
      </c>
      <c r="BE9" s="4">
        <v>0.6</v>
      </c>
      <c r="BF9" s="4" t="s">
        <v>68</v>
      </c>
      <c r="BG9" s="4" t="s">
        <v>79</v>
      </c>
      <c r="BH9" s="4">
        <v>11</v>
      </c>
      <c r="BI9" s="4">
        <v>4</v>
      </c>
      <c r="BJ9" s="4">
        <v>2.1</v>
      </c>
      <c r="BK9" s="39">
        <f t="shared" si="1"/>
        <v>80.853658536585371</v>
      </c>
    </row>
    <row r="10" spans="1:63" x14ac:dyDescent="0.2">
      <c r="A10" s="2" t="s">
        <v>117</v>
      </c>
      <c r="B10" s="7" t="s">
        <v>418</v>
      </c>
      <c r="C10" s="7">
        <v>15</v>
      </c>
      <c r="D10" s="7">
        <v>57</v>
      </c>
      <c r="E10" s="4">
        <f t="shared" si="0"/>
        <v>36</v>
      </c>
      <c r="F10" s="4">
        <v>58.39</v>
      </c>
      <c r="G10" s="4">
        <v>21.32</v>
      </c>
      <c r="H10" s="4">
        <v>8.89</v>
      </c>
      <c r="I10" s="4">
        <v>2.5999999999999999E-2</v>
      </c>
      <c r="J10" s="4">
        <v>0.19</v>
      </c>
      <c r="K10" s="4">
        <v>0.02</v>
      </c>
      <c r="L10" s="4">
        <v>0.05</v>
      </c>
      <c r="M10" s="4">
        <v>0.62</v>
      </c>
      <c r="N10" s="4">
        <v>0.67600000000000005</v>
      </c>
      <c r="O10" s="4">
        <v>0.03</v>
      </c>
      <c r="P10" s="4">
        <v>10.31</v>
      </c>
      <c r="Q10" s="4">
        <v>100.5</v>
      </c>
      <c r="R10" s="4">
        <v>21</v>
      </c>
      <c r="S10" s="4">
        <v>2</v>
      </c>
      <c r="T10" s="4">
        <v>133</v>
      </c>
      <c r="U10" s="4">
        <v>30</v>
      </c>
      <c r="V10" s="4">
        <v>6</v>
      </c>
      <c r="W10" s="4" t="s">
        <v>69</v>
      </c>
      <c r="X10" s="4">
        <v>40</v>
      </c>
      <c r="Y10" s="4">
        <v>60</v>
      </c>
      <c r="Z10" s="4">
        <v>26</v>
      </c>
      <c r="AA10" s="4">
        <v>2</v>
      </c>
      <c r="AB10" s="4" t="s">
        <v>71</v>
      </c>
      <c r="AC10" s="4">
        <v>42</v>
      </c>
      <c r="AD10" s="4">
        <v>17</v>
      </c>
      <c r="AE10" s="4">
        <v>6</v>
      </c>
      <c r="AF10" s="4">
        <v>233</v>
      </c>
      <c r="AG10" s="4">
        <v>7</v>
      </c>
      <c r="AH10" s="4" t="s">
        <v>72</v>
      </c>
      <c r="AI10" s="4" t="s">
        <v>74</v>
      </c>
      <c r="AJ10" s="4" t="s">
        <v>73</v>
      </c>
      <c r="AK10" s="4">
        <v>2</v>
      </c>
      <c r="AL10" s="4" t="s">
        <v>74</v>
      </c>
      <c r="AM10" s="4">
        <v>2.9</v>
      </c>
      <c r="AN10" s="4">
        <v>173</v>
      </c>
      <c r="AO10" s="4" t="s">
        <v>75</v>
      </c>
      <c r="AP10" s="4">
        <v>7.3</v>
      </c>
      <c r="AQ10" s="4">
        <v>17.600000000000001</v>
      </c>
      <c r="AR10" s="4">
        <v>1.76</v>
      </c>
      <c r="AS10" s="4">
        <v>6.4</v>
      </c>
      <c r="AT10" s="4">
        <v>1.2</v>
      </c>
      <c r="AU10" s="4">
        <v>0.3</v>
      </c>
      <c r="AV10" s="4">
        <v>1.1000000000000001</v>
      </c>
      <c r="AW10" s="4">
        <v>0.2</v>
      </c>
      <c r="AX10" s="4">
        <v>1.1000000000000001</v>
      </c>
      <c r="AY10" s="4">
        <v>0.2</v>
      </c>
      <c r="AZ10" s="4">
        <v>0.8</v>
      </c>
      <c r="BA10" s="4">
        <v>0.13</v>
      </c>
      <c r="BB10" s="4">
        <v>1</v>
      </c>
      <c r="BC10" s="4">
        <v>0.17</v>
      </c>
      <c r="BD10" s="4">
        <v>5.8</v>
      </c>
      <c r="BE10" s="4">
        <v>0.6</v>
      </c>
      <c r="BF10" s="4" t="s">
        <v>68</v>
      </c>
      <c r="BG10" s="4">
        <v>0.2</v>
      </c>
      <c r="BH10" s="4">
        <v>16</v>
      </c>
      <c r="BI10" s="4">
        <v>11.9</v>
      </c>
      <c r="BJ10" s="4">
        <v>2.5</v>
      </c>
      <c r="BK10" s="39">
        <f t="shared" si="1"/>
        <v>96.865061335756465</v>
      </c>
    </row>
    <row r="11" spans="1:63" x14ac:dyDescent="0.2">
      <c r="A11" s="2" t="s">
        <v>118</v>
      </c>
      <c r="B11" s="7" t="s">
        <v>419</v>
      </c>
      <c r="C11" s="7">
        <v>57</v>
      </c>
      <c r="D11" s="7">
        <v>82</v>
      </c>
      <c r="E11" s="4">
        <f t="shared" si="0"/>
        <v>69.5</v>
      </c>
      <c r="F11" s="4">
        <v>55.93</v>
      </c>
      <c r="G11" s="4">
        <v>22.76</v>
      </c>
      <c r="H11" s="4">
        <v>9.66</v>
      </c>
      <c r="I11" s="4">
        <v>2.9000000000000001E-2</v>
      </c>
      <c r="J11" s="4">
        <v>0.21</v>
      </c>
      <c r="K11" s="4">
        <v>0.02</v>
      </c>
      <c r="L11" s="4">
        <v>0.06</v>
      </c>
      <c r="M11" s="4">
        <v>0.26</v>
      </c>
      <c r="N11" s="4">
        <v>0.67100000000000004</v>
      </c>
      <c r="O11" s="4">
        <v>0.03</v>
      </c>
      <c r="P11" s="4">
        <v>10.89</v>
      </c>
      <c r="Q11" s="4">
        <v>100.5</v>
      </c>
      <c r="R11" s="4">
        <v>30</v>
      </c>
      <c r="S11" s="4">
        <v>2</v>
      </c>
      <c r="T11" s="4">
        <v>141</v>
      </c>
      <c r="U11" s="4">
        <v>20</v>
      </c>
      <c r="V11" s="4">
        <v>5</v>
      </c>
      <c r="W11" s="4" t="s">
        <v>69</v>
      </c>
      <c r="X11" s="4">
        <v>50</v>
      </c>
      <c r="Y11" s="4">
        <v>60</v>
      </c>
      <c r="Z11" s="4">
        <v>27</v>
      </c>
      <c r="AA11" s="4">
        <v>2</v>
      </c>
      <c r="AB11" s="4" t="s">
        <v>71</v>
      </c>
      <c r="AC11" s="4">
        <v>23</v>
      </c>
      <c r="AD11" s="4">
        <v>4</v>
      </c>
      <c r="AE11" s="4">
        <v>2</v>
      </c>
      <c r="AF11" s="4">
        <v>131</v>
      </c>
      <c r="AG11" s="4">
        <v>5</v>
      </c>
      <c r="AH11" s="4" t="s">
        <v>72</v>
      </c>
      <c r="AI11" s="4" t="s">
        <v>74</v>
      </c>
      <c r="AJ11" s="4" t="s">
        <v>73</v>
      </c>
      <c r="AK11" s="4">
        <v>1</v>
      </c>
      <c r="AL11" s="4" t="s">
        <v>74</v>
      </c>
      <c r="AM11" s="4">
        <v>1.9</v>
      </c>
      <c r="AN11" s="4">
        <v>43</v>
      </c>
      <c r="AO11" s="4" t="s">
        <v>75</v>
      </c>
      <c r="AP11" s="4">
        <v>4.7</v>
      </c>
      <c r="AQ11" s="4">
        <v>12.2</v>
      </c>
      <c r="AR11" s="4">
        <v>1.1499999999999999</v>
      </c>
      <c r="AS11" s="4">
        <v>4.0999999999999996</v>
      </c>
      <c r="AT11" s="4">
        <v>0.8</v>
      </c>
      <c r="AU11" s="4">
        <v>0.2</v>
      </c>
      <c r="AV11" s="4">
        <v>0.7</v>
      </c>
      <c r="AW11" s="4">
        <v>0.1</v>
      </c>
      <c r="AX11" s="4">
        <v>0.7</v>
      </c>
      <c r="AY11" s="4">
        <v>0.1</v>
      </c>
      <c r="AZ11" s="4">
        <v>0.5</v>
      </c>
      <c r="BA11" s="4">
        <v>0.08</v>
      </c>
      <c r="BB11" s="4">
        <v>0.7</v>
      </c>
      <c r="BC11" s="4">
        <v>0.12</v>
      </c>
      <c r="BD11" s="4">
        <v>3.3</v>
      </c>
      <c r="BE11" s="4">
        <v>0.4</v>
      </c>
      <c r="BF11" s="4" t="s">
        <v>68</v>
      </c>
      <c r="BG11" s="4">
        <v>0.1</v>
      </c>
      <c r="BH11" s="4">
        <v>13</v>
      </c>
      <c r="BI11" s="4">
        <v>8.6999999999999993</v>
      </c>
      <c r="BJ11" s="4">
        <v>1.7</v>
      </c>
      <c r="BK11" s="39">
        <f t="shared" si="1"/>
        <v>98.528138528138527</v>
      </c>
    </row>
    <row r="12" spans="1:63" x14ac:dyDescent="0.2">
      <c r="A12" s="2" t="s">
        <v>119</v>
      </c>
      <c r="B12" s="7" t="s">
        <v>429</v>
      </c>
      <c r="C12" s="7">
        <v>82</v>
      </c>
      <c r="D12" s="7">
        <v>116</v>
      </c>
      <c r="E12" s="4">
        <f t="shared" si="0"/>
        <v>99</v>
      </c>
      <c r="F12" s="4">
        <v>53.53</v>
      </c>
      <c r="G12" s="4">
        <v>23.57</v>
      </c>
      <c r="H12" s="4">
        <v>10.77</v>
      </c>
      <c r="I12" s="4">
        <v>2.8000000000000001E-2</v>
      </c>
      <c r="J12" s="4">
        <v>0.24</v>
      </c>
      <c r="K12" s="4">
        <v>0.02</v>
      </c>
      <c r="L12" s="4">
        <v>0.08</v>
      </c>
      <c r="M12" s="4">
        <v>0.25</v>
      </c>
      <c r="N12" s="4">
        <v>0.73599999999999999</v>
      </c>
      <c r="O12" s="4">
        <v>0.04</v>
      </c>
      <c r="P12" s="4">
        <v>11.11</v>
      </c>
      <c r="Q12" s="4">
        <v>100.4</v>
      </c>
      <c r="R12" s="4">
        <v>35</v>
      </c>
      <c r="S12" s="4">
        <v>2</v>
      </c>
      <c r="T12" s="4">
        <v>146</v>
      </c>
      <c r="U12" s="4">
        <v>20</v>
      </c>
      <c r="V12" s="4">
        <v>5</v>
      </c>
      <c r="W12" s="4" t="s">
        <v>69</v>
      </c>
      <c r="X12" s="4">
        <v>50</v>
      </c>
      <c r="Y12" s="4">
        <v>50</v>
      </c>
      <c r="Z12" s="4">
        <v>27</v>
      </c>
      <c r="AA12" s="4">
        <v>2</v>
      </c>
      <c r="AB12" s="4" t="s">
        <v>71</v>
      </c>
      <c r="AC12" s="4">
        <v>21</v>
      </c>
      <c r="AD12" s="4">
        <v>2</v>
      </c>
      <c r="AE12" s="4">
        <v>3</v>
      </c>
      <c r="AF12" s="4">
        <v>108</v>
      </c>
      <c r="AG12" s="4">
        <v>5</v>
      </c>
      <c r="AH12" s="4" t="s">
        <v>72</v>
      </c>
      <c r="AI12" s="4" t="s">
        <v>74</v>
      </c>
      <c r="AJ12" s="4" t="s">
        <v>73</v>
      </c>
      <c r="AK12" s="4">
        <v>1</v>
      </c>
      <c r="AL12" s="4" t="s">
        <v>74</v>
      </c>
      <c r="AM12" s="4">
        <v>1.5</v>
      </c>
      <c r="AN12" s="4">
        <v>33</v>
      </c>
      <c r="AO12" s="4" t="s">
        <v>75</v>
      </c>
      <c r="AP12" s="4">
        <v>5.4</v>
      </c>
      <c r="AQ12" s="4">
        <v>14.1</v>
      </c>
      <c r="AR12" s="4">
        <v>1.42</v>
      </c>
      <c r="AS12" s="4">
        <v>5.3</v>
      </c>
      <c r="AT12" s="4">
        <v>1</v>
      </c>
      <c r="AU12" s="4">
        <v>0.27</v>
      </c>
      <c r="AV12" s="4">
        <v>0.8</v>
      </c>
      <c r="AW12" s="4">
        <v>0.1</v>
      </c>
      <c r="AX12" s="4">
        <v>0.8</v>
      </c>
      <c r="AY12" s="4">
        <v>0.2</v>
      </c>
      <c r="AZ12" s="4">
        <v>0.6</v>
      </c>
      <c r="BA12" s="4">
        <v>0.1</v>
      </c>
      <c r="BB12" s="4">
        <v>0.7</v>
      </c>
      <c r="BC12" s="4">
        <v>0.13</v>
      </c>
      <c r="BD12" s="4">
        <v>2.7</v>
      </c>
      <c r="BE12" s="4">
        <v>0.3</v>
      </c>
      <c r="BF12" s="4" t="s">
        <v>68</v>
      </c>
      <c r="BG12" s="4" t="s">
        <v>79</v>
      </c>
      <c r="BH12" s="4">
        <v>12</v>
      </c>
      <c r="BI12" s="4">
        <v>6.7</v>
      </c>
      <c r="BJ12" s="4">
        <v>1.8</v>
      </c>
      <c r="BK12" s="39">
        <f t="shared" si="1"/>
        <v>98.536789297658871</v>
      </c>
    </row>
    <row r="13" spans="1:63" x14ac:dyDescent="0.2">
      <c r="A13" s="2" t="s">
        <v>120</v>
      </c>
      <c r="B13" s="7" t="s">
        <v>436</v>
      </c>
      <c r="C13" s="7">
        <v>116</v>
      </c>
      <c r="D13" s="7">
        <v>171</v>
      </c>
      <c r="E13" s="4">
        <f t="shared" si="0"/>
        <v>143.5</v>
      </c>
      <c r="F13" s="4">
        <v>55.12</v>
      </c>
      <c r="G13" s="4">
        <v>21.87</v>
      </c>
      <c r="H13" s="4">
        <v>9.57</v>
      </c>
      <c r="I13" s="4">
        <v>2.9000000000000001E-2</v>
      </c>
      <c r="J13" s="4">
        <v>0.23</v>
      </c>
      <c r="K13" s="4">
        <v>0.01</v>
      </c>
      <c r="L13" s="4">
        <v>0.03</v>
      </c>
      <c r="M13" s="4">
        <v>0.2</v>
      </c>
      <c r="N13" s="4">
        <v>0.67700000000000005</v>
      </c>
      <c r="O13" s="4">
        <v>0.04</v>
      </c>
      <c r="P13" s="4">
        <v>11.01</v>
      </c>
      <c r="Q13" s="4">
        <v>98.78</v>
      </c>
      <c r="R13" s="4">
        <v>34</v>
      </c>
      <c r="S13" s="4">
        <v>2</v>
      </c>
      <c r="T13" s="4">
        <v>135</v>
      </c>
      <c r="U13" s="4">
        <v>20</v>
      </c>
      <c r="V13" s="4">
        <v>4</v>
      </c>
      <c r="W13" s="4" t="s">
        <v>69</v>
      </c>
      <c r="X13" s="4">
        <v>50</v>
      </c>
      <c r="Y13" s="4">
        <v>50</v>
      </c>
      <c r="Z13" s="4">
        <v>26</v>
      </c>
      <c r="AA13" s="4">
        <v>2</v>
      </c>
      <c r="AB13" s="4" t="s">
        <v>71</v>
      </c>
      <c r="AC13" s="4">
        <v>19</v>
      </c>
      <c r="AD13" s="4" t="s">
        <v>72</v>
      </c>
      <c r="AE13" s="4">
        <v>5</v>
      </c>
      <c r="AF13" s="4">
        <v>123</v>
      </c>
      <c r="AG13" s="4">
        <v>5</v>
      </c>
      <c r="AH13" s="4" t="s">
        <v>72</v>
      </c>
      <c r="AI13" s="4" t="s">
        <v>74</v>
      </c>
      <c r="AJ13" s="4" t="s">
        <v>73</v>
      </c>
      <c r="AK13" s="4">
        <v>1</v>
      </c>
      <c r="AL13" s="4" t="s">
        <v>74</v>
      </c>
      <c r="AM13" s="4">
        <v>1.5</v>
      </c>
      <c r="AN13" s="4">
        <v>41</v>
      </c>
      <c r="AO13" s="4" t="s">
        <v>75</v>
      </c>
      <c r="AP13" s="4">
        <v>6.6</v>
      </c>
      <c r="AQ13" s="4">
        <v>16.5</v>
      </c>
      <c r="AR13" s="4">
        <v>1.83</v>
      </c>
      <c r="AS13" s="4">
        <v>7</v>
      </c>
      <c r="AT13" s="4">
        <v>1.4</v>
      </c>
      <c r="AU13" s="4">
        <v>0.35</v>
      </c>
      <c r="AV13" s="4">
        <v>1</v>
      </c>
      <c r="AW13" s="4">
        <v>0.2</v>
      </c>
      <c r="AX13" s="4">
        <v>1</v>
      </c>
      <c r="AY13" s="4">
        <v>0.2</v>
      </c>
      <c r="AZ13" s="4">
        <v>0.6</v>
      </c>
      <c r="BA13" s="4">
        <v>0.11</v>
      </c>
      <c r="BB13" s="4">
        <v>0.8</v>
      </c>
      <c r="BC13" s="4">
        <v>0.14000000000000001</v>
      </c>
      <c r="BD13" s="4">
        <v>3.1</v>
      </c>
      <c r="BE13" s="4">
        <v>0.4</v>
      </c>
      <c r="BF13" s="4" t="s">
        <v>68</v>
      </c>
      <c r="BG13" s="4" t="s">
        <v>79</v>
      </c>
      <c r="BH13" s="4">
        <v>13</v>
      </c>
      <c r="BI13" s="4">
        <v>5.7</v>
      </c>
      <c r="BJ13" s="4">
        <v>1.4</v>
      </c>
      <c r="BK13" s="39">
        <f t="shared" si="1"/>
        <v>98.914518317503379</v>
      </c>
    </row>
    <row r="14" spans="1:63" x14ac:dyDescent="0.2">
      <c r="A14" s="2" t="s">
        <v>121</v>
      </c>
      <c r="B14" s="7" t="s">
        <v>430</v>
      </c>
      <c r="C14" s="7">
        <v>171</v>
      </c>
      <c r="D14" s="7">
        <v>205</v>
      </c>
      <c r="E14" s="4">
        <f t="shared" si="0"/>
        <v>188</v>
      </c>
      <c r="F14" s="4">
        <v>56.98</v>
      </c>
      <c r="G14" s="4">
        <v>20.88</v>
      </c>
      <c r="H14" s="4">
        <v>9.86</v>
      </c>
      <c r="I14" s="4">
        <v>3.9E-2</v>
      </c>
      <c r="J14" s="4">
        <v>0.38</v>
      </c>
      <c r="K14" s="4">
        <v>0.02</v>
      </c>
      <c r="L14" s="4">
        <v>0.04</v>
      </c>
      <c r="M14" s="4">
        <v>0.31</v>
      </c>
      <c r="N14" s="4">
        <v>0.71</v>
      </c>
      <c r="O14" s="4">
        <v>0.05</v>
      </c>
      <c r="P14" s="4">
        <v>10.52</v>
      </c>
      <c r="Q14" s="4">
        <v>99.78</v>
      </c>
      <c r="R14" s="4">
        <v>36</v>
      </c>
      <c r="S14" s="4">
        <v>2</v>
      </c>
      <c r="T14" s="4">
        <v>128</v>
      </c>
      <c r="U14" s="4" t="s">
        <v>69</v>
      </c>
      <c r="V14" s="4">
        <v>6</v>
      </c>
      <c r="W14" s="4" t="s">
        <v>69</v>
      </c>
      <c r="X14" s="4">
        <v>60</v>
      </c>
      <c r="Y14" s="4">
        <v>50</v>
      </c>
      <c r="Z14" s="4">
        <v>24</v>
      </c>
      <c r="AA14" s="4">
        <v>2</v>
      </c>
      <c r="AB14" s="4" t="s">
        <v>71</v>
      </c>
      <c r="AC14" s="4">
        <v>20</v>
      </c>
      <c r="AD14" s="4" t="s">
        <v>72</v>
      </c>
      <c r="AE14" s="4">
        <v>5</v>
      </c>
      <c r="AF14" s="4">
        <v>139</v>
      </c>
      <c r="AG14" s="4">
        <v>4</v>
      </c>
      <c r="AH14" s="4" t="s">
        <v>72</v>
      </c>
      <c r="AI14" s="4" t="s">
        <v>74</v>
      </c>
      <c r="AJ14" s="4" t="s">
        <v>73</v>
      </c>
      <c r="AK14" s="4">
        <v>1</v>
      </c>
      <c r="AL14" s="4" t="s">
        <v>74</v>
      </c>
      <c r="AM14" s="4">
        <v>1.6</v>
      </c>
      <c r="AN14" s="4">
        <v>60</v>
      </c>
      <c r="AO14" s="4" t="s">
        <v>75</v>
      </c>
      <c r="AP14" s="4">
        <v>8</v>
      </c>
      <c r="AQ14" s="4">
        <v>26.8</v>
      </c>
      <c r="AR14" s="4">
        <v>2.41</v>
      </c>
      <c r="AS14" s="4">
        <v>9.1</v>
      </c>
      <c r="AT14" s="4">
        <v>2</v>
      </c>
      <c r="AU14" s="4">
        <v>0.48</v>
      </c>
      <c r="AV14" s="4">
        <v>1.4</v>
      </c>
      <c r="AW14" s="4">
        <v>0.2</v>
      </c>
      <c r="AX14" s="4">
        <v>1.4</v>
      </c>
      <c r="AY14" s="4">
        <v>0.3</v>
      </c>
      <c r="AZ14" s="4">
        <v>0.8</v>
      </c>
      <c r="BA14" s="4">
        <v>0.13</v>
      </c>
      <c r="BB14" s="4">
        <v>1.1000000000000001</v>
      </c>
      <c r="BC14" s="4">
        <v>0.19</v>
      </c>
      <c r="BD14" s="4">
        <v>3.5</v>
      </c>
      <c r="BE14" s="4">
        <v>0.3</v>
      </c>
      <c r="BF14" s="4" t="s">
        <v>68</v>
      </c>
      <c r="BG14" s="4" t="s">
        <v>79</v>
      </c>
      <c r="BH14" s="4">
        <v>23</v>
      </c>
      <c r="BI14" s="4">
        <v>3.8</v>
      </c>
      <c r="BJ14" s="4">
        <v>1.4</v>
      </c>
      <c r="BK14" s="39">
        <f t="shared" si="1"/>
        <v>98.258823529411785</v>
      </c>
    </row>
    <row r="15" spans="1:63" x14ac:dyDescent="0.2">
      <c r="A15" s="2" t="s">
        <v>122</v>
      </c>
      <c r="B15" s="2" t="s">
        <v>421</v>
      </c>
      <c r="C15" s="7">
        <v>250</v>
      </c>
      <c r="D15" s="7">
        <v>300</v>
      </c>
      <c r="E15" s="4">
        <f t="shared" si="0"/>
        <v>275</v>
      </c>
      <c r="F15" s="4">
        <v>55.96</v>
      </c>
      <c r="G15" s="4">
        <v>21.53</v>
      </c>
      <c r="H15" s="4">
        <v>9.7799999999999994</v>
      </c>
      <c r="I15" s="4">
        <v>4.2000000000000003E-2</v>
      </c>
      <c r="J15" s="4">
        <v>0.34</v>
      </c>
      <c r="K15" s="4">
        <v>0.05</v>
      </c>
      <c r="L15" s="4">
        <v>0.09</v>
      </c>
      <c r="M15" s="4">
        <v>0.64</v>
      </c>
      <c r="N15" s="4">
        <v>0.73699999999999999</v>
      </c>
      <c r="O15" s="4">
        <v>0.12</v>
      </c>
      <c r="P15" s="4">
        <v>10.41</v>
      </c>
      <c r="Q15" s="4">
        <v>99.69</v>
      </c>
      <c r="R15" s="4">
        <v>31</v>
      </c>
      <c r="S15" s="4">
        <v>2</v>
      </c>
      <c r="T15" s="4">
        <v>168</v>
      </c>
      <c r="U15" s="4">
        <v>20</v>
      </c>
      <c r="V15" s="4">
        <v>7</v>
      </c>
      <c r="W15" s="4" t="s">
        <v>69</v>
      </c>
      <c r="X15" s="4">
        <v>50</v>
      </c>
      <c r="Y15" s="4">
        <v>50</v>
      </c>
      <c r="Z15" s="4">
        <v>22</v>
      </c>
      <c r="AA15" s="4">
        <v>1</v>
      </c>
      <c r="AB15" s="4" t="s">
        <v>71</v>
      </c>
      <c r="AC15" s="4">
        <v>33</v>
      </c>
      <c r="AD15" s="4">
        <v>3</v>
      </c>
      <c r="AE15" s="4">
        <v>9</v>
      </c>
      <c r="AF15" s="4">
        <v>132</v>
      </c>
      <c r="AG15" s="4">
        <v>4</v>
      </c>
      <c r="AH15" s="4" t="s">
        <v>72</v>
      </c>
      <c r="AI15" s="4">
        <v>1.4</v>
      </c>
      <c r="AJ15" s="4" t="s">
        <v>73</v>
      </c>
      <c r="AK15" s="4">
        <v>1</v>
      </c>
      <c r="AL15" s="4" t="s">
        <v>74</v>
      </c>
      <c r="AM15" s="4">
        <v>1.5</v>
      </c>
      <c r="AN15" s="4">
        <v>68</v>
      </c>
      <c r="AO15" s="4" t="s">
        <v>75</v>
      </c>
      <c r="AP15" s="4">
        <v>9.6999999999999993</v>
      </c>
      <c r="AQ15" s="4">
        <v>24.8</v>
      </c>
      <c r="AR15" s="4">
        <v>2.83</v>
      </c>
      <c r="AS15" s="4">
        <v>11.2</v>
      </c>
      <c r="AT15" s="4">
        <v>2.4</v>
      </c>
      <c r="AU15" s="4">
        <v>0.66</v>
      </c>
      <c r="AV15" s="4">
        <v>1.9</v>
      </c>
      <c r="AW15" s="4">
        <v>0.3</v>
      </c>
      <c r="AX15" s="4">
        <v>1.9</v>
      </c>
      <c r="AY15" s="4">
        <v>0.4</v>
      </c>
      <c r="AZ15" s="4">
        <v>1.2</v>
      </c>
      <c r="BA15" s="4">
        <v>0.18</v>
      </c>
      <c r="BB15" s="4">
        <v>1.3</v>
      </c>
      <c r="BC15" s="4">
        <v>0.22</v>
      </c>
      <c r="BD15" s="4">
        <v>3.1</v>
      </c>
      <c r="BE15" s="4">
        <v>0.3</v>
      </c>
      <c r="BF15" s="4" t="s">
        <v>68</v>
      </c>
      <c r="BG15" s="4">
        <v>0.2</v>
      </c>
      <c r="BH15" s="4">
        <v>10</v>
      </c>
      <c r="BI15" s="4">
        <v>3.8</v>
      </c>
      <c r="BJ15" s="4">
        <v>1.8</v>
      </c>
      <c r="BK15" s="39">
        <f t="shared" si="1"/>
        <v>96.503809950694745</v>
      </c>
    </row>
    <row r="16" spans="1:63" x14ac:dyDescent="0.2">
      <c r="A16" s="2" t="s">
        <v>123</v>
      </c>
      <c r="B16" s="2" t="s">
        <v>421</v>
      </c>
      <c r="C16" s="7">
        <v>300</v>
      </c>
      <c r="D16" s="7">
        <v>400</v>
      </c>
      <c r="E16" s="4">
        <f t="shared" si="0"/>
        <v>350</v>
      </c>
      <c r="F16" s="4">
        <v>54.92</v>
      </c>
      <c r="G16" s="4">
        <v>22.65</v>
      </c>
      <c r="H16" s="4">
        <v>10.01</v>
      </c>
      <c r="I16" s="4">
        <v>0.107</v>
      </c>
      <c r="J16" s="4">
        <v>0.46</v>
      </c>
      <c r="K16" s="4">
        <v>0.01</v>
      </c>
      <c r="L16" s="4">
        <v>0.05</v>
      </c>
      <c r="M16" s="4">
        <v>0.67</v>
      </c>
      <c r="N16" s="4">
        <v>0.71</v>
      </c>
      <c r="O16" s="4">
        <v>0.08</v>
      </c>
      <c r="P16" s="4">
        <v>10.72</v>
      </c>
      <c r="Q16" s="4">
        <v>100.4</v>
      </c>
      <c r="R16" s="4">
        <v>31</v>
      </c>
      <c r="S16" s="4">
        <v>2</v>
      </c>
      <c r="T16" s="4">
        <v>153</v>
      </c>
      <c r="U16" s="4">
        <v>50</v>
      </c>
      <c r="V16" s="4">
        <v>21</v>
      </c>
      <c r="W16" s="4" t="s">
        <v>69</v>
      </c>
      <c r="X16" s="4">
        <v>60</v>
      </c>
      <c r="Y16" s="4">
        <v>50</v>
      </c>
      <c r="Z16" s="4">
        <v>20</v>
      </c>
      <c r="AA16" s="4">
        <v>1</v>
      </c>
      <c r="AB16" s="4" t="s">
        <v>71</v>
      </c>
      <c r="AC16" s="4">
        <v>31</v>
      </c>
      <c r="AD16" s="4">
        <v>5</v>
      </c>
      <c r="AE16" s="4">
        <v>9</v>
      </c>
      <c r="AF16" s="4">
        <v>141</v>
      </c>
      <c r="AG16" s="4">
        <v>4</v>
      </c>
      <c r="AH16" s="4" t="s">
        <v>72</v>
      </c>
      <c r="AI16" s="4">
        <v>1.2</v>
      </c>
      <c r="AJ16" s="4" t="s">
        <v>73</v>
      </c>
      <c r="AK16" s="4">
        <v>1</v>
      </c>
      <c r="AL16" s="4" t="s">
        <v>74</v>
      </c>
      <c r="AM16" s="4">
        <v>1.4</v>
      </c>
      <c r="AN16" s="4">
        <v>108</v>
      </c>
      <c r="AO16" s="4" t="s">
        <v>75</v>
      </c>
      <c r="AP16" s="4">
        <v>10.8</v>
      </c>
      <c r="AQ16" s="4">
        <v>39.1</v>
      </c>
      <c r="AR16" s="4">
        <v>3.04</v>
      </c>
      <c r="AS16" s="4">
        <v>12.6</v>
      </c>
      <c r="AT16" s="4">
        <v>2.7</v>
      </c>
      <c r="AU16" s="4">
        <v>0.76</v>
      </c>
      <c r="AV16" s="4">
        <v>2.2999999999999998</v>
      </c>
      <c r="AW16" s="4">
        <v>0.4</v>
      </c>
      <c r="AX16" s="4">
        <v>2.2999999999999998</v>
      </c>
      <c r="AY16" s="4">
        <v>0.5</v>
      </c>
      <c r="AZ16" s="4">
        <v>1.5</v>
      </c>
      <c r="BA16" s="4">
        <v>0.24</v>
      </c>
      <c r="BB16" s="4">
        <v>1.8</v>
      </c>
      <c r="BC16" s="4">
        <v>0.3</v>
      </c>
      <c r="BD16" s="4">
        <v>3.4</v>
      </c>
      <c r="BE16" s="4">
        <v>0.2</v>
      </c>
      <c r="BF16" s="4" t="s">
        <v>68</v>
      </c>
      <c r="BG16" s="4" t="s">
        <v>79</v>
      </c>
      <c r="BH16" s="4">
        <v>10</v>
      </c>
      <c r="BI16" s="4">
        <v>3.1</v>
      </c>
      <c r="BJ16" s="4">
        <v>1.9</v>
      </c>
      <c r="BK16" s="39">
        <f t="shared" si="1"/>
        <v>96.877673224978608</v>
      </c>
    </row>
    <row r="17" spans="1:63" x14ac:dyDescent="0.2">
      <c r="A17" s="2" t="s">
        <v>124</v>
      </c>
      <c r="B17" s="2" t="s">
        <v>421</v>
      </c>
      <c r="C17" s="7">
        <v>400</v>
      </c>
      <c r="D17" s="7">
        <v>500</v>
      </c>
      <c r="E17" s="4">
        <f t="shared" si="0"/>
        <v>450</v>
      </c>
      <c r="F17" s="4">
        <v>57.19</v>
      </c>
      <c r="G17" s="4">
        <v>20.93</v>
      </c>
      <c r="H17" s="4">
        <v>8.94</v>
      </c>
      <c r="I17" s="4">
        <v>0.16800000000000001</v>
      </c>
      <c r="J17" s="4">
        <v>0.62</v>
      </c>
      <c r="K17" s="4">
        <v>0</v>
      </c>
      <c r="L17" s="4">
        <v>0.06</v>
      </c>
      <c r="M17" s="4">
        <v>0.76</v>
      </c>
      <c r="N17" s="4">
        <v>0.67900000000000005</v>
      </c>
      <c r="O17" s="4">
        <v>0.06</v>
      </c>
      <c r="P17" s="4">
        <v>9.8699999999999992</v>
      </c>
      <c r="Q17" s="4">
        <v>99.3</v>
      </c>
      <c r="R17" s="4">
        <v>29</v>
      </c>
      <c r="S17" s="4">
        <v>2</v>
      </c>
      <c r="T17" s="4">
        <v>118</v>
      </c>
      <c r="U17" s="4" t="s">
        <v>69</v>
      </c>
      <c r="V17" s="4">
        <v>35</v>
      </c>
      <c r="W17" s="4" t="s">
        <v>69</v>
      </c>
      <c r="X17" s="4">
        <v>50</v>
      </c>
      <c r="Y17" s="4">
        <v>60</v>
      </c>
      <c r="Z17" s="4">
        <v>20</v>
      </c>
      <c r="AA17" s="4">
        <v>1</v>
      </c>
      <c r="AB17" s="4" t="s">
        <v>71</v>
      </c>
      <c r="AC17" s="4">
        <v>35</v>
      </c>
      <c r="AD17" s="4">
        <v>4</v>
      </c>
      <c r="AE17" s="4">
        <v>11</v>
      </c>
      <c r="AF17" s="4">
        <v>128</v>
      </c>
      <c r="AG17" s="4">
        <v>3</v>
      </c>
      <c r="AH17" s="4" t="s">
        <v>72</v>
      </c>
      <c r="AI17" s="4">
        <v>0.9</v>
      </c>
      <c r="AJ17" s="4" t="s">
        <v>73</v>
      </c>
      <c r="AK17" s="4" t="s">
        <v>68</v>
      </c>
      <c r="AL17" s="4" t="s">
        <v>74</v>
      </c>
      <c r="AM17" s="4">
        <v>2.2999999999999998</v>
      </c>
      <c r="AN17" s="4">
        <v>161</v>
      </c>
      <c r="AO17" s="4" t="s">
        <v>75</v>
      </c>
      <c r="AP17" s="4">
        <v>10.4</v>
      </c>
      <c r="AQ17" s="4">
        <v>31.4</v>
      </c>
      <c r="AR17" s="4">
        <v>2.99</v>
      </c>
      <c r="AS17" s="4">
        <v>12.2</v>
      </c>
      <c r="AT17" s="4">
        <v>2.7</v>
      </c>
      <c r="AU17" s="4">
        <v>0.8</v>
      </c>
      <c r="AV17" s="4">
        <v>2.6</v>
      </c>
      <c r="AW17" s="4">
        <v>0.4</v>
      </c>
      <c r="AX17" s="4">
        <v>2.6</v>
      </c>
      <c r="AY17" s="4">
        <v>0.6</v>
      </c>
      <c r="AZ17" s="4">
        <v>1.7</v>
      </c>
      <c r="BA17" s="4">
        <v>0.26</v>
      </c>
      <c r="BB17" s="4">
        <v>1.8</v>
      </c>
      <c r="BC17" s="4">
        <v>0.28999999999999998</v>
      </c>
      <c r="BD17" s="4">
        <v>3</v>
      </c>
      <c r="BE17" s="4">
        <v>0.2</v>
      </c>
      <c r="BF17" s="4">
        <v>2</v>
      </c>
      <c r="BG17" s="4" t="s">
        <v>79</v>
      </c>
      <c r="BH17" s="4">
        <v>9</v>
      </c>
      <c r="BI17" s="4">
        <v>2.6</v>
      </c>
      <c r="BJ17" s="4">
        <v>1.2</v>
      </c>
      <c r="BK17" s="39">
        <f t="shared" si="1"/>
        <v>96.229885057471265</v>
      </c>
    </row>
    <row r="18" spans="1:63" x14ac:dyDescent="0.2">
      <c r="A18" s="2" t="s">
        <v>125</v>
      </c>
      <c r="B18" s="2" t="s">
        <v>421</v>
      </c>
      <c r="C18" s="7">
        <v>500</v>
      </c>
      <c r="D18" s="7">
        <v>600</v>
      </c>
      <c r="E18" s="4">
        <f t="shared" si="0"/>
        <v>550</v>
      </c>
      <c r="F18" s="4">
        <v>57.81</v>
      </c>
      <c r="G18" s="4">
        <v>20.46</v>
      </c>
      <c r="H18" s="4">
        <v>9.19</v>
      </c>
      <c r="I18" s="4">
        <v>0.17100000000000001</v>
      </c>
      <c r="J18" s="4">
        <v>1.1299999999999999</v>
      </c>
      <c r="K18" s="4">
        <v>0.02</v>
      </c>
      <c r="L18" s="4">
        <v>0.08</v>
      </c>
      <c r="M18" s="4">
        <v>0.97</v>
      </c>
      <c r="N18" s="4">
        <v>0.70699999999999996</v>
      </c>
      <c r="O18" s="4">
        <v>0.05</v>
      </c>
      <c r="P18" s="4">
        <v>9.5500000000000007</v>
      </c>
      <c r="Q18" s="4">
        <v>100.1</v>
      </c>
      <c r="R18" s="4">
        <v>28</v>
      </c>
      <c r="S18" s="4">
        <v>2</v>
      </c>
      <c r="T18" s="4">
        <v>118</v>
      </c>
      <c r="U18" s="4" t="s">
        <v>69</v>
      </c>
      <c r="V18" s="4">
        <v>39</v>
      </c>
      <c r="W18" s="4" t="s">
        <v>69</v>
      </c>
      <c r="X18" s="4">
        <v>60</v>
      </c>
      <c r="Y18" s="4">
        <v>80</v>
      </c>
      <c r="Z18" s="4">
        <v>20</v>
      </c>
      <c r="AA18" s="4">
        <v>1</v>
      </c>
      <c r="AB18" s="4" t="s">
        <v>71</v>
      </c>
      <c r="AC18" s="4">
        <v>58</v>
      </c>
      <c r="AD18" s="4">
        <v>3</v>
      </c>
      <c r="AE18" s="4">
        <v>11</v>
      </c>
      <c r="AF18" s="4">
        <v>145</v>
      </c>
      <c r="AG18" s="4">
        <v>4</v>
      </c>
      <c r="AH18" s="4" t="s">
        <v>72</v>
      </c>
      <c r="AI18" s="4">
        <v>1</v>
      </c>
      <c r="AJ18" s="4" t="s">
        <v>73</v>
      </c>
      <c r="AK18" s="4" t="s">
        <v>68</v>
      </c>
      <c r="AL18" s="4" t="s">
        <v>74</v>
      </c>
      <c r="AM18" s="4">
        <v>3.9</v>
      </c>
      <c r="AN18" s="4">
        <v>262</v>
      </c>
      <c r="AO18" s="4" t="s">
        <v>75</v>
      </c>
      <c r="AP18" s="4">
        <v>9</v>
      </c>
      <c r="AQ18" s="4">
        <v>26.1</v>
      </c>
      <c r="AR18" s="4">
        <v>2.65</v>
      </c>
      <c r="AS18" s="4">
        <v>11.1</v>
      </c>
      <c r="AT18" s="4">
        <v>2.5</v>
      </c>
      <c r="AU18" s="4">
        <v>0.74</v>
      </c>
      <c r="AV18" s="4">
        <v>2.4</v>
      </c>
      <c r="AW18" s="4">
        <v>0.4</v>
      </c>
      <c r="AX18" s="4">
        <v>2.2999999999999998</v>
      </c>
      <c r="AY18" s="4">
        <v>0.5</v>
      </c>
      <c r="AZ18" s="4">
        <v>1.5</v>
      </c>
      <c r="BA18" s="4">
        <v>0.23</v>
      </c>
      <c r="BB18" s="4">
        <v>1.6</v>
      </c>
      <c r="BC18" s="4">
        <v>0.28000000000000003</v>
      </c>
      <c r="BD18" s="4">
        <v>3.4</v>
      </c>
      <c r="BE18" s="4">
        <v>0.2</v>
      </c>
      <c r="BF18" s="4" t="s">
        <v>68</v>
      </c>
      <c r="BG18" s="4" t="s">
        <v>79</v>
      </c>
      <c r="BH18" s="4">
        <v>9</v>
      </c>
      <c r="BI18" s="4">
        <v>2.8</v>
      </c>
      <c r="BJ18" s="4">
        <v>1</v>
      </c>
      <c r="BK18" s="39">
        <f t="shared" si="1"/>
        <v>95.030190431955418</v>
      </c>
    </row>
    <row r="19" spans="1:63" x14ac:dyDescent="0.2">
      <c r="A19" s="2" t="s">
        <v>126</v>
      </c>
      <c r="B19" s="2" t="s">
        <v>421</v>
      </c>
      <c r="C19" s="7">
        <v>600</v>
      </c>
      <c r="D19" s="7">
        <v>700</v>
      </c>
      <c r="E19" s="4">
        <f t="shared" si="0"/>
        <v>650</v>
      </c>
      <c r="F19" s="4">
        <v>56.82</v>
      </c>
      <c r="G19" s="4">
        <v>20.99</v>
      </c>
      <c r="H19" s="4">
        <v>9.94</v>
      </c>
      <c r="I19" s="4">
        <v>0.18</v>
      </c>
      <c r="J19" s="4">
        <v>0.99</v>
      </c>
      <c r="K19" s="4">
        <v>0.01</v>
      </c>
      <c r="L19" s="4">
        <v>0.05</v>
      </c>
      <c r="M19" s="4">
        <v>0.84</v>
      </c>
      <c r="N19" s="4">
        <v>0.749</v>
      </c>
      <c r="O19" s="4">
        <v>0.06</v>
      </c>
      <c r="P19" s="4">
        <v>10.119999999999999</v>
      </c>
      <c r="Q19" s="4">
        <v>100.8</v>
      </c>
      <c r="R19" s="4">
        <v>32</v>
      </c>
      <c r="S19" s="4">
        <v>3</v>
      </c>
      <c r="T19" s="4">
        <v>139</v>
      </c>
      <c r="U19" s="4">
        <v>30</v>
      </c>
      <c r="V19" s="4">
        <v>31</v>
      </c>
      <c r="W19" s="4" t="s">
        <v>69</v>
      </c>
      <c r="X19" s="4">
        <v>70</v>
      </c>
      <c r="Y19" s="4">
        <v>80</v>
      </c>
      <c r="Z19" s="4">
        <v>20</v>
      </c>
      <c r="AA19" s="4">
        <v>1</v>
      </c>
      <c r="AB19" s="4" t="s">
        <v>71</v>
      </c>
      <c r="AC19" s="4">
        <v>48</v>
      </c>
      <c r="AD19" s="4">
        <v>4</v>
      </c>
      <c r="AE19" s="4">
        <v>12</v>
      </c>
      <c r="AF19" s="4">
        <v>119</v>
      </c>
      <c r="AG19" s="4">
        <v>3</v>
      </c>
      <c r="AH19" s="4" t="s">
        <v>72</v>
      </c>
      <c r="AI19" s="4">
        <v>0.8</v>
      </c>
      <c r="AJ19" s="4" t="s">
        <v>73</v>
      </c>
      <c r="AK19" s="4">
        <v>1</v>
      </c>
      <c r="AL19" s="4" t="s">
        <v>74</v>
      </c>
      <c r="AM19" s="4">
        <v>2.4</v>
      </c>
      <c r="AN19" s="4">
        <v>244</v>
      </c>
      <c r="AO19" s="4" t="s">
        <v>75</v>
      </c>
      <c r="AP19" s="4">
        <v>9.5</v>
      </c>
      <c r="AQ19" s="4">
        <v>27.8</v>
      </c>
      <c r="AR19" s="4">
        <v>2.81</v>
      </c>
      <c r="AS19" s="4">
        <v>11.7</v>
      </c>
      <c r="AT19" s="4">
        <v>2.7</v>
      </c>
      <c r="AU19" s="4">
        <v>0.88</v>
      </c>
      <c r="AV19" s="4">
        <v>2.7</v>
      </c>
      <c r="AW19" s="4">
        <v>0.4</v>
      </c>
      <c r="AX19" s="4">
        <v>2.8</v>
      </c>
      <c r="AY19" s="4">
        <v>0.6</v>
      </c>
      <c r="AZ19" s="4">
        <v>1.7</v>
      </c>
      <c r="BA19" s="4">
        <v>0.25</v>
      </c>
      <c r="BB19" s="4">
        <v>1.8</v>
      </c>
      <c r="BC19" s="4">
        <v>0.28999999999999998</v>
      </c>
      <c r="BD19" s="4">
        <v>3</v>
      </c>
      <c r="BE19" s="4">
        <v>0.2</v>
      </c>
      <c r="BF19" s="4" t="s">
        <v>68</v>
      </c>
      <c r="BG19" s="4" t="s">
        <v>79</v>
      </c>
      <c r="BH19" s="4">
        <v>10</v>
      </c>
      <c r="BI19" s="4">
        <v>3.1</v>
      </c>
      <c r="BJ19" s="4">
        <v>1</v>
      </c>
      <c r="BK19" s="39">
        <f t="shared" si="1"/>
        <v>95.888533576975789</v>
      </c>
    </row>
    <row r="20" spans="1:63" ht="14" customHeight="1" x14ac:dyDescent="0.2">
      <c r="A20" s="2" t="s">
        <v>127</v>
      </c>
      <c r="B20" s="2" t="s">
        <v>421</v>
      </c>
      <c r="C20" s="7">
        <v>700</v>
      </c>
      <c r="D20" s="7">
        <v>800</v>
      </c>
      <c r="E20" s="4">
        <f t="shared" si="0"/>
        <v>750</v>
      </c>
      <c r="F20" s="4">
        <v>57.67</v>
      </c>
      <c r="G20" s="4">
        <v>19.829999999999998</v>
      </c>
      <c r="H20" s="4">
        <v>8.9600000000000009</v>
      </c>
      <c r="I20" s="4">
        <v>0.16800000000000001</v>
      </c>
      <c r="J20" s="4">
        <v>1.25</v>
      </c>
      <c r="K20" s="4">
        <v>0.03</v>
      </c>
      <c r="L20" s="4">
        <v>0.06</v>
      </c>
      <c r="M20" s="4">
        <v>1.01</v>
      </c>
      <c r="N20" s="4">
        <v>0.74</v>
      </c>
      <c r="O20" s="4">
        <v>0.05</v>
      </c>
      <c r="P20" s="4">
        <v>9.59</v>
      </c>
      <c r="Q20" s="4">
        <v>99.36</v>
      </c>
      <c r="R20" s="4">
        <v>26</v>
      </c>
      <c r="S20" s="4">
        <v>3</v>
      </c>
      <c r="T20" s="4">
        <v>120</v>
      </c>
      <c r="U20" s="4">
        <v>20</v>
      </c>
      <c r="V20" s="4">
        <v>27</v>
      </c>
      <c r="W20" s="4" t="s">
        <v>69</v>
      </c>
      <c r="X20" s="4">
        <v>50</v>
      </c>
      <c r="Y20" s="4">
        <v>90</v>
      </c>
      <c r="Z20" s="4">
        <v>20</v>
      </c>
      <c r="AA20" s="4">
        <v>1</v>
      </c>
      <c r="AB20" s="4" t="s">
        <v>71</v>
      </c>
      <c r="AC20" s="4">
        <v>61</v>
      </c>
      <c r="AD20" s="4">
        <v>8</v>
      </c>
      <c r="AE20" s="4">
        <v>14</v>
      </c>
      <c r="AF20" s="4">
        <v>148</v>
      </c>
      <c r="AG20" s="4">
        <v>4</v>
      </c>
      <c r="AH20" s="4" t="s">
        <v>72</v>
      </c>
      <c r="AI20" s="4">
        <v>0.7</v>
      </c>
      <c r="AJ20" s="4" t="s">
        <v>73</v>
      </c>
      <c r="AK20" s="4">
        <v>1</v>
      </c>
      <c r="AL20" s="4" t="s">
        <v>74</v>
      </c>
      <c r="AM20" s="4">
        <v>2</v>
      </c>
      <c r="AN20" s="4">
        <v>285</v>
      </c>
      <c r="AO20" s="4" t="s">
        <v>75</v>
      </c>
      <c r="AP20" s="4">
        <v>10.4</v>
      </c>
      <c r="AQ20" s="4">
        <v>24.5</v>
      </c>
      <c r="AR20" s="4">
        <v>2.8</v>
      </c>
      <c r="AS20" s="4">
        <v>11.7</v>
      </c>
      <c r="AT20" s="4">
        <v>2.8</v>
      </c>
      <c r="AU20" s="4">
        <v>0.9</v>
      </c>
      <c r="AV20" s="4">
        <v>2.8</v>
      </c>
      <c r="AW20" s="4">
        <v>0.5</v>
      </c>
      <c r="AX20" s="4">
        <v>3</v>
      </c>
      <c r="AY20" s="4">
        <v>0.6</v>
      </c>
      <c r="AZ20" s="4">
        <v>1.7</v>
      </c>
      <c r="BA20" s="4">
        <v>0.26</v>
      </c>
      <c r="BB20" s="4">
        <v>1.8</v>
      </c>
      <c r="BC20" s="4">
        <v>0.3</v>
      </c>
      <c r="BD20" s="4">
        <v>3.6</v>
      </c>
      <c r="BE20" s="4">
        <v>0.3</v>
      </c>
      <c r="BF20" s="4" t="s">
        <v>68</v>
      </c>
      <c r="BG20" s="4">
        <v>0.1</v>
      </c>
      <c r="BH20" s="4">
        <v>9</v>
      </c>
      <c r="BI20" s="4">
        <v>2.9</v>
      </c>
      <c r="BJ20" s="4">
        <v>0.9</v>
      </c>
      <c r="BK20" s="39">
        <f t="shared" si="1"/>
        <v>94.744386048733858</v>
      </c>
    </row>
    <row r="21" spans="1:63" x14ac:dyDescent="0.2">
      <c r="A21" s="2" t="s">
        <v>454</v>
      </c>
      <c r="B21" s="2"/>
      <c r="C21" s="2"/>
      <c r="D21" s="2"/>
      <c r="E21" s="2">
        <v>1500</v>
      </c>
      <c r="F21" s="4">
        <v>76.819999999999993</v>
      </c>
      <c r="G21" s="4">
        <v>13.74</v>
      </c>
      <c r="H21" s="4">
        <v>1.01</v>
      </c>
      <c r="I21" s="4">
        <v>1.6E-2</v>
      </c>
      <c r="J21" s="4">
        <v>0.09</v>
      </c>
      <c r="K21" s="4">
        <v>3.37</v>
      </c>
      <c r="L21" s="4">
        <v>3.91</v>
      </c>
      <c r="M21" s="4">
        <v>0.92</v>
      </c>
      <c r="N21" s="4">
        <v>2.7E-2</v>
      </c>
      <c r="O21" s="4" t="s">
        <v>94</v>
      </c>
      <c r="P21" s="4">
        <v>0.89</v>
      </c>
      <c r="Q21" s="4">
        <v>100.8</v>
      </c>
      <c r="R21" s="4" t="s">
        <v>68</v>
      </c>
      <c r="S21" s="4">
        <v>1</v>
      </c>
      <c r="T21" s="4">
        <v>7</v>
      </c>
      <c r="U21" s="4" t="s">
        <v>69</v>
      </c>
      <c r="V21" s="4">
        <v>3</v>
      </c>
      <c r="W21" s="4" t="s">
        <v>69</v>
      </c>
      <c r="X21" s="4">
        <v>60</v>
      </c>
      <c r="Y21" s="4" t="s">
        <v>70</v>
      </c>
      <c r="Z21" s="4">
        <v>11</v>
      </c>
      <c r="AA21" s="4" t="s">
        <v>68</v>
      </c>
      <c r="AB21" s="4" t="s">
        <v>71</v>
      </c>
      <c r="AC21" s="4">
        <v>25</v>
      </c>
      <c r="AD21" s="4">
        <v>431</v>
      </c>
      <c r="AE21" s="4">
        <v>2</v>
      </c>
      <c r="AF21" s="4">
        <v>59</v>
      </c>
      <c r="AG21" s="4" t="s">
        <v>68</v>
      </c>
      <c r="AH21" s="4" t="s">
        <v>72</v>
      </c>
      <c r="AI21" s="4" t="s">
        <v>74</v>
      </c>
      <c r="AJ21" s="4" t="s">
        <v>73</v>
      </c>
      <c r="AK21" s="4" t="s">
        <v>68</v>
      </c>
      <c r="AL21" s="4" t="s">
        <v>74</v>
      </c>
      <c r="AM21" s="4" t="s">
        <v>74</v>
      </c>
      <c r="AN21" s="4">
        <v>113</v>
      </c>
      <c r="AO21" s="4" t="s">
        <v>75</v>
      </c>
      <c r="AP21" s="4">
        <v>2.5</v>
      </c>
      <c r="AQ21" s="4">
        <v>4.0999999999999996</v>
      </c>
      <c r="AR21" s="4">
        <v>0.4</v>
      </c>
      <c r="AS21" s="4">
        <v>1.4</v>
      </c>
      <c r="AT21" s="4">
        <v>0.2</v>
      </c>
      <c r="AU21" s="4">
        <v>0.37</v>
      </c>
      <c r="AV21" s="4">
        <v>0.2</v>
      </c>
      <c r="AW21" s="4">
        <v>0</v>
      </c>
      <c r="AX21" s="4">
        <v>0.2</v>
      </c>
      <c r="AY21" s="4">
        <v>0</v>
      </c>
      <c r="AZ21" s="4">
        <v>0.1</v>
      </c>
      <c r="BA21" s="4">
        <v>0</v>
      </c>
      <c r="BB21" s="4">
        <v>0.3</v>
      </c>
      <c r="BC21" s="4">
        <v>0.05</v>
      </c>
      <c r="BD21" s="4">
        <v>2</v>
      </c>
      <c r="BE21" s="4" t="s">
        <v>79</v>
      </c>
      <c r="BF21" s="4" t="s">
        <v>68</v>
      </c>
      <c r="BG21" s="4">
        <v>0.1</v>
      </c>
      <c r="BH21" s="4">
        <v>6</v>
      </c>
      <c r="BI21" s="4">
        <v>0.7</v>
      </c>
      <c r="BJ21" s="4">
        <v>0.3</v>
      </c>
      <c r="BK21" s="39">
        <f t="shared" si="1"/>
        <v>62.625341841385591</v>
      </c>
    </row>
    <row r="22" spans="1:63" x14ac:dyDescent="0.2">
      <c r="A22" s="2" t="s">
        <v>455</v>
      </c>
      <c r="B22" s="2"/>
      <c r="C22" s="2"/>
      <c r="D22" s="2"/>
      <c r="E22" s="2">
        <v>1500</v>
      </c>
      <c r="F22" s="4">
        <v>69.12</v>
      </c>
      <c r="G22" s="4">
        <v>15.87</v>
      </c>
      <c r="H22" s="4">
        <v>2.4500000000000002</v>
      </c>
      <c r="I22" s="4">
        <v>6.2E-2</v>
      </c>
      <c r="J22" s="4">
        <v>1.1100000000000001</v>
      </c>
      <c r="K22" s="4">
        <v>2.27</v>
      </c>
      <c r="L22" s="4">
        <v>4.8</v>
      </c>
      <c r="M22" s="4">
        <v>3.17</v>
      </c>
      <c r="N22" s="4">
        <v>0.25700000000000001</v>
      </c>
      <c r="O22" s="4">
        <v>0.06</v>
      </c>
      <c r="P22" s="4">
        <v>0.37</v>
      </c>
      <c r="Q22" s="4">
        <v>99.53</v>
      </c>
      <c r="R22" s="4">
        <v>4</v>
      </c>
      <c r="S22" s="4">
        <v>2</v>
      </c>
      <c r="T22" s="4">
        <v>25</v>
      </c>
      <c r="U22" s="4">
        <v>190</v>
      </c>
      <c r="V22" s="4">
        <v>4</v>
      </c>
      <c r="W22" s="4">
        <v>40</v>
      </c>
      <c r="X22" s="4">
        <v>30</v>
      </c>
      <c r="Y22" s="4">
        <v>50</v>
      </c>
      <c r="Z22" s="4">
        <v>16</v>
      </c>
      <c r="AA22" s="4">
        <v>1</v>
      </c>
      <c r="AB22" s="4" t="s">
        <v>71</v>
      </c>
      <c r="AC22" s="4">
        <v>95</v>
      </c>
      <c r="AD22" s="4">
        <v>452</v>
      </c>
      <c r="AE22" s="4">
        <v>14</v>
      </c>
      <c r="AF22" s="4">
        <v>157</v>
      </c>
      <c r="AG22" s="4">
        <v>4</v>
      </c>
      <c r="AH22" s="4">
        <v>4</v>
      </c>
      <c r="AI22" s="4" t="s">
        <v>74</v>
      </c>
      <c r="AJ22" s="4" t="s">
        <v>73</v>
      </c>
      <c r="AK22" s="4">
        <v>1</v>
      </c>
      <c r="AL22" s="4" t="s">
        <v>74</v>
      </c>
      <c r="AM22" s="4">
        <v>1.8</v>
      </c>
      <c r="AN22" s="4">
        <v>667</v>
      </c>
      <c r="AO22" s="4" t="s">
        <v>75</v>
      </c>
      <c r="AP22" s="4">
        <v>15.6</v>
      </c>
      <c r="AQ22" s="4">
        <v>32.700000000000003</v>
      </c>
      <c r="AR22" s="4">
        <v>3.6</v>
      </c>
      <c r="AS22" s="4">
        <v>13.5</v>
      </c>
      <c r="AT22" s="4">
        <v>2.5</v>
      </c>
      <c r="AU22" s="4">
        <v>0.63</v>
      </c>
      <c r="AV22" s="4">
        <v>2.2999999999999998</v>
      </c>
      <c r="AW22" s="4">
        <v>0.4</v>
      </c>
      <c r="AX22" s="4">
        <v>2.4</v>
      </c>
      <c r="AY22" s="4">
        <v>0.5</v>
      </c>
      <c r="AZ22" s="4">
        <v>1.6</v>
      </c>
      <c r="BA22" s="4">
        <v>0.28000000000000003</v>
      </c>
      <c r="BB22" s="4">
        <v>2</v>
      </c>
      <c r="BC22" s="4">
        <v>0.33</v>
      </c>
      <c r="BD22" s="4">
        <v>4.7</v>
      </c>
      <c r="BE22" s="4">
        <v>0.6</v>
      </c>
      <c r="BF22" s="4" t="s">
        <v>68</v>
      </c>
      <c r="BG22" s="4">
        <v>0.3</v>
      </c>
      <c r="BH22" s="4">
        <v>15</v>
      </c>
      <c r="BI22" s="4">
        <v>5.9</v>
      </c>
      <c r="BJ22" s="4">
        <v>1.6</v>
      </c>
      <c r="BK22" s="39">
        <f t="shared" si="1"/>
        <v>60.781309842972043</v>
      </c>
    </row>
    <row r="24" spans="1:63" x14ac:dyDescent="0.2">
      <c r="A24" s="7" t="s">
        <v>499</v>
      </c>
    </row>
    <row r="25" spans="1:63" x14ac:dyDescent="0.2">
      <c r="AE25" s="260" t="s">
        <v>660</v>
      </c>
      <c r="AG25" s="260" t="s">
        <v>661</v>
      </c>
      <c r="AM25" s="260" t="s">
        <v>657</v>
      </c>
      <c r="AP25" t="str">
        <f>AP3</f>
        <v>La</v>
      </c>
      <c r="AQ25" t="str">
        <f t="shared" ref="AQ25:BC25" si="2">AQ3</f>
        <v>Ce</v>
      </c>
      <c r="AR25" t="str">
        <f t="shared" si="2"/>
        <v>Pr</v>
      </c>
      <c r="AS25" t="str">
        <f t="shared" si="2"/>
        <v>Nd</v>
      </c>
      <c r="AT25" t="str">
        <f t="shared" si="2"/>
        <v>Sm</v>
      </c>
      <c r="AU25" t="str">
        <f t="shared" si="2"/>
        <v>Eu</v>
      </c>
      <c r="AV25" t="str">
        <f t="shared" si="2"/>
        <v>Gd</v>
      </c>
      <c r="AW25" t="str">
        <f t="shared" si="2"/>
        <v>Tb</v>
      </c>
      <c r="AX25" t="str">
        <f t="shared" si="2"/>
        <v>Dy</v>
      </c>
      <c r="AY25" t="str">
        <f t="shared" si="2"/>
        <v>Ho</v>
      </c>
      <c r="AZ25" t="str">
        <f t="shared" si="2"/>
        <v>Er</v>
      </c>
      <c r="BA25" t="str">
        <f t="shared" si="2"/>
        <v>Tm</v>
      </c>
      <c r="BB25" t="str">
        <f t="shared" si="2"/>
        <v>Yb</v>
      </c>
      <c r="BC25" t="str">
        <f t="shared" si="2"/>
        <v>Lu</v>
      </c>
      <c r="BD25" s="16" t="s">
        <v>441</v>
      </c>
      <c r="BE25" t="s">
        <v>625</v>
      </c>
      <c r="BF25" t="s">
        <v>626</v>
      </c>
      <c r="BH25" s="260" t="s">
        <v>648</v>
      </c>
    </row>
    <row r="26" spans="1:63" x14ac:dyDescent="0.2">
      <c r="AE26" s="352">
        <v>1.56</v>
      </c>
      <c r="AG26" s="351">
        <v>5.5599999999999997E-2</v>
      </c>
      <c r="AO26" s="11" t="s">
        <v>440</v>
      </c>
      <c r="AP26" s="12">
        <v>0.36699999999999999</v>
      </c>
      <c r="AQ26" s="12">
        <v>0.95699999999999996</v>
      </c>
      <c r="AR26" s="12">
        <v>0.13700000000000001</v>
      </c>
      <c r="AS26" s="12">
        <v>0.71099999999999997</v>
      </c>
      <c r="AT26" s="12">
        <v>0.23100000000000001</v>
      </c>
      <c r="AU26" s="12">
        <v>8.6999999999999994E-2</v>
      </c>
      <c r="AV26" s="12">
        <v>0.30599999999999999</v>
      </c>
      <c r="AW26" s="12">
        <v>5.8000000000000003E-2</v>
      </c>
      <c r="AX26" s="12">
        <v>0.38100000000000001</v>
      </c>
      <c r="AY26" s="12">
        <v>8.5000000000000006E-2</v>
      </c>
      <c r="AZ26" s="12">
        <v>0.249</v>
      </c>
      <c r="BA26" s="12">
        <v>3.5999999999999997E-2</v>
      </c>
      <c r="BB26" s="12">
        <v>0.248</v>
      </c>
      <c r="BC26" s="12">
        <v>3.7999999999999999E-2</v>
      </c>
      <c r="BD26" s="308">
        <f>SUM(AP26:BC26)</f>
        <v>3.8909999999999996</v>
      </c>
      <c r="BF26" s="39"/>
    </row>
    <row r="27" spans="1:63" ht="17" x14ac:dyDescent="0.25">
      <c r="A27" t="s">
        <v>469</v>
      </c>
      <c r="B27" t="s">
        <v>466</v>
      </c>
      <c r="C27" t="s">
        <v>467</v>
      </c>
      <c r="D27" t="s">
        <v>468</v>
      </c>
      <c r="E27" s="260" t="s">
        <v>622</v>
      </c>
      <c r="F27" s="260" t="s">
        <v>623</v>
      </c>
      <c r="G27" s="260" t="s">
        <v>5</v>
      </c>
      <c r="H27" s="293" t="s">
        <v>620</v>
      </c>
      <c r="I27" s="260" t="s">
        <v>7</v>
      </c>
      <c r="J27" s="260" t="s">
        <v>8</v>
      </c>
      <c r="K27" s="260" t="s">
        <v>9</v>
      </c>
      <c r="L27" s="260" t="s">
        <v>10</v>
      </c>
      <c r="M27" s="260" t="s">
        <v>11</v>
      </c>
      <c r="N27" s="293" t="s">
        <v>621</v>
      </c>
      <c r="O27" s="260" t="s">
        <v>624</v>
      </c>
      <c r="AE27" s="309">
        <f t="shared" ref="AE27:AE40" si="3">AE7/AE$26</f>
        <v>2.5641025641025639</v>
      </c>
      <c r="AG27">
        <f>AY7/AG$26</f>
        <v>3.5971223021582737</v>
      </c>
      <c r="AM27">
        <f>AE27/AG27</f>
        <v>0.71282051282051273</v>
      </c>
      <c r="AO27" s="310">
        <f t="shared" ref="AO27:AO40" si="4">E7</f>
        <v>1</v>
      </c>
      <c r="AP27" s="309">
        <f>AP7/AP$26</f>
        <v>13.623978201634877</v>
      </c>
      <c r="AQ27" s="309">
        <f t="shared" ref="AQ27:BC27" si="5">AQ7/AQ$26</f>
        <v>9.9268547544409618</v>
      </c>
      <c r="AR27" s="309">
        <f t="shared" si="5"/>
        <v>8.0291970802919703</v>
      </c>
      <c r="AS27" s="309">
        <f t="shared" si="5"/>
        <v>5.485232067510549</v>
      </c>
      <c r="AT27" s="309">
        <f t="shared" si="5"/>
        <v>3.4632034632034632</v>
      </c>
      <c r="AU27" s="309">
        <f t="shared" si="5"/>
        <v>1.8390804597701151</v>
      </c>
      <c r="AV27" s="309">
        <f t="shared" si="5"/>
        <v>1.9607843137254901</v>
      </c>
      <c r="AW27" s="309">
        <f t="shared" si="5"/>
        <v>1.7241379310344829</v>
      </c>
      <c r="AX27" s="309">
        <f t="shared" si="5"/>
        <v>2.0997375328083989</v>
      </c>
      <c r="AY27" s="309">
        <f t="shared" si="5"/>
        <v>2.3529411764705883</v>
      </c>
      <c r="AZ27" s="309">
        <f t="shared" si="5"/>
        <v>2.4096385542168672</v>
      </c>
      <c r="BA27" s="309">
        <f t="shared" si="5"/>
        <v>2.5</v>
      </c>
      <c r="BB27" s="309">
        <f t="shared" si="5"/>
        <v>2.82258064516129</v>
      </c>
      <c r="BC27" s="309">
        <f t="shared" si="5"/>
        <v>3.4210526315789478</v>
      </c>
      <c r="BD27" s="308">
        <f>SUM(AP7:BC7)</f>
        <v>23.680000000000003</v>
      </c>
      <c r="BE27" s="39">
        <f t="shared" ref="BE27:BE40" si="6">AQ7/(AP7+AQ7)</f>
        <v>0.65517241379310343</v>
      </c>
      <c r="BF27" s="39">
        <f>G7+H7+P7</f>
        <v>15.85</v>
      </c>
      <c r="BH27" s="333">
        <f>3*AQ27/(2*AP27+AS27)</f>
        <v>0.9097972319411195</v>
      </c>
    </row>
    <row r="28" spans="1:63" ht="16" x14ac:dyDescent="0.2">
      <c r="A28" t="str">
        <f>A7</f>
        <v xml:space="preserve">R7P2EA01 </v>
      </c>
      <c r="B28" s="25">
        <f>100*G7/(G7+K7+L7)</f>
        <v>92.470588235294116</v>
      </c>
      <c r="C28" s="25">
        <f>100*G7/(G7+K7+M7+L7)</f>
        <v>72.64325323475046</v>
      </c>
      <c r="D28" s="25">
        <f>100*((2*L7/0.35)+(J7/0.9)+(2*M7/0.25)+(K7/0.7))</f>
        <v>1032.9206349206349</v>
      </c>
      <c r="E28" s="303">
        <f t="shared" ref="E28:O41" si="7">((F7/F$20)*($N$20/$N7))-1</f>
        <v>2.6994082941752797</v>
      </c>
      <c r="F28" s="303">
        <f t="shared" ref="F28:O28" si="8">((G7/G$20)*($N$20/$N7))-1</f>
        <v>-0.48177886594355901</v>
      </c>
      <c r="G28" s="303">
        <f t="shared" si="8"/>
        <v>-0.17118879353861693</v>
      </c>
      <c r="H28" s="303">
        <f t="shared" si="8"/>
        <v>2.7258960121151032E-2</v>
      </c>
      <c r="I28" s="303">
        <f t="shared" si="8"/>
        <v>-0.85356890459363954</v>
      </c>
      <c r="J28" s="303">
        <f t="shared" si="8"/>
        <v>16.432273262661958</v>
      </c>
      <c r="K28" s="303">
        <f t="shared" si="8"/>
        <v>4.2296819787985873</v>
      </c>
      <c r="L28" s="303">
        <f t="shared" si="8"/>
        <v>2.0031837105972081</v>
      </c>
      <c r="M28" s="303">
        <f t="shared" si="8"/>
        <v>0</v>
      </c>
      <c r="N28" s="303">
        <f t="shared" si="8"/>
        <v>-0.94770318021201416</v>
      </c>
      <c r="O28" s="303">
        <f t="shared" si="8"/>
        <v>1.4757827094625222</v>
      </c>
      <c r="AE28" s="309">
        <f t="shared" si="3"/>
        <v>3.8461538461538458</v>
      </c>
      <c r="AG28">
        <f t="shared" ref="AG28:AG40" si="9">AY8/AG$26</f>
        <v>3.5971223021582737</v>
      </c>
      <c r="AM28">
        <f t="shared" ref="AM28:AM40" si="10">AE28/AG28</f>
        <v>1.069230769230769</v>
      </c>
      <c r="AO28" s="310">
        <f t="shared" si="4"/>
        <v>5.5</v>
      </c>
      <c r="AP28" s="309">
        <f t="shared" ref="AP28:BC28" si="11">AP8/AP$26</f>
        <v>14.986376021798366</v>
      </c>
      <c r="AQ28" s="309">
        <f t="shared" si="11"/>
        <v>12.33019853709509</v>
      </c>
      <c r="AR28" s="309">
        <f t="shared" si="11"/>
        <v>8.9781021897810209</v>
      </c>
      <c r="AS28" s="309">
        <f t="shared" si="11"/>
        <v>6.3291139240506329</v>
      </c>
      <c r="AT28" s="309">
        <f t="shared" si="11"/>
        <v>3.4632034632034632</v>
      </c>
      <c r="AU28" s="309">
        <f t="shared" si="11"/>
        <v>2.1839080459770117</v>
      </c>
      <c r="AV28" s="309">
        <f t="shared" si="11"/>
        <v>2.9411764705882355</v>
      </c>
      <c r="AW28" s="309">
        <f t="shared" si="11"/>
        <v>3.4482758620689657</v>
      </c>
      <c r="AX28" s="309">
        <f t="shared" si="11"/>
        <v>2.6246719160104988</v>
      </c>
      <c r="AY28" s="309">
        <f t="shared" si="11"/>
        <v>2.3529411764705883</v>
      </c>
      <c r="AZ28" s="309">
        <f t="shared" si="11"/>
        <v>2.8112449799196786</v>
      </c>
      <c r="BA28" s="309">
        <f t="shared" si="11"/>
        <v>3.6111111111111116</v>
      </c>
      <c r="BB28" s="309">
        <f t="shared" si="11"/>
        <v>4.435483870967742</v>
      </c>
      <c r="BC28" s="309">
        <f t="shared" si="11"/>
        <v>5.2631578947368425</v>
      </c>
      <c r="BD28" s="308">
        <f t="shared" ref="BD28:BD39" si="12">SUM(AP8:BC8)</f>
        <v>28.45</v>
      </c>
      <c r="BE28" s="257">
        <f t="shared" si="6"/>
        <v>0.68208092485549132</v>
      </c>
      <c r="BF28" s="39">
        <f t="shared" ref="BF28:BF40" si="13">G8+H8+P8</f>
        <v>12.34</v>
      </c>
      <c r="BH28" s="333">
        <f t="shared" ref="BH28:BH40" si="14">3*AQ28/(2*AP28+AS28)</f>
        <v>1.01897229316674</v>
      </c>
    </row>
    <row r="29" spans="1:63" ht="16" x14ac:dyDescent="0.2">
      <c r="A29" t="str">
        <f t="shared" ref="A29:A43" si="15">A8</f>
        <v xml:space="preserve">R7P2EA02 </v>
      </c>
      <c r="B29" s="25">
        <f t="shared" ref="B29:B43" si="16">100*G8/(G8+K8+L8)</f>
        <v>96.613190730837786</v>
      </c>
      <c r="C29" s="25">
        <f t="shared" ref="C29:C43" si="17">100*G8/(G8+K8+M8+L8)</f>
        <v>75.592747559274741</v>
      </c>
      <c r="D29" s="25">
        <f t="shared" ref="D29:D43" si="18">100*((2*L8/0.35)+(J8/0.9)+(2*M8/0.25)+(K8/0.7))</f>
        <v>1333.2380952380954</v>
      </c>
      <c r="E29" s="303">
        <f t="shared" si="7"/>
        <v>1.6905733631638382</v>
      </c>
      <c r="F29" s="303">
        <f t="shared" si="7"/>
        <v>-0.50668487017699215</v>
      </c>
      <c r="G29" s="303">
        <f t="shared" si="7"/>
        <v>-0.26475391986062724</v>
      </c>
      <c r="H29" s="303">
        <f t="shared" si="7"/>
        <v>-0.49506387921022066</v>
      </c>
      <c r="I29" s="303">
        <f t="shared" si="7"/>
        <v>-0.91336585365853662</v>
      </c>
      <c r="J29" s="303">
        <f t="shared" si="7"/>
        <v>3.2113821138211387</v>
      </c>
      <c r="K29" s="303">
        <f t="shared" si="7"/>
        <v>2.6097560975609757</v>
      </c>
      <c r="L29" s="303">
        <f t="shared" si="7"/>
        <v>1.7877324317797636</v>
      </c>
      <c r="M29" s="303">
        <f t="shared" si="7"/>
        <v>0</v>
      </c>
      <c r="N29" s="303">
        <f t="shared" si="7"/>
        <v>-0.96390243902439021</v>
      </c>
      <c r="O29" s="303">
        <f t="shared" si="7"/>
        <v>-0.38457234415931218</v>
      </c>
      <c r="AE29" s="309">
        <f t="shared" si="3"/>
        <v>3.8461538461538458</v>
      </c>
      <c r="AG29">
        <f t="shared" si="9"/>
        <v>5.3956834532374103</v>
      </c>
      <c r="AM29">
        <f t="shared" si="10"/>
        <v>0.71282051282051273</v>
      </c>
      <c r="AO29" s="310">
        <f t="shared" si="4"/>
        <v>12</v>
      </c>
      <c r="AP29" s="309">
        <f t="shared" ref="AP29:BC29" si="19">AP9/AP$26</f>
        <v>19.618528610354225</v>
      </c>
      <c r="AQ29" s="309">
        <f t="shared" si="19"/>
        <v>19.853709508881924</v>
      </c>
      <c r="AR29" s="309">
        <f t="shared" si="19"/>
        <v>11.970802919708028</v>
      </c>
      <c r="AS29" s="309">
        <f t="shared" si="19"/>
        <v>8.2981715893108312</v>
      </c>
      <c r="AT29" s="309">
        <f t="shared" si="19"/>
        <v>5.1948051948051948</v>
      </c>
      <c r="AU29" s="309">
        <f t="shared" si="19"/>
        <v>3.2183908045977017</v>
      </c>
      <c r="AV29" s="309">
        <f t="shared" si="19"/>
        <v>3.2679738562091503</v>
      </c>
      <c r="AW29" s="309">
        <f t="shared" si="19"/>
        <v>3.4482758620689657</v>
      </c>
      <c r="AX29" s="309">
        <f t="shared" si="19"/>
        <v>3.1496062992125982</v>
      </c>
      <c r="AY29" s="309">
        <f t="shared" si="19"/>
        <v>3.5294117647058818</v>
      </c>
      <c r="AZ29" s="309">
        <f t="shared" si="19"/>
        <v>3.2128514056224899</v>
      </c>
      <c r="BA29" s="309">
        <f t="shared" si="19"/>
        <v>3.8888888888888897</v>
      </c>
      <c r="BB29" s="309">
        <f t="shared" si="19"/>
        <v>4.032258064516129</v>
      </c>
      <c r="BC29" s="309">
        <f t="shared" si="19"/>
        <v>4.7368421052631575</v>
      </c>
      <c r="BD29" s="308">
        <f t="shared" si="12"/>
        <v>40.040000000000006</v>
      </c>
      <c r="BE29" s="257">
        <f t="shared" si="6"/>
        <v>0.72519083969465647</v>
      </c>
      <c r="BF29" s="39">
        <f t="shared" si="13"/>
        <v>12.7</v>
      </c>
      <c r="BH29" s="333">
        <f t="shared" si="14"/>
        <v>1.252989204379126</v>
      </c>
    </row>
    <row r="30" spans="1:63" ht="16" x14ac:dyDescent="0.2">
      <c r="A30" t="str">
        <f t="shared" si="15"/>
        <v xml:space="preserve">R7P2EA03 </v>
      </c>
      <c r="B30" s="25">
        <f t="shared" si="16"/>
        <v>97.643593519882174</v>
      </c>
      <c r="C30" s="25">
        <f t="shared" si="17"/>
        <v>80.853658536585371</v>
      </c>
      <c r="D30" s="25">
        <f t="shared" si="18"/>
        <v>1204.6666666666665</v>
      </c>
      <c r="E30" s="303">
        <f t="shared" si="7"/>
        <v>1.9537086770208778</v>
      </c>
      <c r="F30" s="303">
        <f t="shared" si="7"/>
        <v>-0.32950403634142233</v>
      </c>
      <c r="G30" s="303">
        <f t="shared" si="7"/>
        <v>-0.27930216802168029</v>
      </c>
      <c r="H30" s="303">
        <f t="shared" si="7"/>
        <v>-0.64188927603561763</v>
      </c>
      <c r="I30" s="303">
        <f t="shared" si="7"/>
        <v>-0.90373983739837405</v>
      </c>
      <c r="J30" s="303">
        <f t="shared" si="7"/>
        <v>2.342366757000903</v>
      </c>
      <c r="K30" s="303">
        <f t="shared" si="7"/>
        <v>2.6766034327009938</v>
      </c>
      <c r="L30" s="303">
        <f t="shared" si="7"/>
        <v>1.7996458182403603</v>
      </c>
      <c r="M30" s="303">
        <f t="shared" si="7"/>
        <v>0</v>
      </c>
      <c r="N30" s="303">
        <f t="shared" si="7"/>
        <v>-0.95989159891598919</v>
      </c>
      <c r="O30" s="303">
        <f t="shared" si="7"/>
        <v>-0.40402010902277952</v>
      </c>
      <c r="AE30" s="309">
        <f t="shared" si="3"/>
        <v>3.8461538461538458</v>
      </c>
      <c r="AG30">
        <f t="shared" si="9"/>
        <v>3.5971223021582737</v>
      </c>
      <c r="AM30">
        <f t="shared" si="10"/>
        <v>1.069230769230769</v>
      </c>
      <c r="AO30" s="310">
        <f t="shared" si="4"/>
        <v>36</v>
      </c>
      <c r="AP30" s="309">
        <f t="shared" ref="AP30:BC30" si="20">AP10/AP$26</f>
        <v>19.891008174386922</v>
      </c>
      <c r="AQ30" s="309">
        <f t="shared" si="20"/>
        <v>18.390804597701152</v>
      </c>
      <c r="AR30" s="309">
        <f t="shared" si="20"/>
        <v>12.846715328467152</v>
      </c>
      <c r="AS30" s="309">
        <f t="shared" si="20"/>
        <v>9.0014064697609015</v>
      </c>
      <c r="AT30" s="309">
        <f t="shared" si="20"/>
        <v>5.1948051948051948</v>
      </c>
      <c r="AU30" s="309">
        <f t="shared" si="20"/>
        <v>3.4482758620689657</v>
      </c>
      <c r="AV30" s="309">
        <f t="shared" si="20"/>
        <v>3.5947712418300659</v>
      </c>
      <c r="AW30" s="309">
        <f t="shared" si="20"/>
        <v>3.4482758620689657</v>
      </c>
      <c r="AX30" s="309">
        <f t="shared" si="20"/>
        <v>2.8871391076115489</v>
      </c>
      <c r="AY30" s="309">
        <f t="shared" si="20"/>
        <v>2.3529411764705883</v>
      </c>
      <c r="AZ30" s="309">
        <f t="shared" si="20"/>
        <v>3.2128514056224899</v>
      </c>
      <c r="BA30" s="309">
        <f t="shared" si="20"/>
        <v>3.6111111111111116</v>
      </c>
      <c r="BB30" s="309">
        <f t="shared" si="20"/>
        <v>4.032258064516129</v>
      </c>
      <c r="BC30" s="309">
        <f t="shared" si="20"/>
        <v>4.4736842105263159</v>
      </c>
      <c r="BD30" s="308">
        <f t="shared" si="12"/>
        <v>39.260000000000012</v>
      </c>
      <c r="BE30" s="257">
        <f t="shared" si="6"/>
        <v>0.70682730923694781</v>
      </c>
      <c r="BF30" s="39">
        <f t="shared" si="13"/>
        <v>40.520000000000003</v>
      </c>
      <c r="BH30" s="333">
        <f t="shared" si="14"/>
        <v>1.1309664350190141</v>
      </c>
    </row>
    <row r="31" spans="1:63" ht="16" x14ac:dyDescent="0.2">
      <c r="A31" t="str">
        <f t="shared" si="15"/>
        <v xml:space="preserve">R7P2EA04 </v>
      </c>
      <c r="B31" s="25">
        <f t="shared" si="16"/>
        <v>99.672744273024776</v>
      </c>
      <c r="C31" s="25">
        <f t="shared" si="17"/>
        <v>96.865061335756465</v>
      </c>
      <c r="D31" s="25">
        <f t="shared" si="18"/>
        <v>548.53968253968253</v>
      </c>
      <c r="E31" s="303">
        <f t="shared" si="7"/>
        <v>0.10834137917943654</v>
      </c>
      <c r="F31" s="303">
        <f t="shared" si="7"/>
        <v>0.17692695604949749</v>
      </c>
      <c r="G31" s="303">
        <f t="shared" si="7"/>
        <v>8.6122411242603336E-2</v>
      </c>
      <c r="H31" s="303">
        <f t="shared" si="7"/>
        <v>-0.83058608058608063</v>
      </c>
      <c r="I31" s="303">
        <f t="shared" si="7"/>
        <v>-0.83360946745562137</v>
      </c>
      <c r="J31" s="303">
        <f t="shared" si="7"/>
        <v>-0.27021696252465488</v>
      </c>
      <c r="K31" s="303">
        <f t="shared" si="7"/>
        <v>-8.7771203155818656E-2</v>
      </c>
      <c r="L31" s="303">
        <f t="shared" si="7"/>
        <v>-0.32802155955240508</v>
      </c>
      <c r="M31" s="303">
        <f t="shared" si="7"/>
        <v>0</v>
      </c>
      <c r="N31" s="303">
        <f t="shared" si="7"/>
        <v>-0.34319526627218944</v>
      </c>
      <c r="O31" s="303">
        <f t="shared" si="7"/>
        <v>0.17686075855643502</v>
      </c>
      <c r="AE31" s="309">
        <f t="shared" si="3"/>
        <v>1.2820512820512819</v>
      </c>
      <c r="AG31">
        <f t="shared" si="9"/>
        <v>1.7985611510791368</v>
      </c>
      <c r="AM31">
        <f t="shared" si="10"/>
        <v>0.71282051282051273</v>
      </c>
      <c r="AO31" s="310">
        <f t="shared" si="4"/>
        <v>69.5</v>
      </c>
      <c r="AP31" s="309">
        <f t="shared" ref="AP31:BC31" si="21">AP11/AP$26</f>
        <v>12.806539509536785</v>
      </c>
      <c r="AQ31" s="309">
        <f t="shared" si="21"/>
        <v>12.748171368861025</v>
      </c>
      <c r="AR31" s="309">
        <f t="shared" si="21"/>
        <v>8.3941605839416038</v>
      </c>
      <c r="AS31" s="309">
        <f t="shared" si="21"/>
        <v>5.7665260196905761</v>
      </c>
      <c r="AT31" s="309">
        <f t="shared" si="21"/>
        <v>3.4632034632034632</v>
      </c>
      <c r="AU31" s="309">
        <f t="shared" si="21"/>
        <v>2.298850574712644</v>
      </c>
      <c r="AV31" s="309">
        <f t="shared" si="21"/>
        <v>2.2875816993464051</v>
      </c>
      <c r="AW31" s="309">
        <f t="shared" si="21"/>
        <v>1.7241379310344829</v>
      </c>
      <c r="AX31" s="309">
        <f t="shared" si="21"/>
        <v>1.837270341207349</v>
      </c>
      <c r="AY31" s="309">
        <f t="shared" si="21"/>
        <v>1.1764705882352942</v>
      </c>
      <c r="AZ31" s="309">
        <f t="shared" si="21"/>
        <v>2.0080321285140563</v>
      </c>
      <c r="BA31" s="309">
        <f t="shared" si="21"/>
        <v>2.2222222222222223</v>
      </c>
      <c r="BB31" s="309">
        <f t="shared" si="21"/>
        <v>2.82258064516129</v>
      </c>
      <c r="BC31" s="309">
        <f t="shared" si="21"/>
        <v>3.1578947368421053</v>
      </c>
      <c r="BD31" s="308">
        <f t="shared" si="12"/>
        <v>26.15</v>
      </c>
      <c r="BE31" s="257">
        <f t="shared" si="6"/>
        <v>0.72189349112426038</v>
      </c>
      <c r="BF31" s="39">
        <f t="shared" si="13"/>
        <v>43.31</v>
      </c>
      <c r="BH31" s="333">
        <f t="shared" si="14"/>
        <v>1.2187697728935245</v>
      </c>
    </row>
    <row r="32" spans="1:63" ht="16" x14ac:dyDescent="0.2">
      <c r="A32" t="str">
        <f t="shared" si="15"/>
        <v xml:space="preserve">R7P2EA05 </v>
      </c>
      <c r="B32" s="25">
        <f t="shared" si="16"/>
        <v>99.649737302977229</v>
      </c>
      <c r="C32" s="25">
        <f t="shared" si="17"/>
        <v>98.528138528138527</v>
      </c>
      <c r="D32" s="25">
        <f t="shared" si="18"/>
        <v>268.47619047619042</v>
      </c>
      <c r="E32" s="303">
        <f t="shared" si="7"/>
        <v>6.9557327690800363E-2</v>
      </c>
      <c r="F32" s="303">
        <f t="shared" si="7"/>
        <v>0.26578149742257784</v>
      </c>
      <c r="G32" s="303">
        <f t="shared" si="7"/>
        <v>0.18899031296572266</v>
      </c>
      <c r="H32" s="303">
        <f t="shared" si="7"/>
        <v>-0.80963026044993258</v>
      </c>
      <c r="I32" s="303">
        <f t="shared" si="7"/>
        <v>-0.81472429210134134</v>
      </c>
      <c r="J32" s="303">
        <f t="shared" si="7"/>
        <v>-0.26477893691008447</v>
      </c>
      <c r="K32" s="303">
        <f t="shared" si="7"/>
        <v>0.10283159463487324</v>
      </c>
      <c r="L32" s="303">
        <f t="shared" si="7"/>
        <v>-0.71610275781676536</v>
      </c>
      <c r="M32" s="303">
        <f t="shared" si="7"/>
        <v>0</v>
      </c>
      <c r="N32" s="303">
        <f t="shared" si="7"/>
        <v>-0.33830104321907606</v>
      </c>
      <c r="O32" s="303">
        <f t="shared" si="7"/>
        <v>0.25232909964272898</v>
      </c>
      <c r="AE32" s="309">
        <f t="shared" si="3"/>
        <v>1.9230769230769229</v>
      </c>
      <c r="AG32">
        <f t="shared" si="9"/>
        <v>3.5971223021582737</v>
      </c>
      <c r="AM32">
        <f t="shared" si="10"/>
        <v>0.53461538461538449</v>
      </c>
      <c r="AO32" s="310">
        <f t="shared" si="4"/>
        <v>99</v>
      </c>
      <c r="AP32" s="309">
        <f t="shared" ref="AP32:BC32" si="22">AP12/AP$26</f>
        <v>14.713896457765669</v>
      </c>
      <c r="AQ32" s="309">
        <f t="shared" si="22"/>
        <v>14.733542319749217</v>
      </c>
      <c r="AR32" s="309">
        <f t="shared" si="22"/>
        <v>10.364963503649633</v>
      </c>
      <c r="AS32" s="309">
        <f t="shared" si="22"/>
        <v>7.4542897327707456</v>
      </c>
      <c r="AT32" s="309">
        <f t="shared" si="22"/>
        <v>4.329004329004329</v>
      </c>
      <c r="AU32" s="309">
        <f t="shared" si="22"/>
        <v>3.1034482758620694</v>
      </c>
      <c r="AV32" s="309">
        <f t="shared" si="22"/>
        <v>2.6143790849673203</v>
      </c>
      <c r="AW32" s="309">
        <f t="shared" si="22"/>
        <v>1.7241379310344829</v>
      </c>
      <c r="AX32" s="309">
        <f t="shared" si="22"/>
        <v>2.0997375328083989</v>
      </c>
      <c r="AY32" s="309">
        <f t="shared" si="22"/>
        <v>2.3529411764705883</v>
      </c>
      <c r="AZ32" s="309">
        <f t="shared" si="22"/>
        <v>2.4096385542168672</v>
      </c>
      <c r="BA32" s="309">
        <f t="shared" si="22"/>
        <v>2.7777777777777781</v>
      </c>
      <c r="BB32" s="309">
        <f t="shared" si="22"/>
        <v>2.82258064516129</v>
      </c>
      <c r="BC32" s="309">
        <f t="shared" si="22"/>
        <v>3.4210526315789478</v>
      </c>
      <c r="BD32" s="308">
        <f t="shared" si="12"/>
        <v>30.920000000000005</v>
      </c>
      <c r="BE32" s="257">
        <f t="shared" si="6"/>
        <v>0.72307692307692306</v>
      </c>
      <c r="BF32" s="39">
        <f t="shared" si="13"/>
        <v>45.45</v>
      </c>
      <c r="BH32" s="333">
        <f t="shared" si="14"/>
        <v>1.1984308852819754</v>
      </c>
    </row>
    <row r="33" spans="1:60" ht="16" x14ac:dyDescent="0.2">
      <c r="A33" t="str">
        <f t="shared" si="15"/>
        <v xml:space="preserve">R7P2EA06 </v>
      </c>
      <c r="B33" s="25">
        <f t="shared" si="16"/>
        <v>99.577524292353203</v>
      </c>
      <c r="C33" s="25">
        <f t="shared" si="17"/>
        <v>98.536789297658871</v>
      </c>
      <c r="D33" s="25">
        <f t="shared" si="18"/>
        <v>275.23809523809524</v>
      </c>
      <c r="E33" s="303">
        <f t="shared" si="7"/>
        <v>-6.6743126182703727E-2</v>
      </c>
      <c r="F33" s="303">
        <f t="shared" si="7"/>
        <v>0.19506292617685106</v>
      </c>
      <c r="G33" s="303">
        <f t="shared" si="7"/>
        <v>0.20854158579192528</v>
      </c>
      <c r="H33" s="303">
        <f t="shared" si="7"/>
        <v>-0.83242753623188404</v>
      </c>
      <c r="I33" s="303">
        <f t="shared" si="7"/>
        <v>-0.80695652173913046</v>
      </c>
      <c r="J33" s="303">
        <f t="shared" si="7"/>
        <v>-0.32971014492753625</v>
      </c>
      <c r="K33" s="303">
        <f t="shared" si="7"/>
        <v>0.34057971014492749</v>
      </c>
      <c r="L33" s="303">
        <f t="shared" si="7"/>
        <v>-0.75113000430477839</v>
      </c>
      <c r="M33" s="303">
        <f t="shared" si="7"/>
        <v>0</v>
      </c>
      <c r="N33" s="303">
        <f t="shared" si="7"/>
        <v>-0.19565217391304357</v>
      </c>
      <c r="O33" s="303">
        <f t="shared" si="7"/>
        <v>0.16479462302216974</v>
      </c>
      <c r="AE33" s="309">
        <f t="shared" si="3"/>
        <v>3.2051282051282048</v>
      </c>
      <c r="AG33">
        <f t="shared" si="9"/>
        <v>3.5971223021582737</v>
      </c>
      <c r="AM33">
        <f t="shared" si="10"/>
        <v>0.89102564102564086</v>
      </c>
      <c r="AO33" s="310">
        <f t="shared" si="4"/>
        <v>143.5</v>
      </c>
      <c r="AP33" s="309">
        <f t="shared" ref="AP33:BC33" si="23">AP13/AP$26</f>
        <v>17.983651226158038</v>
      </c>
      <c r="AQ33" s="309">
        <f t="shared" si="23"/>
        <v>17.241379310344829</v>
      </c>
      <c r="AR33" s="309">
        <f t="shared" si="23"/>
        <v>13.357664233576642</v>
      </c>
      <c r="AS33" s="309">
        <f t="shared" si="23"/>
        <v>9.8452883263009845</v>
      </c>
      <c r="AT33" s="309">
        <f t="shared" si="23"/>
        <v>6.0606060606060597</v>
      </c>
      <c r="AU33" s="309">
        <f t="shared" si="23"/>
        <v>4.0229885057471266</v>
      </c>
      <c r="AV33" s="309">
        <f t="shared" si="23"/>
        <v>3.2679738562091503</v>
      </c>
      <c r="AW33" s="309">
        <f t="shared" si="23"/>
        <v>3.4482758620689657</v>
      </c>
      <c r="AX33" s="309">
        <f t="shared" si="23"/>
        <v>2.6246719160104988</v>
      </c>
      <c r="AY33" s="309">
        <f t="shared" si="23"/>
        <v>2.3529411764705883</v>
      </c>
      <c r="AZ33" s="309">
        <f t="shared" si="23"/>
        <v>2.4096385542168672</v>
      </c>
      <c r="BA33" s="309">
        <f t="shared" si="23"/>
        <v>3.0555555555555558</v>
      </c>
      <c r="BB33" s="309">
        <f t="shared" si="23"/>
        <v>3.2258064516129035</v>
      </c>
      <c r="BC33" s="309">
        <f t="shared" si="23"/>
        <v>3.6842105263157898</v>
      </c>
      <c r="BD33" s="308">
        <f t="shared" si="12"/>
        <v>37.730000000000004</v>
      </c>
      <c r="BE33" s="257">
        <f t="shared" si="6"/>
        <v>0.71428571428571419</v>
      </c>
      <c r="BF33" s="39">
        <f t="shared" si="13"/>
        <v>42.45</v>
      </c>
      <c r="BH33" s="333">
        <f t="shared" si="14"/>
        <v>1.1290376084815668</v>
      </c>
    </row>
    <row r="34" spans="1:60" ht="16" x14ac:dyDescent="0.2">
      <c r="A34" t="str">
        <f t="shared" si="15"/>
        <v xml:space="preserve">R7P2EA07 </v>
      </c>
      <c r="B34" s="25">
        <f t="shared" si="16"/>
        <v>99.81743496120491</v>
      </c>
      <c r="C34" s="25">
        <f t="shared" si="17"/>
        <v>98.914518317503379</v>
      </c>
      <c r="D34" s="25">
        <f t="shared" si="18"/>
        <v>204.1269841269841</v>
      </c>
      <c r="E34" s="303">
        <f t="shared" si="7"/>
        <v>4.4725772547363984E-2</v>
      </c>
      <c r="F34" s="303">
        <f t="shared" si="7"/>
        <v>0.20550528830360859</v>
      </c>
      <c r="G34" s="303">
        <f t="shared" si="7"/>
        <v>0.16747335935851404</v>
      </c>
      <c r="H34" s="303">
        <f t="shared" si="7"/>
        <v>-0.81131743687135116</v>
      </c>
      <c r="I34" s="303">
        <f t="shared" si="7"/>
        <v>-0.79887740029542098</v>
      </c>
      <c r="J34" s="303">
        <f t="shared" si="7"/>
        <v>-0.63564746430329888</v>
      </c>
      <c r="K34" s="303">
        <f t="shared" si="7"/>
        <v>-0.45347119645494838</v>
      </c>
      <c r="L34" s="303">
        <f t="shared" si="7"/>
        <v>-0.78355294909106865</v>
      </c>
      <c r="M34" s="303">
        <f t="shared" si="7"/>
        <v>0</v>
      </c>
      <c r="N34" s="303">
        <f t="shared" si="7"/>
        <v>-0.12555391432791752</v>
      </c>
      <c r="O34" s="303">
        <f t="shared" si="7"/>
        <v>0.2549076385883251</v>
      </c>
      <c r="AE34" s="309">
        <f t="shared" si="3"/>
        <v>3.2051282051282048</v>
      </c>
      <c r="AG34">
        <f t="shared" si="9"/>
        <v>5.3956834532374103</v>
      </c>
      <c r="AM34">
        <f t="shared" si="10"/>
        <v>0.59401709401709391</v>
      </c>
      <c r="AO34" s="310">
        <f t="shared" si="4"/>
        <v>188</v>
      </c>
      <c r="AP34" s="309">
        <f t="shared" ref="AP34:BC34" si="24">AP14/AP$26</f>
        <v>21.798365122615806</v>
      </c>
      <c r="AQ34" s="309">
        <f t="shared" si="24"/>
        <v>28.004179728317663</v>
      </c>
      <c r="AR34" s="309">
        <f t="shared" si="24"/>
        <v>17.591240875912408</v>
      </c>
      <c r="AS34" s="309">
        <f t="shared" si="24"/>
        <v>12.79887482419128</v>
      </c>
      <c r="AT34" s="309">
        <f t="shared" si="24"/>
        <v>8.6580086580086579</v>
      </c>
      <c r="AU34" s="309">
        <f t="shared" si="24"/>
        <v>5.5172413793103452</v>
      </c>
      <c r="AV34" s="309">
        <f t="shared" si="24"/>
        <v>4.5751633986928102</v>
      </c>
      <c r="AW34" s="309">
        <f t="shared" si="24"/>
        <v>3.4482758620689657</v>
      </c>
      <c r="AX34" s="309">
        <f t="shared" si="24"/>
        <v>3.674540682414698</v>
      </c>
      <c r="AY34" s="309">
        <f t="shared" si="24"/>
        <v>3.5294117647058818</v>
      </c>
      <c r="AZ34" s="309">
        <f t="shared" si="24"/>
        <v>3.2128514056224899</v>
      </c>
      <c r="BA34" s="309">
        <f t="shared" si="24"/>
        <v>3.6111111111111116</v>
      </c>
      <c r="BB34" s="309">
        <f t="shared" si="24"/>
        <v>4.435483870967742</v>
      </c>
      <c r="BC34" s="309">
        <f t="shared" si="24"/>
        <v>5</v>
      </c>
      <c r="BD34" s="308">
        <f t="shared" si="12"/>
        <v>54.309999999999988</v>
      </c>
      <c r="BE34" s="257">
        <f t="shared" si="6"/>
        <v>0.77011494252873569</v>
      </c>
      <c r="BF34" s="39">
        <f t="shared" si="13"/>
        <v>41.26</v>
      </c>
      <c r="BH34" s="333">
        <f t="shared" si="14"/>
        <v>1.4897001119419446</v>
      </c>
    </row>
    <row r="35" spans="1:60" ht="16" x14ac:dyDescent="0.2">
      <c r="A35" t="str">
        <f t="shared" si="15"/>
        <v xml:space="preserve">R7P2EA08 </v>
      </c>
      <c r="B35" s="25">
        <f t="shared" si="16"/>
        <v>99.713467048710612</v>
      </c>
      <c r="C35" s="25">
        <f t="shared" si="17"/>
        <v>98.258823529411785</v>
      </c>
      <c r="D35" s="25">
        <f t="shared" si="18"/>
        <v>315.93650793650789</v>
      </c>
      <c r="E35" s="303">
        <f t="shared" si="7"/>
        <v>2.9783347213504507E-2</v>
      </c>
      <c r="F35" s="303">
        <f t="shared" si="7"/>
        <v>9.7440923909569488E-2</v>
      </c>
      <c r="G35" s="303">
        <f t="shared" si="7"/>
        <v>0.14694416498993945</v>
      </c>
      <c r="H35" s="303">
        <f t="shared" si="7"/>
        <v>-0.75804828973843064</v>
      </c>
      <c r="I35" s="303">
        <f t="shared" si="7"/>
        <v>-0.68315492957746482</v>
      </c>
      <c r="J35" s="303">
        <f t="shared" si="7"/>
        <v>-0.30516431924882625</v>
      </c>
      <c r="K35" s="303">
        <f t="shared" si="7"/>
        <v>-0.30516431924882625</v>
      </c>
      <c r="L35" s="303">
        <f t="shared" si="7"/>
        <v>-0.68010040440663788</v>
      </c>
      <c r="M35" s="303">
        <f t="shared" si="7"/>
        <v>0</v>
      </c>
      <c r="N35" s="303">
        <f t="shared" si="7"/>
        <v>4.2253521126760507E-2</v>
      </c>
      <c r="O35" s="303">
        <f t="shared" si="7"/>
        <v>0.1433271159805547</v>
      </c>
      <c r="AE35" s="309">
        <f t="shared" si="3"/>
        <v>5.7692307692307692</v>
      </c>
      <c r="AG35">
        <f t="shared" si="9"/>
        <v>7.1942446043165473</v>
      </c>
      <c r="AM35">
        <f t="shared" si="10"/>
        <v>0.80192307692307685</v>
      </c>
      <c r="AO35" s="310">
        <f t="shared" si="4"/>
        <v>275</v>
      </c>
      <c r="AP35" s="309">
        <f t="shared" ref="AP35:BC35" si="25">AP15/AP$26</f>
        <v>26.43051771117166</v>
      </c>
      <c r="AQ35" s="309">
        <f t="shared" si="25"/>
        <v>25.914315569487986</v>
      </c>
      <c r="AR35" s="309">
        <f t="shared" si="25"/>
        <v>20.65693430656934</v>
      </c>
      <c r="AS35" s="309">
        <f t="shared" si="25"/>
        <v>15.752461322081576</v>
      </c>
      <c r="AT35" s="309">
        <f t="shared" si="25"/>
        <v>10.38961038961039</v>
      </c>
      <c r="AU35" s="309">
        <f t="shared" si="25"/>
        <v>7.5862068965517251</v>
      </c>
      <c r="AV35" s="309">
        <f t="shared" si="25"/>
        <v>6.2091503267973858</v>
      </c>
      <c r="AW35" s="309">
        <f t="shared" si="25"/>
        <v>5.1724137931034475</v>
      </c>
      <c r="AX35" s="309">
        <f t="shared" si="25"/>
        <v>4.9868766404199469</v>
      </c>
      <c r="AY35" s="309">
        <f t="shared" si="25"/>
        <v>4.7058823529411766</v>
      </c>
      <c r="AZ35" s="309">
        <f t="shared" si="25"/>
        <v>4.8192771084337345</v>
      </c>
      <c r="BA35" s="309">
        <f t="shared" si="25"/>
        <v>5</v>
      </c>
      <c r="BB35" s="309">
        <f t="shared" si="25"/>
        <v>5.241935483870968</v>
      </c>
      <c r="BC35" s="309">
        <f t="shared" si="25"/>
        <v>5.7894736842105265</v>
      </c>
      <c r="BD35" s="308">
        <f t="shared" si="12"/>
        <v>58.989999999999988</v>
      </c>
      <c r="BE35" s="257">
        <f t="shared" si="6"/>
        <v>0.71884057971014492</v>
      </c>
      <c r="BF35" s="39">
        <f t="shared" si="13"/>
        <v>41.72</v>
      </c>
      <c r="BH35" s="333">
        <f t="shared" si="14"/>
        <v>1.133056182780553</v>
      </c>
    </row>
    <row r="36" spans="1:60" ht="16" x14ac:dyDescent="0.2">
      <c r="A36" t="str">
        <f t="shared" si="15"/>
        <v xml:space="preserve">R7P2EA09 </v>
      </c>
      <c r="B36" s="25">
        <f t="shared" si="16"/>
        <v>99.353945546838943</v>
      </c>
      <c r="C36" s="25">
        <f t="shared" si="17"/>
        <v>96.503809950694745</v>
      </c>
      <c r="D36" s="25">
        <f t="shared" si="18"/>
        <v>608.34920634920638</v>
      </c>
      <c r="E36" s="303">
        <f t="shared" si="7"/>
        <v>-2.5701606882748029E-2</v>
      </c>
      <c r="F36" s="303">
        <f t="shared" si="7"/>
        <v>9.0148213683337142E-2</v>
      </c>
      <c r="G36" s="303">
        <f t="shared" si="7"/>
        <v>9.5960942043031627E-2</v>
      </c>
      <c r="H36" s="303">
        <f t="shared" si="7"/>
        <v>-0.74898236092265935</v>
      </c>
      <c r="I36" s="303">
        <f t="shared" si="7"/>
        <v>-0.72689280868385342</v>
      </c>
      <c r="J36" s="303">
        <f t="shared" si="7"/>
        <v>0.67345092718227062</v>
      </c>
      <c r="K36" s="303">
        <f t="shared" si="7"/>
        <v>0.50610583446404345</v>
      </c>
      <c r="L36" s="303">
        <f t="shared" si="7"/>
        <v>-0.36375727124951296</v>
      </c>
      <c r="M36" s="303">
        <f t="shared" si="7"/>
        <v>0</v>
      </c>
      <c r="N36" s="303">
        <f t="shared" si="7"/>
        <v>1.4097693351424696</v>
      </c>
      <c r="O36" s="303">
        <f t="shared" si="7"/>
        <v>8.9924347359798151E-2</v>
      </c>
      <c r="AE36" s="309">
        <f t="shared" si="3"/>
        <v>5.7692307692307692</v>
      </c>
      <c r="AG36">
        <f t="shared" si="9"/>
        <v>8.9928057553956844</v>
      </c>
      <c r="AM36">
        <f t="shared" si="10"/>
        <v>0.6415384615384615</v>
      </c>
      <c r="AO36" s="310">
        <f t="shared" si="4"/>
        <v>350</v>
      </c>
      <c r="AP36" s="309">
        <f t="shared" ref="AP36:BC36" si="26">AP16/AP$26</f>
        <v>29.427792915531338</v>
      </c>
      <c r="AQ36" s="309">
        <f t="shared" si="26"/>
        <v>40.85684430512017</v>
      </c>
      <c r="AR36" s="309">
        <f t="shared" si="26"/>
        <v>22.189781021897808</v>
      </c>
      <c r="AS36" s="309">
        <f t="shared" si="26"/>
        <v>17.721518987341774</v>
      </c>
      <c r="AT36" s="309">
        <f t="shared" si="26"/>
        <v>11.688311688311689</v>
      </c>
      <c r="AU36" s="309">
        <f t="shared" si="26"/>
        <v>8.7356321839080469</v>
      </c>
      <c r="AV36" s="309">
        <f t="shared" si="26"/>
        <v>7.5163398692810457</v>
      </c>
      <c r="AW36" s="309">
        <f t="shared" si="26"/>
        <v>6.8965517241379315</v>
      </c>
      <c r="AX36" s="309">
        <f t="shared" si="26"/>
        <v>6.0367454068241466</v>
      </c>
      <c r="AY36" s="309">
        <f t="shared" si="26"/>
        <v>5.8823529411764701</v>
      </c>
      <c r="AZ36" s="309">
        <f t="shared" si="26"/>
        <v>6.024096385542169</v>
      </c>
      <c r="BA36" s="309">
        <f t="shared" si="26"/>
        <v>6.666666666666667</v>
      </c>
      <c r="BB36" s="309">
        <f t="shared" si="26"/>
        <v>7.2580645161290329</v>
      </c>
      <c r="BC36" s="309">
        <f t="shared" si="26"/>
        <v>7.8947368421052628</v>
      </c>
      <c r="BD36" s="308">
        <f t="shared" si="12"/>
        <v>78.34</v>
      </c>
      <c r="BE36" s="257">
        <f t="shared" si="6"/>
        <v>0.78356713426853697</v>
      </c>
      <c r="BF36" s="39">
        <f t="shared" si="13"/>
        <v>43.379999999999995</v>
      </c>
      <c r="BH36" s="333">
        <f t="shared" si="14"/>
        <v>1.6006159178520163</v>
      </c>
    </row>
    <row r="37" spans="1:60" ht="16" x14ac:dyDescent="0.2">
      <c r="A37" t="str">
        <f t="shared" si="15"/>
        <v xml:space="preserve">R7P2EA10 </v>
      </c>
      <c r="B37" s="25">
        <f t="shared" si="16"/>
        <v>99.735799207397619</v>
      </c>
      <c r="C37" s="25">
        <f t="shared" si="17"/>
        <v>96.877673224978608</v>
      </c>
      <c r="D37" s="25">
        <f t="shared" si="18"/>
        <v>617.11111111111109</v>
      </c>
      <c r="E37" s="303">
        <f t="shared" si="7"/>
        <v>-7.4464473680997401E-3</v>
      </c>
      <c r="F37" s="303">
        <f t="shared" si="7"/>
        <v>0.19047111717201859</v>
      </c>
      <c r="G37" s="303">
        <f t="shared" si="7"/>
        <v>0.16439260563380254</v>
      </c>
      <c r="H37" s="303">
        <f t="shared" si="7"/>
        <v>-0.33618376928236093</v>
      </c>
      <c r="I37" s="303">
        <f t="shared" si="7"/>
        <v>-0.6164507042253522</v>
      </c>
      <c r="J37" s="303">
        <f t="shared" si="7"/>
        <v>-0.65258215962441313</v>
      </c>
      <c r="K37" s="303">
        <f t="shared" si="7"/>
        <v>-0.13145539906103287</v>
      </c>
      <c r="L37" s="303">
        <f t="shared" si="7"/>
        <v>-0.30860409984660442</v>
      </c>
      <c r="M37" s="303">
        <f t="shared" si="7"/>
        <v>0</v>
      </c>
      <c r="N37" s="303">
        <f t="shared" si="7"/>
        <v>0.66760563380281668</v>
      </c>
      <c r="O37" s="303">
        <f t="shared" si="7"/>
        <v>0.16506337293836015</v>
      </c>
      <c r="AE37" s="309">
        <f t="shared" si="3"/>
        <v>7.0512820512820511</v>
      </c>
      <c r="AG37">
        <f t="shared" si="9"/>
        <v>10.791366906474821</v>
      </c>
      <c r="AM37">
        <f t="shared" si="10"/>
        <v>0.65341880341880343</v>
      </c>
      <c r="AO37" s="310">
        <f t="shared" si="4"/>
        <v>450</v>
      </c>
      <c r="AP37" s="309">
        <f t="shared" ref="AP37:BC37" si="27">AP17/AP$26</f>
        <v>28.337874659400548</v>
      </c>
      <c r="AQ37" s="309">
        <f t="shared" si="27"/>
        <v>32.810867293625911</v>
      </c>
      <c r="AR37" s="309">
        <f t="shared" si="27"/>
        <v>21.824817518248175</v>
      </c>
      <c r="AS37" s="309">
        <f t="shared" si="27"/>
        <v>17.158931082981717</v>
      </c>
      <c r="AT37" s="309">
        <f t="shared" si="27"/>
        <v>11.688311688311689</v>
      </c>
      <c r="AU37" s="309">
        <f t="shared" si="27"/>
        <v>9.1954022988505759</v>
      </c>
      <c r="AV37" s="309">
        <f t="shared" si="27"/>
        <v>8.4967320261437909</v>
      </c>
      <c r="AW37" s="309">
        <f t="shared" si="27"/>
        <v>6.8965517241379315</v>
      </c>
      <c r="AX37" s="309">
        <f t="shared" si="27"/>
        <v>6.8241469816272966</v>
      </c>
      <c r="AY37" s="309">
        <f t="shared" si="27"/>
        <v>7.0588235294117636</v>
      </c>
      <c r="AZ37" s="309">
        <f t="shared" si="27"/>
        <v>6.8273092369477908</v>
      </c>
      <c r="BA37" s="309">
        <f t="shared" si="27"/>
        <v>7.2222222222222232</v>
      </c>
      <c r="BB37" s="309">
        <f t="shared" si="27"/>
        <v>7.2580645161290329</v>
      </c>
      <c r="BC37" s="309">
        <f t="shared" si="27"/>
        <v>7.6315789473684204</v>
      </c>
      <c r="BD37" s="308">
        <f t="shared" si="12"/>
        <v>70.739999999999995</v>
      </c>
      <c r="BE37" s="257">
        <f t="shared" si="6"/>
        <v>0.75119617224880386</v>
      </c>
      <c r="BF37" s="39">
        <f t="shared" si="13"/>
        <v>39.739999999999995</v>
      </c>
      <c r="BH37" s="333">
        <f t="shared" si="14"/>
        <v>1.3331486145161264</v>
      </c>
    </row>
    <row r="38" spans="1:60" ht="16" x14ac:dyDescent="0.2">
      <c r="A38" t="str">
        <f t="shared" si="15"/>
        <v xml:space="preserve">R7P2EA11 </v>
      </c>
      <c r="B38" s="25">
        <f t="shared" si="16"/>
        <v>99.714149595045271</v>
      </c>
      <c r="C38" s="25">
        <f t="shared" si="17"/>
        <v>96.229885057471265</v>
      </c>
      <c r="D38" s="25">
        <f t="shared" si="18"/>
        <v>711.17460317460313</v>
      </c>
      <c r="E38" s="303">
        <f t="shared" si="7"/>
        <v>8.0767037481296766E-2</v>
      </c>
      <c r="F38" s="303">
        <f t="shared" si="7"/>
        <v>0.15029295402675324</v>
      </c>
      <c r="G38" s="303">
        <f t="shared" si="7"/>
        <v>8.7405322953923559E-2</v>
      </c>
      <c r="H38" s="303">
        <f t="shared" si="7"/>
        <v>8.9837997054491803E-2</v>
      </c>
      <c r="I38" s="303">
        <f t="shared" si="7"/>
        <v>-0.45944035346097212</v>
      </c>
      <c r="J38" s="303">
        <f t="shared" si="7"/>
        <v>-1</v>
      </c>
      <c r="K38" s="303">
        <f t="shared" si="7"/>
        <v>8.9837997054491803E-2</v>
      </c>
      <c r="L38" s="303">
        <f t="shared" si="7"/>
        <v>-0.1799238834045408</v>
      </c>
      <c r="M38" s="303">
        <f t="shared" si="7"/>
        <v>0</v>
      </c>
      <c r="N38" s="303">
        <f t="shared" si="7"/>
        <v>0.30780559646539007</v>
      </c>
      <c r="O38" s="303">
        <f t="shared" si="7"/>
        <v>0.12165808455973237</v>
      </c>
      <c r="AE38" s="309">
        <f t="shared" si="3"/>
        <v>7.0512820512820511</v>
      </c>
      <c r="AG38">
        <f t="shared" si="9"/>
        <v>8.9928057553956844</v>
      </c>
      <c r="AM38">
        <f t="shared" si="10"/>
        <v>0.78410256410256396</v>
      </c>
      <c r="AO38" s="310">
        <f t="shared" si="4"/>
        <v>550</v>
      </c>
      <c r="AP38" s="309">
        <f t="shared" ref="AP38:BC38" si="28">AP18/AP$26</f>
        <v>24.52316076294278</v>
      </c>
      <c r="AQ38" s="309">
        <f t="shared" si="28"/>
        <v>27.272727272727277</v>
      </c>
      <c r="AR38" s="309">
        <f t="shared" si="28"/>
        <v>19.343065693430656</v>
      </c>
      <c r="AS38" s="309">
        <f t="shared" si="28"/>
        <v>15.611814345991561</v>
      </c>
      <c r="AT38" s="309">
        <f t="shared" si="28"/>
        <v>10.822510822510822</v>
      </c>
      <c r="AU38" s="309">
        <f t="shared" si="28"/>
        <v>8.5057471264367823</v>
      </c>
      <c r="AV38" s="309">
        <f t="shared" si="28"/>
        <v>7.8431372549019605</v>
      </c>
      <c r="AW38" s="309">
        <f t="shared" si="28"/>
        <v>6.8965517241379315</v>
      </c>
      <c r="AX38" s="309">
        <f t="shared" si="28"/>
        <v>6.0367454068241466</v>
      </c>
      <c r="AY38" s="309">
        <f t="shared" si="28"/>
        <v>5.8823529411764701</v>
      </c>
      <c r="AZ38" s="309">
        <f t="shared" si="28"/>
        <v>6.024096385542169</v>
      </c>
      <c r="BA38" s="309">
        <f t="shared" si="28"/>
        <v>6.3888888888888893</v>
      </c>
      <c r="BB38" s="309">
        <f t="shared" si="28"/>
        <v>6.4516129032258069</v>
      </c>
      <c r="BC38" s="309">
        <f t="shared" si="28"/>
        <v>7.3684210526315796</v>
      </c>
      <c r="BD38" s="308">
        <f t="shared" si="12"/>
        <v>61.3</v>
      </c>
      <c r="BE38" s="257">
        <f t="shared" si="6"/>
        <v>0.74358974358974361</v>
      </c>
      <c r="BF38" s="39">
        <f t="shared" si="13"/>
        <v>39.200000000000003</v>
      </c>
      <c r="BH38" s="333">
        <f t="shared" si="14"/>
        <v>1.2653965462336878</v>
      </c>
    </row>
    <row r="39" spans="1:60" ht="16" x14ac:dyDescent="0.2">
      <c r="A39" t="str">
        <f t="shared" si="15"/>
        <v xml:space="preserve">R7P2EA12 </v>
      </c>
      <c r="B39" s="25">
        <f t="shared" si="16"/>
        <v>99.513618677042814</v>
      </c>
      <c r="C39" s="25">
        <f t="shared" si="17"/>
        <v>95.030190431955418</v>
      </c>
      <c r="D39" s="25">
        <f t="shared" si="18"/>
        <v>950.12698412698398</v>
      </c>
      <c r="E39" s="303">
        <f t="shared" si="7"/>
        <v>4.921701266215206E-2</v>
      </c>
      <c r="F39" s="303">
        <f t="shared" si="7"/>
        <v>7.9929043260928756E-2</v>
      </c>
      <c r="G39" s="303">
        <f t="shared" si="7"/>
        <v>7.3543897757122556E-2</v>
      </c>
      <c r="H39" s="303">
        <f t="shared" si="7"/>
        <v>6.5366740755708141E-2</v>
      </c>
      <c r="I39" s="303">
        <f t="shared" si="7"/>
        <v>-5.3804809052333979E-2</v>
      </c>
      <c r="J39" s="303">
        <f t="shared" si="7"/>
        <v>-0.30221593587930218</v>
      </c>
      <c r="K39" s="303">
        <f t="shared" si="7"/>
        <v>0.39556812824139564</v>
      </c>
      <c r="L39" s="303">
        <f t="shared" si="7"/>
        <v>5.2235775204110269E-3</v>
      </c>
      <c r="M39" s="303">
        <f t="shared" si="7"/>
        <v>0</v>
      </c>
      <c r="N39" s="303">
        <f t="shared" si="7"/>
        <v>4.6676096181046622E-2</v>
      </c>
      <c r="O39" s="303">
        <f t="shared" si="7"/>
        <v>4.2310398178206032E-2</v>
      </c>
      <c r="AE39" s="309">
        <f t="shared" si="3"/>
        <v>7.6923076923076916</v>
      </c>
      <c r="AG39">
        <f t="shared" si="9"/>
        <v>10.791366906474821</v>
      </c>
      <c r="AM39">
        <f t="shared" si="10"/>
        <v>0.71282051282051273</v>
      </c>
      <c r="AO39" s="310">
        <f t="shared" si="4"/>
        <v>650</v>
      </c>
      <c r="AP39" s="309">
        <f t="shared" ref="AP39:BC39" si="29">AP19/AP$26</f>
        <v>25.885558583106267</v>
      </c>
      <c r="AQ39" s="309">
        <f t="shared" si="29"/>
        <v>29.049111807732498</v>
      </c>
      <c r="AR39" s="309">
        <f t="shared" si="29"/>
        <v>20.510948905109487</v>
      </c>
      <c r="AS39" s="309">
        <f t="shared" si="29"/>
        <v>16.455696202531644</v>
      </c>
      <c r="AT39" s="309">
        <f t="shared" si="29"/>
        <v>11.688311688311689</v>
      </c>
      <c r="AU39" s="309">
        <f t="shared" si="29"/>
        <v>10.114942528735632</v>
      </c>
      <c r="AV39" s="309">
        <f t="shared" si="29"/>
        <v>8.8235294117647065</v>
      </c>
      <c r="AW39" s="309">
        <f t="shared" si="29"/>
        <v>6.8965517241379315</v>
      </c>
      <c r="AX39" s="309">
        <f t="shared" si="29"/>
        <v>7.349081364829396</v>
      </c>
      <c r="AY39" s="309">
        <f t="shared" si="29"/>
        <v>7.0588235294117636</v>
      </c>
      <c r="AZ39" s="309">
        <f t="shared" si="29"/>
        <v>6.8273092369477908</v>
      </c>
      <c r="BA39" s="309">
        <f t="shared" si="29"/>
        <v>6.9444444444444446</v>
      </c>
      <c r="BB39" s="309">
        <f t="shared" si="29"/>
        <v>7.2580645161290329</v>
      </c>
      <c r="BC39" s="309">
        <f t="shared" si="29"/>
        <v>7.6315789473684204</v>
      </c>
      <c r="BD39" s="308">
        <f t="shared" si="12"/>
        <v>65.930000000000021</v>
      </c>
      <c r="BE39" s="257">
        <f t="shared" si="6"/>
        <v>0.74530831099195716</v>
      </c>
      <c r="BF39" s="39">
        <f t="shared" si="13"/>
        <v>41.05</v>
      </c>
      <c r="BH39" s="333">
        <f t="shared" si="14"/>
        <v>1.2773179798416485</v>
      </c>
    </row>
    <row r="40" spans="1:60" ht="16" x14ac:dyDescent="0.2">
      <c r="A40" t="str">
        <f t="shared" si="15"/>
        <v xml:space="preserve">R7P2EA13 </v>
      </c>
      <c r="B40" s="25">
        <f t="shared" si="16"/>
        <v>99.714964370546312</v>
      </c>
      <c r="C40" s="25">
        <f t="shared" si="17"/>
        <v>95.888533576975789</v>
      </c>
      <c r="D40" s="25">
        <f t="shared" si="18"/>
        <v>811.99999999999989</v>
      </c>
      <c r="E40" s="303">
        <f t="shared" si="7"/>
        <v>-2.6577949259205425E-2</v>
      </c>
      <c r="F40" s="303">
        <f t="shared" si="7"/>
        <v>4.5778301140468214E-2</v>
      </c>
      <c r="G40" s="303">
        <f t="shared" si="7"/>
        <v>9.6044726301735439E-2</v>
      </c>
      <c r="H40" s="303">
        <f t="shared" si="7"/>
        <v>5.8554262826626013E-2</v>
      </c>
      <c r="I40" s="303">
        <f t="shared" si="7"/>
        <v>-0.21751668891855802</v>
      </c>
      <c r="J40" s="303">
        <f t="shared" si="7"/>
        <v>-0.67067200712060515</v>
      </c>
      <c r="K40" s="303">
        <f t="shared" si="7"/>
        <v>-0.1766800178015131</v>
      </c>
      <c r="L40" s="303">
        <f t="shared" si="7"/>
        <v>-0.17831035439992604</v>
      </c>
      <c r="M40" s="303">
        <f t="shared" si="7"/>
        <v>0</v>
      </c>
      <c r="N40" s="303">
        <f t="shared" si="7"/>
        <v>0.1855807743658211</v>
      </c>
      <c r="O40" s="303">
        <f t="shared" si="7"/>
        <v>4.2585804360628199E-2</v>
      </c>
      <c r="AE40" s="309">
        <f t="shared" si="3"/>
        <v>8.9743589743589745</v>
      </c>
      <c r="AG40">
        <f t="shared" si="9"/>
        <v>10.791366906474821</v>
      </c>
      <c r="AM40">
        <f t="shared" si="10"/>
        <v>0.83162393162393156</v>
      </c>
      <c r="AO40" s="310">
        <f t="shared" si="4"/>
        <v>750</v>
      </c>
      <c r="AP40" s="309">
        <f t="shared" ref="AP40:BC40" si="30">AP20/AP$26</f>
        <v>28.337874659400548</v>
      </c>
      <c r="AQ40" s="309">
        <f t="shared" si="30"/>
        <v>25.600835945663533</v>
      </c>
      <c r="AR40" s="309">
        <f t="shared" si="30"/>
        <v>20.43795620437956</v>
      </c>
      <c r="AS40" s="309">
        <f t="shared" si="30"/>
        <v>16.455696202531644</v>
      </c>
      <c r="AT40" s="309">
        <f t="shared" si="30"/>
        <v>12.121212121212119</v>
      </c>
      <c r="AU40" s="309">
        <f t="shared" si="30"/>
        <v>10.344827586206897</v>
      </c>
      <c r="AV40" s="309">
        <f t="shared" si="30"/>
        <v>9.1503267973856204</v>
      </c>
      <c r="AW40" s="309">
        <f t="shared" si="30"/>
        <v>8.6206896551724128</v>
      </c>
      <c r="AX40" s="309">
        <f t="shared" si="30"/>
        <v>7.8740157480314963</v>
      </c>
      <c r="AY40" s="309">
        <f t="shared" si="30"/>
        <v>7.0588235294117636</v>
      </c>
      <c r="AZ40" s="309">
        <f t="shared" si="30"/>
        <v>6.8273092369477908</v>
      </c>
      <c r="BA40" s="309">
        <f t="shared" si="30"/>
        <v>7.2222222222222232</v>
      </c>
      <c r="BB40" s="309">
        <f t="shared" si="30"/>
        <v>7.2580645161290329</v>
      </c>
      <c r="BC40" s="309">
        <f t="shared" si="30"/>
        <v>7.8947368421052628</v>
      </c>
      <c r="BD40" s="308">
        <f>SUM(AP20:BC20)</f>
        <v>64.059999999999988</v>
      </c>
      <c r="BE40" s="257">
        <f t="shared" si="6"/>
        <v>0.70200573065902583</v>
      </c>
      <c r="BF40" s="39">
        <f t="shared" si="13"/>
        <v>38.379999999999995</v>
      </c>
      <c r="BH40" s="333">
        <f t="shared" si="14"/>
        <v>1.0501981369230149</v>
      </c>
    </row>
    <row r="41" spans="1:60" ht="16" x14ac:dyDescent="0.2">
      <c r="A41" t="str">
        <f t="shared" si="15"/>
        <v xml:space="preserve">R7P2EA14 </v>
      </c>
      <c r="B41" s="25">
        <f t="shared" si="16"/>
        <v>99.548192771084331</v>
      </c>
      <c r="C41" s="25">
        <f t="shared" si="17"/>
        <v>94.744386048733858</v>
      </c>
      <c r="D41" s="25">
        <f t="shared" si="18"/>
        <v>985.46031746031758</v>
      </c>
      <c r="E41" s="303">
        <f t="shared" si="7"/>
        <v>0</v>
      </c>
      <c r="F41" s="303">
        <f t="shared" si="7"/>
        <v>0</v>
      </c>
      <c r="G41" s="303">
        <f t="shared" si="7"/>
        <v>0</v>
      </c>
      <c r="H41" s="303">
        <f t="shared" si="7"/>
        <v>0</v>
      </c>
      <c r="I41" s="303">
        <f t="shared" si="7"/>
        <v>0</v>
      </c>
      <c r="J41" s="303">
        <f t="shared" si="7"/>
        <v>0</v>
      </c>
      <c r="K41" s="303">
        <f t="shared" si="7"/>
        <v>0</v>
      </c>
      <c r="L41" s="303">
        <f t="shared" si="7"/>
        <v>0</v>
      </c>
      <c r="M41" s="303">
        <f t="shared" si="7"/>
        <v>0</v>
      </c>
      <c r="N41" s="303">
        <f t="shared" si="7"/>
        <v>0</v>
      </c>
      <c r="O41" s="303">
        <f t="shared" si="7"/>
        <v>0</v>
      </c>
    </row>
    <row r="42" spans="1:60" x14ac:dyDescent="0.2">
      <c r="A42" t="str">
        <f t="shared" si="15"/>
        <v xml:space="preserve">CZO-GNEISS </v>
      </c>
      <c r="B42" s="25">
        <f t="shared" si="16"/>
        <v>65.366317792578499</v>
      </c>
      <c r="C42" s="25">
        <f t="shared" si="17"/>
        <v>62.625341841385591</v>
      </c>
      <c r="D42" s="25">
        <f t="shared" si="18"/>
        <v>3461.7142857142858</v>
      </c>
    </row>
    <row r="43" spans="1:60" x14ac:dyDescent="0.2">
      <c r="A43" t="str">
        <f t="shared" si="15"/>
        <v xml:space="preserve">_MLG </v>
      </c>
      <c r="B43" s="25">
        <f t="shared" si="16"/>
        <v>69.180470793374013</v>
      </c>
      <c r="C43" s="25">
        <f t="shared" si="17"/>
        <v>60.781309842972036</v>
      </c>
      <c r="D43" s="25">
        <f t="shared" si="18"/>
        <v>5726.4761904761908</v>
      </c>
    </row>
  </sheetData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2"/>
  <sheetViews>
    <sheetView topLeftCell="S2" zoomScale="80" zoomScaleNormal="80" workbookViewId="0">
      <selection activeCell="AL25" sqref="AL25"/>
    </sheetView>
  </sheetViews>
  <sheetFormatPr baseColWidth="10" defaultRowHeight="15" x14ac:dyDescent="0.2"/>
  <cols>
    <col min="1" max="1" width="12.33203125" customWidth="1"/>
    <col min="2" max="3" width="8.83203125" bestFit="1" customWidth="1"/>
    <col min="4" max="4" width="10.33203125" bestFit="1" customWidth="1"/>
    <col min="5" max="5" width="10.33203125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3" width="7.83203125" bestFit="1" customWidth="1"/>
    <col min="34" max="39" width="7" bestFit="1" customWidth="1"/>
    <col min="40" max="40" width="7.33203125" bestFit="1" customWidth="1"/>
    <col min="41" max="41" width="11.1640625" customWidth="1"/>
    <col min="42" max="45" width="10.33203125" customWidth="1"/>
    <col min="46" max="55" width="7" bestFit="1" customWidth="1"/>
    <col min="56" max="56" width="9.5" customWidth="1"/>
    <col min="57" max="57" width="7" bestFit="1" customWidth="1"/>
    <col min="58" max="58" width="7" customWidth="1"/>
    <col min="59" max="62" width="7" bestFit="1" customWidth="1"/>
  </cols>
  <sheetData>
    <row r="1" spans="1:63" x14ac:dyDescent="0.2">
      <c r="A1" s="2" t="s">
        <v>416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3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3" x14ac:dyDescent="0.2">
      <c r="A3" s="2" t="s">
        <v>2</v>
      </c>
      <c r="B3" s="2" t="s">
        <v>422</v>
      </c>
      <c r="C3" s="2" t="s">
        <v>426</v>
      </c>
      <c r="D3" s="2" t="s">
        <v>426</v>
      </c>
      <c r="E3" s="2" t="s">
        <v>426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63" x14ac:dyDescent="0.2">
      <c r="A4" s="2" t="s">
        <v>60</v>
      </c>
      <c r="B4" s="2"/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63" x14ac:dyDescent="0.2">
      <c r="A5" s="2" t="s">
        <v>63</v>
      </c>
      <c r="B5" s="2"/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63" ht="16" thickBot="1" x14ac:dyDescent="0.25">
      <c r="A6" s="5" t="s">
        <v>64</v>
      </c>
      <c r="B6" s="5"/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  <c r="BK6" s="38" t="s">
        <v>467</v>
      </c>
    </row>
    <row r="7" spans="1:63" ht="16" thickTop="1" x14ac:dyDescent="0.2">
      <c r="A7" s="2" t="s">
        <v>100</v>
      </c>
      <c r="B7" s="7" t="s">
        <v>428</v>
      </c>
      <c r="C7" s="7">
        <v>0</v>
      </c>
      <c r="D7" s="7">
        <v>15</v>
      </c>
      <c r="E7" s="7">
        <f>AVERAGE(C7:D7)</f>
        <v>7.5</v>
      </c>
      <c r="F7" s="4">
        <v>71.989999999999995</v>
      </c>
      <c r="G7" s="4">
        <v>12.81</v>
      </c>
      <c r="H7" s="4">
        <v>3.93</v>
      </c>
      <c r="I7" s="4">
        <v>3.6999999999999998E-2</v>
      </c>
      <c r="J7" s="4">
        <v>0.23</v>
      </c>
      <c r="K7" s="4">
        <v>0.08</v>
      </c>
      <c r="L7" s="4">
        <v>0.23</v>
      </c>
      <c r="M7" s="4">
        <v>2.93</v>
      </c>
      <c r="N7" s="4">
        <v>0.41799999999999998</v>
      </c>
      <c r="O7" s="4">
        <v>1E-3</v>
      </c>
      <c r="P7" s="4">
        <v>6.62</v>
      </c>
      <c r="Q7" s="4">
        <v>99.29</v>
      </c>
      <c r="R7" s="4">
        <v>9</v>
      </c>
      <c r="S7" s="4" t="s">
        <v>68</v>
      </c>
      <c r="T7" s="4">
        <v>68</v>
      </c>
      <c r="U7" s="4" t="s">
        <v>69</v>
      </c>
      <c r="V7" s="4">
        <v>8</v>
      </c>
      <c r="W7" s="4" t="s">
        <v>69</v>
      </c>
      <c r="X7" s="4">
        <v>30</v>
      </c>
      <c r="Y7" s="4">
        <v>50</v>
      </c>
      <c r="Z7" s="4">
        <v>15</v>
      </c>
      <c r="AA7" s="4">
        <v>1</v>
      </c>
      <c r="AB7" s="4" t="s">
        <v>71</v>
      </c>
      <c r="AC7" s="4">
        <v>81</v>
      </c>
      <c r="AD7" s="4">
        <v>104</v>
      </c>
      <c r="AE7" s="4">
        <v>14</v>
      </c>
      <c r="AF7" s="4">
        <v>431</v>
      </c>
      <c r="AG7" s="4">
        <v>4</v>
      </c>
      <c r="AH7" s="4" t="s">
        <v>72</v>
      </c>
      <c r="AI7" s="4">
        <v>0.5</v>
      </c>
      <c r="AJ7" s="4" t="s">
        <v>73</v>
      </c>
      <c r="AK7" s="4">
        <v>2</v>
      </c>
      <c r="AL7" s="4" t="s">
        <v>74</v>
      </c>
      <c r="AM7" s="4">
        <v>1.7</v>
      </c>
      <c r="AN7" s="4">
        <v>502</v>
      </c>
      <c r="AO7" s="4" t="s">
        <v>75</v>
      </c>
      <c r="AP7" s="4">
        <v>37.799999999999997</v>
      </c>
      <c r="AQ7" s="4">
        <v>139</v>
      </c>
      <c r="AR7" s="4">
        <v>8.2899999999999991</v>
      </c>
      <c r="AS7" s="4">
        <v>27.8</v>
      </c>
      <c r="AT7" s="4">
        <v>4.0999999999999996</v>
      </c>
      <c r="AU7" s="4">
        <v>0.88</v>
      </c>
      <c r="AV7" s="4">
        <v>3</v>
      </c>
      <c r="AW7" s="4">
        <v>0.4</v>
      </c>
      <c r="AX7" s="4">
        <v>2.5</v>
      </c>
      <c r="AY7" s="4">
        <v>0.5</v>
      </c>
      <c r="AZ7" s="4">
        <v>1.5</v>
      </c>
      <c r="BA7" s="4">
        <v>0.24</v>
      </c>
      <c r="BB7" s="4">
        <v>1.6</v>
      </c>
      <c r="BC7" s="4">
        <v>0.27</v>
      </c>
      <c r="BD7" s="4">
        <v>9.6</v>
      </c>
      <c r="BE7" s="4">
        <v>0.6</v>
      </c>
      <c r="BF7" s="4" t="s">
        <v>68</v>
      </c>
      <c r="BG7" s="4">
        <v>0.4</v>
      </c>
      <c r="BH7" s="4">
        <v>23</v>
      </c>
      <c r="BI7" s="4">
        <v>14.1</v>
      </c>
      <c r="BJ7" s="4">
        <v>2.6</v>
      </c>
      <c r="BK7">
        <f>100*(G7/(G7+J7+K7+L7))</f>
        <v>95.955056179775283</v>
      </c>
    </row>
    <row r="8" spans="1:63" x14ac:dyDescent="0.2">
      <c r="A8" s="2" t="s">
        <v>101</v>
      </c>
      <c r="B8" s="7" t="s">
        <v>418</v>
      </c>
      <c r="C8" s="8">
        <v>15</v>
      </c>
      <c r="D8" s="8">
        <v>55</v>
      </c>
      <c r="E8" s="7">
        <f t="shared" ref="E8:E19" si="0">AVERAGE(C8:D8)</f>
        <v>35</v>
      </c>
      <c r="F8" s="4">
        <v>54.69</v>
      </c>
      <c r="G8" s="4">
        <v>22.09</v>
      </c>
      <c r="H8" s="4">
        <v>8.4499999999999993</v>
      </c>
      <c r="I8" s="4">
        <v>4.1000000000000002E-2</v>
      </c>
      <c r="J8" s="4">
        <v>0.56000000000000005</v>
      </c>
      <c r="K8" s="4">
        <v>7.0000000000000007E-2</v>
      </c>
      <c r="L8" s="4">
        <v>0.06</v>
      </c>
      <c r="M8" s="4">
        <v>1.1000000000000001</v>
      </c>
      <c r="N8" s="4">
        <v>0.65100000000000002</v>
      </c>
      <c r="O8" s="4">
        <v>0.04</v>
      </c>
      <c r="P8" s="4">
        <v>11.03</v>
      </c>
      <c r="Q8" s="4">
        <v>98.78</v>
      </c>
      <c r="R8" s="4">
        <v>22</v>
      </c>
      <c r="S8" s="4">
        <v>2</v>
      </c>
      <c r="T8" s="4">
        <v>159</v>
      </c>
      <c r="U8" s="4" t="s">
        <v>69</v>
      </c>
      <c r="V8" s="4">
        <v>11</v>
      </c>
      <c r="W8" s="4" t="s">
        <v>69</v>
      </c>
      <c r="X8" s="4">
        <v>40</v>
      </c>
      <c r="Y8" s="4">
        <v>70</v>
      </c>
      <c r="Z8" s="4">
        <v>28</v>
      </c>
      <c r="AA8" s="4">
        <v>2</v>
      </c>
      <c r="AB8" s="4" t="s">
        <v>71</v>
      </c>
      <c r="AC8" s="4">
        <v>73</v>
      </c>
      <c r="AD8" s="4">
        <v>26</v>
      </c>
      <c r="AE8" s="4">
        <v>16</v>
      </c>
      <c r="AF8" s="4">
        <v>168</v>
      </c>
      <c r="AG8" s="4">
        <v>7</v>
      </c>
      <c r="AH8" s="4" t="s">
        <v>72</v>
      </c>
      <c r="AI8" s="4" t="s">
        <v>74</v>
      </c>
      <c r="AJ8" s="4" t="s">
        <v>73</v>
      </c>
      <c r="AK8" s="4">
        <v>2</v>
      </c>
      <c r="AL8" s="4" t="s">
        <v>74</v>
      </c>
      <c r="AM8" s="4">
        <v>2.8</v>
      </c>
      <c r="AN8" s="4">
        <v>193</v>
      </c>
      <c r="AO8" s="4" t="s">
        <v>75</v>
      </c>
      <c r="AP8" s="4">
        <v>57.4</v>
      </c>
      <c r="AQ8" s="4">
        <v>147</v>
      </c>
      <c r="AR8" s="4">
        <v>12.1</v>
      </c>
      <c r="AS8" s="4">
        <v>39.799999999999997</v>
      </c>
      <c r="AT8" s="4">
        <v>5.4</v>
      </c>
      <c r="AU8" s="4">
        <v>1.1100000000000001</v>
      </c>
      <c r="AV8" s="4">
        <v>3.5</v>
      </c>
      <c r="AW8" s="4">
        <v>0.5</v>
      </c>
      <c r="AX8" s="4">
        <v>3</v>
      </c>
      <c r="AY8" s="4">
        <v>0.6</v>
      </c>
      <c r="AZ8" s="4">
        <v>1.7</v>
      </c>
      <c r="BA8" s="4">
        <v>0.26</v>
      </c>
      <c r="BB8" s="4">
        <v>1.7</v>
      </c>
      <c r="BC8" s="4">
        <v>0.28999999999999998</v>
      </c>
      <c r="BD8" s="4">
        <v>4.5</v>
      </c>
      <c r="BE8" s="4">
        <v>0.5</v>
      </c>
      <c r="BF8" s="4">
        <v>1</v>
      </c>
      <c r="BG8" s="4">
        <v>0.4</v>
      </c>
      <c r="BH8" s="4">
        <v>21</v>
      </c>
      <c r="BI8" s="4">
        <v>24.4</v>
      </c>
      <c r="BJ8" s="4">
        <v>2.7</v>
      </c>
      <c r="BK8">
        <f t="shared" ref="BK8:BK20" si="1">100*(G8/(G8+J8+K8+L8))</f>
        <v>96.971027216856896</v>
      </c>
    </row>
    <row r="9" spans="1:63" x14ac:dyDescent="0.2">
      <c r="A9" s="2" t="s">
        <v>102</v>
      </c>
      <c r="B9" s="7" t="s">
        <v>419</v>
      </c>
      <c r="C9" s="8">
        <v>55</v>
      </c>
      <c r="D9" s="8">
        <v>77</v>
      </c>
      <c r="E9" s="7">
        <f t="shared" si="0"/>
        <v>66</v>
      </c>
      <c r="F9" s="4">
        <v>61.27</v>
      </c>
      <c r="G9" s="4">
        <v>19.02</v>
      </c>
      <c r="H9" s="4">
        <v>6.16</v>
      </c>
      <c r="I9" s="4">
        <v>3.5000000000000003E-2</v>
      </c>
      <c r="J9" s="4">
        <v>0.53</v>
      </c>
      <c r="K9" s="4">
        <v>0.04</v>
      </c>
      <c r="L9" s="4">
        <v>0.19</v>
      </c>
      <c r="M9" s="4">
        <v>3.24</v>
      </c>
      <c r="N9" s="4">
        <v>0.54200000000000004</v>
      </c>
      <c r="O9" s="4">
        <v>0.02</v>
      </c>
      <c r="P9" s="4">
        <v>7.79</v>
      </c>
      <c r="Q9" s="4">
        <v>98.83</v>
      </c>
      <c r="R9" s="4">
        <v>16</v>
      </c>
      <c r="S9" s="4">
        <v>1</v>
      </c>
      <c r="T9" s="4">
        <v>110</v>
      </c>
      <c r="U9" s="4" t="s">
        <v>69</v>
      </c>
      <c r="V9" s="4">
        <v>8</v>
      </c>
      <c r="W9" s="4" t="s">
        <v>69</v>
      </c>
      <c r="X9" s="4">
        <v>30</v>
      </c>
      <c r="Y9" s="4">
        <v>60</v>
      </c>
      <c r="Z9" s="4">
        <v>25</v>
      </c>
      <c r="AA9" s="4">
        <v>2</v>
      </c>
      <c r="AB9" s="4" t="s">
        <v>71</v>
      </c>
      <c r="AC9" s="4">
        <v>116</v>
      </c>
      <c r="AD9" s="4">
        <v>89</v>
      </c>
      <c r="AE9" s="4">
        <v>8</v>
      </c>
      <c r="AF9" s="4">
        <v>226</v>
      </c>
      <c r="AG9" s="4">
        <v>8</v>
      </c>
      <c r="AH9" s="4" t="s">
        <v>72</v>
      </c>
      <c r="AI9" s="4" t="s">
        <v>74</v>
      </c>
      <c r="AJ9" s="4" t="s">
        <v>73</v>
      </c>
      <c r="AK9" s="4">
        <v>2</v>
      </c>
      <c r="AL9" s="4" t="s">
        <v>74</v>
      </c>
      <c r="AM9" s="4">
        <v>2.6</v>
      </c>
      <c r="AN9" s="4">
        <v>391</v>
      </c>
      <c r="AO9" s="4" t="s">
        <v>75</v>
      </c>
      <c r="AP9" s="4">
        <v>40.9</v>
      </c>
      <c r="AQ9" s="4">
        <v>188</v>
      </c>
      <c r="AR9" s="4">
        <v>8.69</v>
      </c>
      <c r="AS9" s="4">
        <v>27.9</v>
      </c>
      <c r="AT9" s="4">
        <v>3.8</v>
      </c>
      <c r="AU9" s="4">
        <v>0.71</v>
      </c>
      <c r="AV9" s="4">
        <v>2.1</v>
      </c>
      <c r="AW9" s="4">
        <v>0.3</v>
      </c>
      <c r="AX9" s="4">
        <v>1.6</v>
      </c>
      <c r="AY9" s="4">
        <v>0.3</v>
      </c>
      <c r="AZ9" s="4">
        <v>1</v>
      </c>
      <c r="BA9" s="4">
        <v>0.16</v>
      </c>
      <c r="BB9" s="4">
        <v>1.1000000000000001</v>
      </c>
      <c r="BC9" s="4">
        <v>0.19</v>
      </c>
      <c r="BD9" s="4">
        <v>5.2</v>
      </c>
      <c r="BE9" s="4">
        <v>0.7</v>
      </c>
      <c r="BF9" s="4" t="s">
        <v>68</v>
      </c>
      <c r="BG9" s="4">
        <v>0.6</v>
      </c>
      <c r="BH9" s="4">
        <v>27</v>
      </c>
      <c r="BI9" s="4">
        <v>39.1</v>
      </c>
      <c r="BJ9" s="4">
        <v>3</v>
      </c>
      <c r="BK9">
        <f t="shared" si="1"/>
        <v>96.15773508594539</v>
      </c>
    </row>
    <row r="10" spans="1:63" x14ac:dyDescent="0.2">
      <c r="A10" s="2" t="s">
        <v>103</v>
      </c>
      <c r="B10" s="7" t="s">
        <v>429</v>
      </c>
      <c r="C10" s="7">
        <v>77</v>
      </c>
      <c r="D10" s="7">
        <v>90</v>
      </c>
      <c r="E10" s="7">
        <f t="shared" si="0"/>
        <v>83.5</v>
      </c>
      <c r="F10" s="4">
        <v>57.8</v>
      </c>
      <c r="G10" s="4">
        <v>20.53</v>
      </c>
      <c r="H10" s="4">
        <v>8.1999999999999993</v>
      </c>
      <c r="I10" s="4">
        <v>5.2999999999999999E-2</v>
      </c>
      <c r="J10" s="4">
        <v>1.02</v>
      </c>
      <c r="K10" s="4">
        <v>7.0000000000000007E-2</v>
      </c>
      <c r="L10" s="4">
        <v>0.06</v>
      </c>
      <c r="M10" s="4">
        <v>1.36</v>
      </c>
      <c r="N10" s="4">
        <v>0.64300000000000002</v>
      </c>
      <c r="O10" s="4">
        <v>0.03</v>
      </c>
      <c r="P10" s="4">
        <v>9.57</v>
      </c>
      <c r="Q10" s="4">
        <v>99.33</v>
      </c>
      <c r="R10" s="4">
        <v>19</v>
      </c>
      <c r="S10" s="4">
        <v>2</v>
      </c>
      <c r="T10" s="4">
        <v>152</v>
      </c>
      <c r="U10" s="4" t="s">
        <v>69</v>
      </c>
      <c r="V10" s="4">
        <v>11</v>
      </c>
      <c r="W10" s="4" t="s">
        <v>69</v>
      </c>
      <c r="X10" s="4">
        <v>40</v>
      </c>
      <c r="Y10" s="4">
        <v>80</v>
      </c>
      <c r="Z10" s="4">
        <v>26</v>
      </c>
      <c r="AA10" s="4">
        <v>2</v>
      </c>
      <c r="AB10" s="4" t="s">
        <v>71</v>
      </c>
      <c r="AC10" s="4">
        <v>96</v>
      </c>
      <c r="AD10" s="4">
        <v>18</v>
      </c>
      <c r="AE10" s="4">
        <v>10</v>
      </c>
      <c r="AF10" s="4">
        <v>137</v>
      </c>
      <c r="AG10" s="4">
        <v>6</v>
      </c>
      <c r="AH10" s="4" t="s">
        <v>72</v>
      </c>
      <c r="AI10" s="4" t="s">
        <v>74</v>
      </c>
      <c r="AJ10" s="4" t="s">
        <v>73</v>
      </c>
      <c r="AK10" s="4">
        <v>3</v>
      </c>
      <c r="AL10" s="4" t="s">
        <v>74</v>
      </c>
      <c r="AM10" s="4">
        <v>3</v>
      </c>
      <c r="AN10" s="4">
        <v>139</v>
      </c>
      <c r="AO10" s="4" t="s">
        <v>75</v>
      </c>
      <c r="AP10" s="4">
        <v>60</v>
      </c>
      <c r="AQ10" s="4">
        <v>85.5</v>
      </c>
      <c r="AR10" s="4">
        <v>13.4</v>
      </c>
      <c r="AS10" s="4">
        <v>45</v>
      </c>
      <c r="AT10" s="4">
        <v>5.8</v>
      </c>
      <c r="AU10" s="4">
        <v>1.03</v>
      </c>
      <c r="AV10" s="4">
        <v>3.1</v>
      </c>
      <c r="AW10" s="4">
        <v>0.4</v>
      </c>
      <c r="AX10" s="4">
        <v>2.2000000000000002</v>
      </c>
      <c r="AY10" s="4">
        <v>0.4</v>
      </c>
      <c r="AZ10" s="4">
        <v>1.3</v>
      </c>
      <c r="BA10" s="4">
        <v>0.19</v>
      </c>
      <c r="BB10" s="4">
        <v>1.3</v>
      </c>
      <c r="BC10" s="4">
        <v>0.21</v>
      </c>
      <c r="BD10" s="4">
        <v>3.4</v>
      </c>
      <c r="BE10" s="4">
        <v>0.5</v>
      </c>
      <c r="BF10" s="4" t="s">
        <v>68</v>
      </c>
      <c r="BG10" s="4">
        <v>0.5</v>
      </c>
      <c r="BH10" s="4">
        <v>20</v>
      </c>
      <c r="BI10" s="4">
        <v>24.4</v>
      </c>
      <c r="BJ10" s="4">
        <v>2.6</v>
      </c>
      <c r="BK10">
        <f t="shared" si="1"/>
        <v>94.695571955719558</v>
      </c>
    </row>
    <row r="11" spans="1:63" x14ac:dyDescent="0.2">
      <c r="A11" s="2" t="s">
        <v>104</v>
      </c>
      <c r="B11" s="7" t="s">
        <v>435</v>
      </c>
      <c r="C11" s="7">
        <v>90</v>
      </c>
      <c r="D11" s="7">
        <v>110</v>
      </c>
      <c r="E11" s="7">
        <f t="shared" si="0"/>
        <v>100</v>
      </c>
      <c r="F11" s="4">
        <v>65.05</v>
      </c>
      <c r="G11" s="4">
        <v>18.170000000000002</v>
      </c>
      <c r="H11" s="4">
        <v>5.99</v>
      </c>
      <c r="I11" s="4">
        <v>3.7999999999999999E-2</v>
      </c>
      <c r="J11" s="4">
        <v>0.76</v>
      </c>
      <c r="K11" s="4">
        <v>0.04</v>
      </c>
      <c r="L11" s="4">
        <v>0.14000000000000001</v>
      </c>
      <c r="M11" s="4">
        <v>2.83</v>
      </c>
      <c r="N11" s="4">
        <v>0.56399999999999995</v>
      </c>
      <c r="O11" s="4">
        <v>1E-3</v>
      </c>
      <c r="P11" s="4">
        <v>6.7</v>
      </c>
      <c r="Q11" s="4">
        <v>100.3</v>
      </c>
      <c r="R11" s="4">
        <v>13</v>
      </c>
      <c r="S11" s="4">
        <v>1</v>
      </c>
      <c r="T11" s="4">
        <v>99</v>
      </c>
      <c r="U11" s="4" t="s">
        <v>69</v>
      </c>
      <c r="V11" s="4">
        <v>7</v>
      </c>
      <c r="W11" s="4" t="s">
        <v>69</v>
      </c>
      <c r="X11" s="4">
        <v>30</v>
      </c>
      <c r="Y11" s="4">
        <v>70</v>
      </c>
      <c r="Z11" s="4">
        <v>24</v>
      </c>
      <c r="AA11" s="4">
        <v>2</v>
      </c>
      <c r="AB11" s="4" t="s">
        <v>71</v>
      </c>
      <c r="AC11" s="4">
        <v>112</v>
      </c>
      <c r="AD11" s="4">
        <v>68</v>
      </c>
      <c r="AE11" s="4">
        <v>10</v>
      </c>
      <c r="AF11" s="4">
        <v>223</v>
      </c>
      <c r="AG11" s="4">
        <v>6</v>
      </c>
      <c r="AH11" s="4" t="s">
        <v>72</v>
      </c>
      <c r="AI11" s="4" t="s">
        <v>74</v>
      </c>
      <c r="AJ11" s="4" t="s">
        <v>73</v>
      </c>
      <c r="AK11" s="4">
        <v>2</v>
      </c>
      <c r="AL11" s="4" t="s">
        <v>74</v>
      </c>
      <c r="AM11" s="4">
        <v>2.4</v>
      </c>
      <c r="AN11" s="4">
        <v>328</v>
      </c>
      <c r="AO11" s="4" t="s">
        <v>75</v>
      </c>
      <c r="AP11" s="4">
        <v>54.8</v>
      </c>
      <c r="AQ11" s="4">
        <v>104</v>
      </c>
      <c r="AR11" s="4">
        <v>12.3</v>
      </c>
      <c r="AS11" s="4">
        <v>39.9</v>
      </c>
      <c r="AT11" s="4">
        <v>5.2</v>
      </c>
      <c r="AU11" s="4">
        <v>0.86</v>
      </c>
      <c r="AV11" s="4">
        <v>2.5</v>
      </c>
      <c r="AW11" s="4">
        <v>0.3</v>
      </c>
      <c r="AX11" s="4">
        <v>1.9</v>
      </c>
      <c r="AY11" s="4">
        <v>0.4</v>
      </c>
      <c r="AZ11" s="4">
        <v>1.1000000000000001</v>
      </c>
      <c r="BA11" s="4">
        <v>0.17</v>
      </c>
      <c r="BB11" s="4">
        <v>1.1000000000000001</v>
      </c>
      <c r="BC11" s="4">
        <v>0.19</v>
      </c>
      <c r="BD11" s="4">
        <v>5.5</v>
      </c>
      <c r="BE11" s="4">
        <v>0.4</v>
      </c>
      <c r="BF11" s="4" t="s">
        <v>68</v>
      </c>
      <c r="BG11" s="4">
        <v>0.6</v>
      </c>
      <c r="BH11" s="4">
        <v>23</v>
      </c>
      <c r="BI11" s="4">
        <v>32.6</v>
      </c>
      <c r="BJ11" s="4">
        <v>2.2000000000000002</v>
      </c>
      <c r="BK11">
        <f t="shared" si="1"/>
        <v>95.08110936682364</v>
      </c>
    </row>
    <row r="12" spans="1:63" x14ac:dyDescent="0.2">
      <c r="A12" s="2" t="s">
        <v>105</v>
      </c>
      <c r="B12" s="9"/>
      <c r="C12" s="9">
        <v>110</v>
      </c>
      <c r="D12" s="9">
        <v>127</v>
      </c>
      <c r="E12" s="7">
        <f t="shared" si="0"/>
        <v>118.5</v>
      </c>
      <c r="F12" s="4">
        <v>72.73</v>
      </c>
      <c r="G12" s="4">
        <v>14</v>
      </c>
      <c r="H12" s="4">
        <v>2.69</v>
      </c>
      <c r="I12" s="4">
        <v>2.5999999999999999E-2</v>
      </c>
      <c r="J12" s="4">
        <v>0.25</v>
      </c>
      <c r="K12" s="4">
        <v>0.03</v>
      </c>
      <c r="L12" s="4">
        <v>0.34</v>
      </c>
      <c r="M12" s="4">
        <v>6.6</v>
      </c>
      <c r="N12" s="4">
        <v>0.33200000000000002</v>
      </c>
      <c r="O12" s="4">
        <v>0.02</v>
      </c>
      <c r="P12" s="4">
        <v>2.96</v>
      </c>
      <c r="Q12" s="4">
        <v>99.97</v>
      </c>
      <c r="R12" s="4">
        <v>5</v>
      </c>
      <c r="S12" s="4" t="s">
        <v>68</v>
      </c>
      <c r="T12" s="4">
        <v>42</v>
      </c>
      <c r="U12" s="4" t="s">
        <v>69</v>
      </c>
      <c r="V12" s="4">
        <v>7</v>
      </c>
      <c r="W12" s="4" t="s">
        <v>69</v>
      </c>
      <c r="X12" s="4">
        <v>30</v>
      </c>
      <c r="Y12" s="4">
        <v>30</v>
      </c>
      <c r="Z12" s="4">
        <v>17</v>
      </c>
      <c r="AA12" s="4">
        <v>1</v>
      </c>
      <c r="AB12" s="4" t="s">
        <v>71</v>
      </c>
      <c r="AC12" s="4">
        <v>142</v>
      </c>
      <c r="AD12" s="4">
        <v>193</v>
      </c>
      <c r="AE12" s="4">
        <v>11</v>
      </c>
      <c r="AF12" s="4">
        <v>251</v>
      </c>
      <c r="AG12" s="4">
        <v>7</v>
      </c>
      <c r="AH12" s="4" t="s">
        <v>72</v>
      </c>
      <c r="AI12" s="4" t="s">
        <v>74</v>
      </c>
      <c r="AJ12" s="4" t="s">
        <v>73</v>
      </c>
      <c r="AK12" s="4">
        <v>2</v>
      </c>
      <c r="AL12" s="4" t="s">
        <v>74</v>
      </c>
      <c r="AM12" s="4">
        <v>1.3</v>
      </c>
      <c r="AN12" s="4">
        <v>762</v>
      </c>
      <c r="AO12" s="4" t="s">
        <v>75</v>
      </c>
      <c r="AP12" s="4">
        <v>120</v>
      </c>
      <c r="AQ12" s="4">
        <v>261</v>
      </c>
      <c r="AR12" s="4">
        <v>25</v>
      </c>
      <c r="AS12" s="4">
        <v>77.7</v>
      </c>
      <c r="AT12" s="4">
        <v>9.4</v>
      </c>
      <c r="AU12" s="4">
        <v>1.36</v>
      </c>
      <c r="AV12" s="4">
        <v>4.2</v>
      </c>
      <c r="AW12" s="4">
        <v>0.5</v>
      </c>
      <c r="AX12" s="4">
        <v>2.6</v>
      </c>
      <c r="AY12" s="4">
        <v>0.5</v>
      </c>
      <c r="AZ12" s="4">
        <v>1.4</v>
      </c>
      <c r="BA12" s="4">
        <v>0.21</v>
      </c>
      <c r="BB12" s="4">
        <v>1.4</v>
      </c>
      <c r="BC12" s="4">
        <v>0.22</v>
      </c>
      <c r="BD12" s="4">
        <v>5.9</v>
      </c>
      <c r="BE12" s="4">
        <v>1.2</v>
      </c>
      <c r="BF12" s="4" t="s">
        <v>68</v>
      </c>
      <c r="BG12" s="4">
        <v>0.7</v>
      </c>
      <c r="BH12" s="4">
        <v>36</v>
      </c>
      <c r="BI12" s="4">
        <v>37.9</v>
      </c>
      <c r="BJ12" s="4">
        <v>3.6</v>
      </c>
      <c r="BK12">
        <f t="shared" si="1"/>
        <v>95.759233926128601</v>
      </c>
    </row>
    <row r="13" spans="1:63" x14ac:dyDescent="0.2">
      <c r="A13" s="2" t="s">
        <v>106</v>
      </c>
      <c r="B13" s="9" t="s">
        <v>421</v>
      </c>
      <c r="C13" s="9">
        <v>127</v>
      </c>
      <c r="D13" s="9">
        <v>222</v>
      </c>
      <c r="E13" s="7">
        <f t="shared" si="0"/>
        <v>174.5</v>
      </c>
      <c r="F13" s="4">
        <v>71.72</v>
      </c>
      <c r="G13" s="4">
        <v>14.47</v>
      </c>
      <c r="H13" s="4">
        <v>2.98</v>
      </c>
      <c r="I13" s="4">
        <v>3.6999999999999998E-2</v>
      </c>
      <c r="J13" s="4">
        <v>0.37</v>
      </c>
      <c r="K13" s="4">
        <v>0.04</v>
      </c>
      <c r="L13" s="4">
        <v>0.33</v>
      </c>
      <c r="M13" s="4">
        <v>6.65</v>
      </c>
      <c r="N13" s="4">
        <v>0.36</v>
      </c>
      <c r="O13" s="4">
        <v>0.02</v>
      </c>
      <c r="P13" s="4">
        <v>2.92</v>
      </c>
      <c r="Q13" s="4">
        <v>99.9</v>
      </c>
      <c r="R13" s="4">
        <v>4</v>
      </c>
      <c r="S13" s="4" t="s">
        <v>68</v>
      </c>
      <c r="T13" s="4">
        <v>36</v>
      </c>
      <c r="U13" s="4" t="s">
        <v>69</v>
      </c>
      <c r="V13" s="4">
        <v>5</v>
      </c>
      <c r="W13" s="4" t="s">
        <v>69</v>
      </c>
      <c r="X13" s="4">
        <v>20</v>
      </c>
      <c r="Y13" s="4">
        <v>40</v>
      </c>
      <c r="Z13" s="4">
        <v>19</v>
      </c>
      <c r="AA13" s="4">
        <v>1</v>
      </c>
      <c r="AB13" s="4" t="s">
        <v>71</v>
      </c>
      <c r="AC13" s="4">
        <v>163</v>
      </c>
      <c r="AD13" s="4">
        <v>191</v>
      </c>
      <c r="AE13" s="4">
        <v>17</v>
      </c>
      <c r="AF13" s="4">
        <v>309</v>
      </c>
      <c r="AG13" s="4">
        <v>5</v>
      </c>
      <c r="AH13" s="4" t="s">
        <v>72</v>
      </c>
      <c r="AI13" s="4" t="s">
        <v>74</v>
      </c>
      <c r="AJ13" s="4" t="s">
        <v>73</v>
      </c>
      <c r="AK13" s="4">
        <v>2</v>
      </c>
      <c r="AL13" s="4" t="s">
        <v>74</v>
      </c>
      <c r="AM13" s="4">
        <v>1.4</v>
      </c>
      <c r="AN13" s="4">
        <v>779</v>
      </c>
      <c r="AO13" s="4" t="s">
        <v>75</v>
      </c>
      <c r="AP13" s="4">
        <v>185</v>
      </c>
      <c r="AQ13" s="4">
        <v>349</v>
      </c>
      <c r="AR13" s="4">
        <v>39.799999999999997</v>
      </c>
      <c r="AS13" s="4">
        <v>125</v>
      </c>
      <c r="AT13" s="4">
        <v>15.5</v>
      </c>
      <c r="AU13" s="4">
        <v>2.29</v>
      </c>
      <c r="AV13" s="4">
        <v>6.7</v>
      </c>
      <c r="AW13" s="4">
        <v>0.8</v>
      </c>
      <c r="AX13" s="4">
        <v>4</v>
      </c>
      <c r="AY13" s="4">
        <v>0.7</v>
      </c>
      <c r="AZ13" s="4">
        <v>2.2000000000000002</v>
      </c>
      <c r="BA13" s="4">
        <v>0.31</v>
      </c>
      <c r="BB13" s="4">
        <v>1.9</v>
      </c>
      <c r="BC13" s="4">
        <v>0.28999999999999998</v>
      </c>
      <c r="BD13" s="4">
        <v>7</v>
      </c>
      <c r="BE13" s="4">
        <v>0.6</v>
      </c>
      <c r="BF13" s="4" t="s">
        <v>68</v>
      </c>
      <c r="BG13" s="4">
        <v>0.6</v>
      </c>
      <c r="BH13" s="4">
        <v>33</v>
      </c>
      <c r="BI13" s="4">
        <v>44</v>
      </c>
      <c r="BJ13" s="4">
        <v>2.7</v>
      </c>
      <c r="BK13">
        <f t="shared" si="1"/>
        <v>95.134779750164384</v>
      </c>
    </row>
    <row r="14" spans="1:63" x14ac:dyDescent="0.2">
      <c r="A14" s="2" t="s">
        <v>107</v>
      </c>
      <c r="B14" s="9" t="s">
        <v>436</v>
      </c>
      <c r="C14" s="9">
        <v>219</v>
      </c>
      <c r="D14" s="9">
        <v>250</v>
      </c>
      <c r="E14" s="7">
        <f t="shared" si="0"/>
        <v>234.5</v>
      </c>
      <c r="F14" s="4">
        <v>62.79</v>
      </c>
      <c r="G14" s="4">
        <v>18.93</v>
      </c>
      <c r="H14" s="4">
        <v>6.74</v>
      </c>
      <c r="I14" s="4">
        <v>6.7000000000000004E-2</v>
      </c>
      <c r="J14" s="4">
        <v>1.6</v>
      </c>
      <c r="K14" s="4">
        <v>0.25</v>
      </c>
      <c r="L14" s="4">
        <v>0.09</v>
      </c>
      <c r="M14" s="4">
        <v>2.11</v>
      </c>
      <c r="N14" s="4">
        <v>0.6</v>
      </c>
      <c r="O14" s="4">
        <v>1E-3</v>
      </c>
      <c r="P14" s="4">
        <v>7.07</v>
      </c>
      <c r="Q14" s="4">
        <v>100.3</v>
      </c>
      <c r="R14" s="4">
        <v>14</v>
      </c>
      <c r="S14" s="4">
        <v>2</v>
      </c>
      <c r="T14" s="4">
        <v>111</v>
      </c>
      <c r="U14" s="4" t="s">
        <v>69</v>
      </c>
      <c r="V14" s="4">
        <v>11</v>
      </c>
      <c r="W14" s="4" t="s">
        <v>69</v>
      </c>
      <c r="X14" s="4">
        <v>10</v>
      </c>
      <c r="Y14" s="4">
        <v>100</v>
      </c>
      <c r="Z14" s="4">
        <v>24</v>
      </c>
      <c r="AA14" s="4">
        <v>2</v>
      </c>
      <c r="AB14" s="4" t="s">
        <v>71</v>
      </c>
      <c r="AC14" s="4">
        <v>136</v>
      </c>
      <c r="AD14" s="4">
        <v>25</v>
      </c>
      <c r="AE14" s="4">
        <v>13</v>
      </c>
      <c r="AF14" s="4">
        <v>149</v>
      </c>
      <c r="AG14" s="4">
        <v>6</v>
      </c>
      <c r="AH14" s="4" t="s">
        <v>72</v>
      </c>
      <c r="AI14" s="4" t="s">
        <v>74</v>
      </c>
      <c r="AJ14" s="4" t="s">
        <v>73</v>
      </c>
      <c r="AK14" s="4">
        <v>2</v>
      </c>
      <c r="AL14" s="4" t="s">
        <v>74</v>
      </c>
      <c r="AM14" s="4">
        <v>3.5</v>
      </c>
      <c r="AN14" s="4">
        <v>251</v>
      </c>
      <c r="AO14" s="4" t="s">
        <v>75</v>
      </c>
      <c r="AP14" s="4">
        <v>47.9</v>
      </c>
      <c r="AQ14" s="4">
        <v>46.3</v>
      </c>
      <c r="AR14" s="4">
        <v>11.3</v>
      </c>
      <c r="AS14" s="4">
        <v>39.200000000000003</v>
      </c>
      <c r="AT14" s="4">
        <v>5.9</v>
      </c>
      <c r="AU14" s="4">
        <v>1.1100000000000001</v>
      </c>
      <c r="AV14" s="4">
        <v>3.6</v>
      </c>
      <c r="AW14" s="4">
        <v>0.5</v>
      </c>
      <c r="AX14" s="4">
        <v>2.6</v>
      </c>
      <c r="AY14" s="4">
        <v>0.5</v>
      </c>
      <c r="AZ14" s="4">
        <v>1.6</v>
      </c>
      <c r="BA14" s="4">
        <v>0.23</v>
      </c>
      <c r="BB14" s="4">
        <v>1.6</v>
      </c>
      <c r="BC14" s="4">
        <v>0.27</v>
      </c>
      <c r="BD14" s="4">
        <v>3.8</v>
      </c>
      <c r="BE14" s="4">
        <v>0.4</v>
      </c>
      <c r="BF14" s="4" t="s">
        <v>68</v>
      </c>
      <c r="BG14" s="4">
        <v>0.6</v>
      </c>
      <c r="BH14" s="4">
        <v>16</v>
      </c>
      <c r="BI14" s="4">
        <v>17.399999999999999</v>
      </c>
      <c r="BJ14" s="4">
        <v>1.8</v>
      </c>
      <c r="BK14">
        <f t="shared" si="1"/>
        <v>90.704360325826542</v>
      </c>
    </row>
    <row r="15" spans="1:63" x14ac:dyDescent="0.2">
      <c r="A15" s="2" t="s">
        <v>108</v>
      </c>
      <c r="B15" s="2" t="s">
        <v>421</v>
      </c>
      <c r="C15" s="7">
        <v>300</v>
      </c>
      <c r="D15" s="7">
        <v>400</v>
      </c>
      <c r="E15" s="7">
        <f t="shared" si="0"/>
        <v>350</v>
      </c>
      <c r="F15" s="4">
        <v>68.540000000000006</v>
      </c>
      <c r="G15" s="4">
        <v>16.57</v>
      </c>
      <c r="H15" s="4">
        <v>4.0599999999999996</v>
      </c>
      <c r="I15" s="4">
        <v>5.7000000000000002E-2</v>
      </c>
      <c r="J15" s="4">
        <v>0.92</v>
      </c>
      <c r="K15" s="4">
        <v>0.2</v>
      </c>
      <c r="L15" s="4">
        <v>0.15</v>
      </c>
      <c r="M15" s="4">
        <v>2.68</v>
      </c>
      <c r="N15" s="4">
        <v>0.315</v>
      </c>
      <c r="O15" s="4">
        <v>1E-3</v>
      </c>
      <c r="P15" s="4">
        <v>5.93</v>
      </c>
      <c r="Q15" s="4">
        <v>99.42</v>
      </c>
      <c r="R15" s="4">
        <v>9</v>
      </c>
      <c r="S15" s="4">
        <v>2</v>
      </c>
      <c r="T15" s="4">
        <v>57</v>
      </c>
      <c r="U15" s="4" t="s">
        <v>69</v>
      </c>
      <c r="V15" s="4">
        <v>9</v>
      </c>
      <c r="W15" s="4" t="s">
        <v>69</v>
      </c>
      <c r="X15" s="4">
        <v>20</v>
      </c>
      <c r="Y15" s="4">
        <v>60</v>
      </c>
      <c r="Z15" s="4">
        <v>18</v>
      </c>
      <c r="AA15" s="4">
        <v>2</v>
      </c>
      <c r="AB15" s="4" t="s">
        <v>71</v>
      </c>
      <c r="AC15" s="4">
        <v>105</v>
      </c>
      <c r="AD15" s="4">
        <v>40</v>
      </c>
      <c r="AE15" s="4">
        <v>8</v>
      </c>
      <c r="AF15" s="4">
        <v>96</v>
      </c>
      <c r="AG15" s="4">
        <v>4</v>
      </c>
      <c r="AH15" s="4" t="s">
        <v>72</v>
      </c>
      <c r="AI15" s="4" t="s">
        <v>74</v>
      </c>
      <c r="AJ15" s="4" t="s">
        <v>73</v>
      </c>
      <c r="AK15" s="4">
        <v>2</v>
      </c>
      <c r="AL15" s="4" t="s">
        <v>74</v>
      </c>
      <c r="AM15" s="4">
        <v>2.2000000000000002</v>
      </c>
      <c r="AN15" s="4">
        <v>460</v>
      </c>
      <c r="AO15" s="4" t="s">
        <v>75</v>
      </c>
      <c r="AP15" s="4">
        <v>19</v>
      </c>
      <c r="AQ15" s="4">
        <v>38.799999999999997</v>
      </c>
      <c r="AR15" s="4">
        <v>3.77</v>
      </c>
      <c r="AS15" s="4">
        <v>12.9</v>
      </c>
      <c r="AT15" s="4">
        <v>2</v>
      </c>
      <c r="AU15" s="4">
        <v>0.48</v>
      </c>
      <c r="AV15" s="4">
        <v>1.5</v>
      </c>
      <c r="AW15" s="4">
        <v>0.2</v>
      </c>
      <c r="AX15" s="4">
        <v>1.3</v>
      </c>
      <c r="AY15" s="4">
        <v>0.3</v>
      </c>
      <c r="AZ15" s="4">
        <v>0.9</v>
      </c>
      <c r="BA15" s="4">
        <v>0.13</v>
      </c>
      <c r="BB15" s="4">
        <v>0.9</v>
      </c>
      <c r="BC15" s="4">
        <v>0.16</v>
      </c>
      <c r="BD15" s="4">
        <v>2.8</v>
      </c>
      <c r="BE15" s="4">
        <v>0.3</v>
      </c>
      <c r="BF15" s="4" t="s">
        <v>68</v>
      </c>
      <c r="BG15" s="4">
        <v>0.4</v>
      </c>
      <c r="BH15" s="4">
        <v>18</v>
      </c>
      <c r="BI15" s="4">
        <v>9.4</v>
      </c>
      <c r="BJ15" s="4">
        <v>0.9</v>
      </c>
      <c r="BK15">
        <f t="shared" si="1"/>
        <v>92.881165919282509</v>
      </c>
    </row>
    <row r="16" spans="1:63" x14ac:dyDescent="0.2">
      <c r="A16" s="2" t="s">
        <v>109</v>
      </c>
      <c r="B16" s="2" t="s">
        <v>421</v>
      </c>
      <c r="C16" s="7">
        <v>400</v>
      </c>
      <c r="D16" s="7">
        <v>500</v>
      </c>
      <c r="E16" s="7">
        <f t="shared" si="0"/>
        <v>450</v>
      </c>
      <c r="F16" s="4">
        <v>54.05</v>
      </c>
      <c r="G16" s="4">
        <v>20.72</v>
      </c>
      <c r="H16" s="4">
        <v>10.32</v>
      </c>
      <c r="I16" s="4">
        <v>0.17899999999999999</v>
      </c>
      <c r="J16" s="4">
        <v>1.2</v>
      </c>
      <c r="K16" s="4">
        <v>0.06</v>
      </c>
      <c r="L16" s="4">
        <v>0.12</v>
      </c>
      <c r="M16" s="4">
        <v>1.97</v>
      </c>
      <c r="N16" s="4">
        <v>0.88</v>
      </c>
      <c r="O16" s="4">
        <v>0.04</v>
      </c>
      <c r="P16" s="4">
        <v>9.76</v>
      </c>
      <c r="Q16" s="4">
        <v>99.3</v>
      </c>
      <c r="R16" s="4">
        <v>28</v>
      </c>
      <c r="S16" s="4">
        <v>2</v>
      </c>
      <c r="T16" s="4">
        <v>155</v>
      </c>
      <c r="U16" s="4" t="s">
        <v>69</v>
      </c>
      <c r="V16" s="4">
        <v>34</v>
      </c>
      <c r="W16" s="4" t="s">
        <v>69</v>
      </c>
      <c r="X16" s="4">
        <v>80</v>
      </c>
      <c r="Y16" s="4">
        <v>80</v>
      </c>
      <c r="Z16" s="4">
        <v>24</v>
      </c>
      <c r="AA16" s="4">
        <v>2</v>
      </c>
      <c r="AB16" s="4" t="s">
        <v>71</v>
      </c>
      <c r="AC16" s="4">
        <v>107</v>
      </c>
      <c r="AD16" s="4">
        <v>27</v>
      </c>
      <c r="AE16" s="4">
        <v>16</v>
      </c>
      <c r="AF16" s="4">
        <v>123</v>
      </c>
      <c r="AG16" s="4">
        <v>4</v>
      </c>
      <c r="AH16" s="4" t="s">
        <v>72</v>
      </c>
      <c r="AI16" s="4" t="s">
        <v>74</v>
      </c>
      <c r="AJ16" s="4" t="s">
        <v>73</v>
      </c>
      <c r="AK16" s="4">
        <v>1</v>
      </c>
      <c r="AL16" s="4" t="s">
        <v>74</v>
      </c>
      <c r="AM16" s="4">
        <v>2.8</v>
      </c>
      <c r="AN16" s="4">
        <v>374</v>
      </c>
      <c r="AO16" s="4" t="s">
        <v>75</v>
      </c>
      <c r="AP16" s="4">
        <v>34.1</v>
      </c>
      <c r="AQ16" s="4">
        <v>42.2</v>
      </c>
      <c r="AR16" s="4">
        <v>6.87</v>
      </c>
      <c r="AS16" s="4">
        <v>23.2</v>
      </c>
      <c r="AT16" s="4">
        <v>4.2</v>
      </c>
      <c r="AU16" s="4">
        <v>1.1100000000000001</v>
      </c>
      <c r="AV16" s="4">
        <v>3.3</v>
      </c>
      <c r="AW16" s="4">
        <v>0.5</v>
      </c>
      <c r="AX16" s="4">
        <v>3.2</v>
      </c>
      <c r="AY16" s="4">
        <v>0.7</v>
      </c>
      <c r="AZ16" s="4">
        <v>2</v>
      </c>
      <c r="BA16" s="4">
        <v>0.33</v>
      </c>
      <c r="BB16" s="4">
        <v>2.2000000000000002</v>
      </c>
      <c r="BC16" s="4">
        <v>0.35</v>
      </c>
      <c r="BD16" s="4">
        <v>3.7</v>
      </c>
      <c r="BE16" s="4">
        <v>0.3</v>
      </c>
      <c r="BF16" s="4" t="s">
        <v>68</v>
      </c>
      <c r="BG16" s="4">
        <v>0.6</v>
      </c>
      <c r="BH16" s="4">
        <v>15</v>
      </c>
      <c r="BI16" s="4">
        <v>4.8</v>
      </c>
      <c r="BJ16" s="4">
        <v>2.1</v>
      </c>
      <c r="BK16">
        <f t="shared" si="1"/>
        <v>93.755656108597279</v>
      </c>
    </row>
    <row r="17" spans="1:63" x14ac:dyDescent="0.2">
      <c r="A17" s="2" t="s">
        <v>110</v>
      </c>
      <c r="B17" s="2" t="s">
        <v>421</v>
      </c>
      <c r="C17" s="7">
        <v>500</v>
      </c>
      <c r="D17" s="7">
        <v>600</v>
      </c>
      <c r="E17" s="7">
        <f t="shared" si="0"/>
        <v>550</v>
      </c>
      <c r="F17" s="4">
        <v>66.08</v>
      </c>
      <c r="G17" s="4">
        <v>17.71</v>
      </c>
      <c r="H17" s="4">
        <v>5.86</v>
      </c>
      <c r="I17" s="4">
        <v>8.3000000000000004E-2</v>
      </c>
      <c r="J17" s="4">
        <v>0.8</v>
      </c>
      <c r="K17" s="4">
        <v>0.04</v>
      </c>
      <c r="L17" s="4">
        <v>0.13</v>
      </c>
      <c r="M17" s="4">
        <v>2.41</v>
      </c>
      <c r="N17" s="4">
        <v>0.45300000000000001</v>
      </c>
      <c r="O17" s="4">
        <v>0.02</v>
      </c>
      <c r="P17" s="4">
        <v>7.09</v>
      </c>
      <c r="Q17" s="4">
        <v>100.7</v>
      </c>
      <c r="R17" s="4">
        <v>14</v>
      </c>
      <c r="S17" s="4">
        <v>2</v>
      </c>
      <c r="T17" s="4">
        <v>83</v>
      </c>
      <c r="U17" s="4" t="s">
        <v>69</v>
      </c>
      <c r="V17" s="4">
        <v>14</v>
      </c>
      <c r="W17" s="4" t="s">
        <v>69</v>
      </c>
      <c r="X17" s="4">
        <v>60</v>
      </c>
      <c r="Y17" s="4">
        <v>60</v>
      </c>
      <c r="Z17" s="4">
        <v>18</v>
      </c>
      <c r="AA17" s="4">
        <v>2</v>
      </c>
      <c r="AB17" s="4" t="s">
        <v>71</v>
      </c>
      <c r="AC17" s="4">
        <v>93</v>
      </c>
      <c r="AD17" s="4">
        <v>44</v>
      </c>
      <c r="AE17" s="4">
        <v>9</v>
      </c>
      <c r="AF17" s="4">
        <v>112</v>
      </c>
      <c r="AG17" s="4">
        <v>4</v>
      </c>
      <c r="AH17" s="4" t="s">
        <v>72</v>
      </c>
      <c r="AI17" s="4" t="s">
        <v>74</v>
      </c>
      <c r="AJ17" s="4" t="s">
        <v>73</v>
      </c>
      <c r="AK17" s="4">
        <v>1</v>
      </c>
      <c r="AL17" s="4" t="s">
        <v>74</v>
      </c>
      <c r="AM17" s="4">
        <v>2.2000000000000002</v>
      </c>
      <c r="AN17" s="4">
        <v>494</v>
      </c>
      <c r="AO17" s="4" t="s">
        <v>75</v>
      </c>
      <c r="AP17" s="4">
        <v>18.8</v>
      </c>
      <c r="AQ17" s="4">
        <v>44.3</v>
      </c>
      <c r="AR17" s="4">
        <v>3.77</v>
      </c>
      <c r="AS17" s="4">
        <v>12.9</v>
      </c>
      <c r="AT17" s="4">
        <v>2.1</v>
      </c>
      <c r="AU17" s="4">
        <v>0.57999999999999996</v>
      </c>
      <c r="AV17" s="4">
        <v>1.7</v>
      </c>
      <c r="AW17" s="4">
        <v>0.3</v>
      </c>
      <c r="AX17" s="4">
        <v>1.5</v>
      </c>
      <c r="AY17" s="4">
        <v>0.3</v>
      </c>
      <c r="AZ17" s="4">
        <v>1</v>
      </c>
      <c r="BA17" s="4">
        <v>0.16</v>
      </c>
      <c r="BB17" s="4">
        <v>1.1000000000000001</v>
      </c>
      <c r="BC17" s="4">
        <v>0.18</v>
      </c>
      <c r="BD17" s="4">
        <v>3.2</v>
      </c>
      <c r="BE17" s="4">
        <v>0.4</v>
      </c>
      <c r="BF17" s="4">
        <v>5</v>
      </c>
      <c r="BG17" s="4">
        <v>0.4</v>
      </c>
      <c r="BH17" s="4">
        <v>16</v>
      </c>
      <c r="BI17" s="4">
        <v>8.1</v>
      </c>
      <c r="BJ17" s="4">
        <v>1.6</v>
      </c>
      <c r="BK17">
        <f t="shared" si="1"/>
        <v>94.807280513918641</v>
      </c>
    </row>
    <row r="18" spans="1:63" x14ac:dyDescent="0.2">
      <c r="A18" s="2" t="s">
        <v>111</v>
      </c>
      <c r="B18" s="2" t="s">
        <v>421</v>
      </c>
      <c r="C18" s="7">
        <v>600</v>
      </c>
      <c r="D18" s="7">
        <v>700</v>
      </c>
      <c r="E18" s="7">
        <f t="shared" si="0"/>
        <v>650</v>
      </c>
      <c r="F18" s="4">
        <v>70.540000000000006</v>
      </c>
      <c r="G18" s="4">
        <v>16.3</v>
      </c>
      <c r="H18" s="4">
        <v>3.49</v>
      </c>
      <c r="I18" s="4">
        <v>6.4000000000000001E-2</v>
      </c>
      <c r="J18" s="4">
        <v>0.63</v>
      </c>
      <c r="K18" s="4">
        <v>7.0000000000000007E-2</v>
      </c>
      <c r="L18" s="4">
        <v>0.2</v>
      </c>
      <c r="M18" s="4">
        <v>3.23</v>
      </c>
      <c r="N18" s="4">
        <v>0.254</v>
      </c>
      <c r="O18" s="4">
        <v>1E-3</v>
      </c>
      <c r="P18" s="4">
        <v>5.47</v>
      </c>
      <c r="Q18" s="4">
        <v>100.3</v>
      </c>
      <c r="R18" s="4">
        <v>7</v>
      </c>
      <c r="S18" s="4">
        <v>1</v>
      </c>
      <c r="T18" s="4">
        <v>52</v>
      </c>
      <c r="U18" s="4" t="s">
        <v>69</v>
      </c>
      <c r="V18" s="4">
        <v>11</v>
      </c>
      <c r="W18" s="4" t="s">
        <v>69</v>
      </c>
      <c r="X18" s="4">
        <v>70</v>
      </c>
      <c r="Y18" s="4">
        <v>50</v>
      </c>
      <c r="Z18" s="4">
        <v>16</v>
      </c>
      <c r="AA18" s="4">
        <v>2</v>
      </c>
      <c r="AB18" s="4" t="s">
        <v>71</v>
      </c>
      <c r="AC18" s="4">
        <v>100</v>
      </c>
      <c r="AD18" s="4">
        <v>52</v>
      </c>
      <c r="AE18" s="4">
        <v>6</v>
      </c>
      <c r="AF18" s="4">
        <v>85</v>
      </c>
      <c r="AG18" s="4">
        <v>4</v>
      </c>
      <c r="AH18" s="4" t="s">
        <v>72</v>
      </c>
      <c r="AI18" s="4" t="s">
        <v>74</v>
      </c>
      <c r="AJ18" s="4" t="s">
        <v>73</v>
      </c>
      <c r="AK18" s="4" t="s">
        <v>68</v>
      </c>
      <c r="AL18" s="4" t="s">
        <v>74</v>
      </c>
      <c r="AM18" s="4">
        <v>1.6</v>
      </c>
      <c r="AN18" s="4">
        <v>581</v>
      </c>
      <c r="AO18" s="4" t="s">
        <v>75</v>
      </c>
      <c r="AP18" s="4">
        <v>16.7</v>
      </c>
      <c r="AQ18" s="4">
        <v>32.700000000000003</v>
      </c>
      <c r="AR18" s="4">
        <v>3.19</v>
      </c>
      <c r="AS18" s="4">
        <v>10.6</v>
      </c>
      <c r="AT18" s="4">
        <v>1.6</v>
      </c>
      <c r="AU18" s="4">
        <v>0.42</v>
      </c>
      <c r="AV18" s="4">
        <v>1.3</v>
      </c>
      <c r="AW18" s="4">
        <v>0.2</v>
      </c>
      <c r="AX18" s="4">
        <v>1.2</v>
      </c>
      <c r="AY18" s="4">
        <v>0.2</v>
      </c>
      <c r="AZ18" s="4">
        <v>0.7</v>
      </c>
      <c r="BA18" s="4">
        <v>0.11</v>
      </c>
      <c r="BB18" s="4">
        <v>0.8</v>
      </c>
      <c r="BC18" s="4">
        <v>0.15</v>
      </c>
      <c r="BD18" s="4">
        <v>2.8</v>
      </c>
      <c r="BE18" s="4">
        <v>0.4</v>
      </c>
      <c r="BF18" s="4">
        <v>1</v>
      </c>
      <c r="BG18" s="4">
        <v>0.4</v>
      </c>
      <c r="BH18" s="4">
        <v>17</v>
      </c>
      <c r="BI18" s="4">
        <v>8.8000000000000007</v>
      </c>
      <c r="BJ18" s="4">
        <v>1.2</v>
      </c>
      <c r="BK18">
        <f t="shared" si="1"/>
        <v>94.767441860465127</v>
      </c>
    </row>
    <row r="19" spans="1:63" x14ac:dyDescent="0.2">
      <c r="A19" s="2" t="s">
        <v>112</v>
      </c>
      <c r="B19" s="2" t="s">
        <v>421</v>
      </c>
      <c r="C19" s="7">
        <v>700</v>
      </c>
      <c r="D19" s="7">
        <v>800</v>
      </c>
      <c r="E19" s="7">
        <f t="shared" si="0"/>
        <v>750</v>
      </c>
      <c r="F19" s="4">
        <v>72.84</v>
      </c>
      <c r="G19" s="4">
        <v>14.83</v>
      </c>
      <c r="H19" s="4">
        <v>2.74</v>
      </c>
      <c r="I19" s="4">
        <v>4.3999999999999997E-2</v>
      </c>
      <c r="J19" s="4">
        <v>0.4</v>
      </c>
      <c r="K19" s="4">
        <v>0.09</v>
      </c>
      <c r="L19" s="4">
        <v>0.38</v>
      </c>
      <c r="M19" s="4">
        <v>5.74</v>
      </c>
      <c r="N19" s="4">
        <v>0.25800000000000001</v>
      </c>
      <c r="O19" s="4">
        <v>0.01</v>
      </c>
      <c r="P19" s="4">
        <v>3.36</v>
      </c>
      <c r="Q19" s="4">
        <v>100.7</v>
      </c>
      <c r="R19" s="4">
        <v>4</v>
      </c>
      <c r="S19" s="4">
        <v>1</v>
      </c>
      <c r="T19" s="4">
        <v>37</v>
      </c>
      <c r="U19" s="4" t="s">
        <v>69</v>
      </c>
      <c r="V19" s="4">
        <v>6</v>
      </c>
      <c r="W19" s="4" t="s">
        <v>69</v>
      </c>
      <c r="X19" s="4">
        <v>10</v>
      </c>
      <c r="Y19" s="4">
        <v>40</v>
      </c>
      <c r="Z19" s="4">
        <v>17</v>
      </c>
      <c r="AA19" s="4">
        <v>1</v>
      </c>
      <c r="AB19" s="4" t="s">
        <v>71</v>
      </c>
      <c r="AC19" s="4">
        <v>140</v>
      </c>
      <c r="AD19" s="4">
        <v>129</v>
      </c>
      <c r="AE19" s="4">
        <v>13</v>
      </c>
      <c r="AF19" s="4">
        <v>234</v>
      </c>
      <c r="AG19" s="4">
        <v>5</v>
      </c>
      <c r="AH19" s="4" t="s">
        <v>72</v>
      </c>
      <c r="AI19" s="4" t="s">
        <v>74</v>
      </c>
      <c r="AJ19" s="4" t="s">
        <v>73</v>
      </c>
      <c r="AK19" s="4">
        <v>2</v>
      </c>
      <c r="AL19" s="4" t="s">
        <v>74</v>
      </c>
      <c r="AM19" s="4">
        <v>1.4</v>
      </c>
      <c r="AN19" s="4">
        <v>797</v>
      </c>
      <c r="AO19" s="4" t="s">
        <v>75</v>
      </c>
      <c r="AP19" s="4">
        <v>98.6</v>
      </c>
      <c r="AQ19" s="4">
        <v>235</v>
      </c>
      <c r="AR19" s="4">
        <v>20</v>
      </c>
      <c r="AS19" s="4">
        <v>61.7</v>
      </c>
      <c r="AT19" s="4">
        <v>7.7</v>
      </c>
      <c r="AU19" s="4">
        <v>1.26</v>
      </c>
      <c r="AV19" s="4">
        <v>3.9</v>
      </c>
      <c r="AW19" s="4">
        <v>0.5</v>
      </c>
      <c r="AX19" s="4">
        <v>2.5</v>
      </c>
      <c r="AY19" s="4">
        <v>0.5</v>
      </c>
      <c r="AZ19" s="4">
        <v>1.4</v>
      </c>
      <c r="BA19" s="4">
        <v>0.21</v>
      </c>
      <c r="BB19" s="4">
        <v>1.5</v>
      </c>
      <c r="BC19" s="4">
        <v>0.25</v>
      </c>
      <c r="BD19" s="4">
        <v>5.6</v>
      </c>
      <c r="BE19" s="4">
        <v>0.9</v>
      </c>
      <c r="BF19" s="4">
        <v>1</v>
      </c>
      <c r="BG19" s="4">
        <v>0.5</v>
      </c>
      <c r="BH19" s="4">
        <v>28</v>
      </c>
      <c r="BI19" s="4">
        <v>35.9</v>
      </c>
      <c r="BJ19" s="4">
        <v>2.4</v>
      </c>
      <c r="BK19">
        <f t="shared" si="1"/>
        <v>94.458598726114644</v>
      </c>
    </row>
    <row r="20" spans="1:63" x14ac:dyDescent="0.2">
      <c r="A20" s="2" t="s">
        <v>454</v>
      </c>
      <c r="B20" s="2"/>
      <c r="C20" s="2"/>
      <c r="D20" s="2"/>
      <c r="E20" s="2">
        <v>1000</v>
      </c>
      <c r="F20" s="4">
        <v>76.819999999999993</v>
      </c>
      <c r="G20" s="4">
        <v>13.74</v>
      </c>
      <c r="H20" s="4">
        <v>1.01</v>
      </c>
      <c r="I20" s="4">
        <v>1.6E-2</v>
      </c>
      <c r="J20" s="4">
        <v>0.09</v>
      </c>
      <c r="K20" s="4">
        <v>3.37</v>
      </c>
      <c r="L20" s="4">
        <v>3.91</v>
      </c>
      <c r="M20" s="4">
        <v>0.92</v>
      </c>
      <c r="N20" s="4">
        <v>2.7E-2</v>
      </c>
      <c r="O20" s="4">
        <v>0.01</v>
      </c>
      <c r="P20" s="4">
        <v>0.89</v>
      </c>
      <c r="Q20" s="4">
        <v>100.8</v>
      </c>
      <c r="R20" s="4" t="s">
        <v>68</v>
      </c>
      <c r="S20" s="4">
        <v>1</v>
      </c>
      <c r="T20" s="4">
        <v>7</v>
      </c>
      <c r="U20" s="4" t="s">
        <v>69</v>
      </c>
      <c r="V20" s="4">
        <v>3</v>
      </c>
      <c r="W20" s="4" t="s">
        <v>69</v>
      </c>
      <c r="X20" s="4">
        <v>60</v>
      </c>
      <c r="Y20" s="4" t="s">
        <v>70</v>
      </c>
      <c r="Z20" s="4">
        <v>11</v>
      </c>
      <c r="AA20" s="4" t="s">
        <v>68</v>
      </c>
      <c r="AB20" s="4" t="s">
        <v>71</v>
      </c>
      <c r="AC20" s="4">
        <v>25</v>
      </c>
      <c r="AD20" s="4">
        <v>431</v>
      </c>
      <c r="AE20" s="4">
        <v>2</v>
      </c>
      <c r="AF20" s="4">
        <v>59</v>
      </c>
      <c r="AG20" s="4" t="s">
        <v>68</v>
      </c>
      <c r="AH20" s="4" t="s">
        <v>72</v>
      </c>
      <c r="AI20" s="4" t="s">
        <v>74</v>
      </c>
      <c r="AJ20" s="4" t="s">
        <v>73</v>
      </c>
      <c r="AK20" s="4" t="s">
        <v>68</v>
      </c>
      <c r="AL20" s="4" t="s">
        <v>74</v>
      </c>
      <c r="AM20" s="4" t="s">
        <v>74</v>
      </c>
      <c r="AN20" s="4">
        <v>113</v>
      </c>
      <c r="AO20" s="4" t="s">
        <v>75</v>
      </c>
      <c r="AP20" s="4">
        <v>2.5</v>
      </c>
      <c r="AQ20" s="4">
        <v>4.0999999999999996</v>
      </c>
      <c r="AR20" s="4">
        <v>0.4</v>
      </c>
      <c r="AS20" s="4">
        <v>1.4</v>
      </c>
      <c r="AT20" s="4">
        <v>0.2</v>
      </c>
      <c r="AU20" s="4">
        <v>0.37</v>
      </c>
      <c r="AV20" s="4">
        <v>0.2</v>
      </c>
      <c r="AW20" s="4">
        <v>0</v>
      </c>
      <c r="AX20" s="4">
        <v>0.2</v>
      </c>
      <c r="AY20" s="4">
        <v>0</v>
      </c>
      <c r="AZ20" s="4">
        <v>0.1</v>
      </c>
      <c r="BA20" s="4">
        <v>0</v>
      </c>
      <c r="BB20" s="4">
        <v>0.3</v>
      </c>
      <c r="BC20" s="4">
        <v>0.05</v>
      </c>
      <c r="BD20" s="4">
        <v>2</v>
      </c>
      <c r="BE20" s="4" t="s">
        <v>79</v>
      </c>
      <c r="BF20" s="4" t="s">
        <v>68</v>
      </c>
      <c r="BG20" s="4">
        <v>0.1</v>
      </c>
      <c r="BH20" s="4">
        <v>6</v>
      </c>
      <c r="BI20" s="4">
        <v>0.7</v>
      </c>
      <c r="BJ20" s="4">
        <v>0.3</v>
      </c>
      <c r="BK20">
        <f t="shared" si="1"/>
        <v>65.087636191378493</v>
      </c>
    </row>
    <row r="21" spans="1:63" s="21" customFormat="1" x14ac:dyDescent="0.2">
      <c r="A21" s="19" t="s">
        <v>455</v>
      </c>
      <c r="B21" s="19"/>
      <c r="C21" s="19"/>
      <c r="D21" s="19"/>
      <c r="E21" s="19">
        <v>1000</v>
      </c>
      <c r="F21" s="20">
        <v>69.12</v>
      </c>
      <c r="G21" s="20">
        <v>15.87</v>
      </c>
      <c r="H21" s="20">
        <v>2.4500000000000002</v>
      </c>
      <c r="I21" s="20">
        <v>6.2E-2</v>
      </c>
      <c r="J21" s="20">
        <v>1.1100000000000001</v>
      </c>
      <c r="K21" s="20">
        <v>2.27</v>
      </c>
      <c r="L21" s="20">
        <v>4.8</v>
      </c>
      <c r="M21" s="20">
        <v>3.17</v>
      </c>
      <c r="N21" s="20">
        <v>0.25700000000000001</v>
      </c>
      <c r="O21" s="20">
        <v>0.06</v>
      </c>
      <c r="P21" s="20">
        <v>0.37</v>
      </c>
      <c r="Q21" s="20">
        <v>99.53</v>
      </c>
      <c r="R21" s="20">
        <v>4</v>
      </c>
      <c r="S21" s="20">
        <v>2</v>
      </c>
      <c r="T21" s="20">
        <v>25</v>
      </c>
      <c r="U21" s="20">
        <v>190</v>
      </c>
      <c r="V21" s="20">
        <v>4</v>
      </c>
      <c r="W21" s="20">
        <v>40</v>
      </c>
      <c r="X21" s="20">
        <v>30</v>
      </c>
      <c r="Y21" s="20">
        <v>50</v>
      </c>
      <c r="Z21" s="20">
        <v>16</v>
      </c>
      <c r="AA21" s="20">
        <v>1</v>
      </c>
      <c r="AB21" s="20" t="s">
        <v>71</v>
      </c>
      <c r="AC21" s="20">
        <v>95</v>
      </c>
      <c r="AD21" s="20">
        <v>452</v>
      </c>
      <c r="AE21" s="20">
        <v>14</v>
      </c>
      <c r="AF21" s="20">
        <v>157</v>
      </c>
      <c r="AG21" s="20">
        <v>4</v>
      </c>
      <c r="AH21" s="20">
        <v>4</v>
      </c>
      <c r="AI21" s="20" t="s">
        <v>74</v>
      </c>
      <c r="AJ21" s="20" t="s">
        <v>73</v>
      </c>
      <c r="AK21" s="20">
        <v>1</v>
      </c>
      <c r="AL21" s="20" t="s">
        <v>74</v>
      </c>
      <c r="AM21" s="20">
        <v>1.8</v>
      </c>
      <c r="AN21" s="20">
        <v>667</v>
      </c>
      <c r="AO21" s="20" t="s">
        <v>75</v>
      </c>
      <c r="AP21" s="20">
        <v>15.6</v>
      </c>
      <c r="AQ21" s="20">
        <v>32.700000000000003</v>
      </c>
      <c r="AR21" s="20">
        <v>3.6</v>
      </c>
      <c r="AS21" s="20">
        <v>13.5</v>
      </c>
      <c r="AT21" s="20">
        <v>2.5</v>
      </c>
      <c r="AU21" s="20">
        <v>0.63</v>
      </c>
      <c r="AV21" s="20">
        <v>2.2999999999999998</v>
      </c>
      <c r="AW21" s="20">
        <v>0.4</v>
      </c>
      <c r="AX21" s="20">
        <v>2.4</v>
      </c>
      <c r="AY21" s="20">
        <v>0.5</v>
      </c>
      <c r="AZ21" s="20">
        <v>1.6</v>
      </c>
      <c r="BA21" s="20">
        <v>0.28000000000000003</v>
      </c>
      <c r="BB21" s="20">
        <v>2</v>
      </c>
      <c r="BC21" s="20">
        <v>0.33</v>
      </c>
      <c r="BD21" s="20">
        <v>4.7</v>
      </c>
      <c r="BE21" s="20">
        <v>0.6</v>
      </c>
      <c r="BF21" s="20" t="s">
        <v>68</v>
      </c>
      <c r="BG21" s="20">
        <v>0.3</v>
      </c>
      <c r="BH21" s="20">
        <v>15</v>
      </c>
      <c r="BI21" s="20">
        <v>5.9</v>
      </c>
      <c r="BJ21" s="20">
        <v>1.6</v>
      </c>
      <c r="BK21">
        <f>100*(G21/(G21+J21+K21+L21))</f>
        <v>65.987525987525984</v>
      </c>
    </row>
    <row r="22" spans="1:63" x14ac:dyDescent="0.2">
      <c r="AE22" s="260" t="s">
        <v>660</v>
      </c>
      <c r="AG22" s="260" t="s">
        <v>661</v>
      </c>
      <c r="AM22" s="260" t="s">
        <v>657</v>
      </c>
      <c r="AP22" s="4" t="s">
        <v>39</v>
      </c>
      <c r="AQ22" s="4" t="s">
        <v>40</v>
      </c>
      <c r="AR22" s="4" t="s">
        <v>41</v>
      </c>
      <c r="AS22" s="4" t="s">
        <v>42</v>
      </c>
      <c r="AT22" s="4" t="s">
        <v>43</v>
      </c>
      <c r="AU22" s="4" t="s">
        <v>44</v>
      </c>
      <c r="AV22" s="4" t="s">
        <v>45</v>
      </c>
      <c r="AW22" s="4" t="s">
        <v>46</v>
      </c>
      <c r="AX22" s="4" t="s">
        <v>47</v>
      </c>
      <c r="AY22" s="4" t="s">
        <v>48</v>
      </c>
      <c r="AZ22" s="4" t="s">
        <v>49</v>
      </c>
      <c r="BA22" s="4" t="s">
        <v>50</v>
      </c>
      <c r="BB22" s="4" t="s">
        <v>51</v>
      </c>
      <c r="BC22" s="4" t="s">
        <v>52</v>
      </c>
      <c r="BH22" s="260" t="s">
        <v>648</v>
      </c>
    </row>
    <row r="23" spans="1:63" x14ac:dyDescent="0.2">
      <c r="A23" s="7" t="s">
        <v>502</v>
      </c>
      <c r="AE23" s="352">
        <v>1.56</v>
      </c>
      <c r="AG23" s="351">
        <v>5.5599999999999997E-2</v>
      </c>
      <c r="AO23" s="11" t="s">
        <v>440</v>
      </c>
      <c r="AP23" s="307">
        <v>0.36699999999999999</v>
      </c>
      <c r="AQ23" s="307">
        <v>0.95699999999999996</v>
      </c>
      <c r="AR23" s="307">
        <v>0.13700000000000001</v>
      </c>
      <c r="AS23" s="307">
        <v>0.71099999999999997</v>
      </c>
      <c r="AT23" s="307">
        <v>0.23100000000000001</v>
      </c>
      <c r="AU23" s="307">
        <v>8.6999999999999994E-2</v>
      </c>
      <c r="AV23" s="307">
        <v>0.30599999999999999</v>
      </c>
      <c r="AW23" s="307">
        <v>5.8000000000000003E-2</v>
      </c>
      <c r="AX23" s="307">
        <v>0.38100000000000001</v>
      </c>
      <c r="AY23" s="307">
        <v>8.5000000000000006E-2</v>
      </c>
      <c r="AZ23" s="307">
        <v>0.249</v>
      </c>
      <c r="BA23" s="307">
        <v>3.5999999999999997E-2</v>
      </c>
      <c r="BB23" s="307">
        <v>0.248</v>
      </c>
      <c r="BC23" s="307">
        <v>3.7999999999999999E-2</v>
      </c>
      <c r="BD23" s="308" t="s">
        <v>441</v>
      </c>
      <c r="BE23" t="s">
        <v>625</v>
      </c>
      <c r="BF23" t="s">
        <v>626</v>
      </c>
    </row>
    <row r="24" spans="1:63" x14ac:dyDescent="0.2">
      <c r="AE24" s="309">
        <f t="shared" ref="AE24:AE36" si="2">AE7/AE$23</f>
        <v>8.9743589743589745</v>
      </c>
      <c r="AG24">
        <f>AY7/AG$23</f>
        <v>8.9928057553956844</v>
      </c>
      <c r="AM24">
        <f>AE24/AG24</f>
        <v>0.99794871794871787</v>
      </c>
      <c r="AO24" s="13">
        <f>E7</f>
        <v>7.5</v>
      </c>
      <c r="AP24" s="309">
        <f>AP7/AP$23</f>
        <v>102.99727520435967</v>
      </c>
      <c r="AQ24" s="309">
        <f t="shared" ref="AQ24:BC24" si="3">AQ7/AQ$23</f>
        <v>145.24555903866249</v>
      </c>
      <c r="AR24" s="309">
        <f t="shared" si="3"/>
        <v>60.51094890510948</v>
      </c>
      <c r="AS24" s="309">
        <f t="shared" si="3"/>
        <v>39.099859353023916</v>
      </c>
      <c r="AT24" s="309">
        <f t="shared" si="3"/>
        <v>17.748917748917748</v>
      </c>
      <c r="AU24" s="309">
        <f t="shared" si="3"/>
        <v>10.114942528735632</v>
      </c>
      <c r="AV24" s="309">
        <f t="shared" si="3"/>
        <v>9.8039215686274517</v>
      </c>
      <c r="AW24" s="309">
        <f t="shared" si="3"/>
        <v>6.8965517241379315</v>
      </c>
      <c r="AX24" s="309">
        <f t="shared" si="3"/>
        <v>6.5616797900262469</v>
      </c>
      <c r="AY24" s="309">
        <f t="shared" si="3"/>
        <v>5.8823529411764701</v>
      </c>
      <c r="AZ24" s="309">
        <f t="shared" si="3"/>
        <v>6.024096385542169</v>
      </c>
      <c r="BA24" s="309">
        <f t="shared" si="3"/>
        <v>6.666666666666667</v>
      </c>
      <c r="BB24" s="309">
        <f t="shared" si="3"/>
        <v>6.4516129032258069</v>
      </c>
      <c r="BC24" s="309">
        <f t="shared" si="3"/>
        <v>7.1052631578947372</v>
      </c>
      <c r="BD24" s="308">
        <f>SUM(AP7:BC7)</f>
        <v>227.88000000000002</v>
      </c>
      <c r="BE24" s="90">
        <f>AQ7/(AQ7+AP7)</f>
        <v>0.78619909502262442</v>
      </c>
      <c r="BF24" s="39">
        <f>G7+H7+P7</f>
        <v>23.360000000000003</v>
      </c>
      <c r="BH24" s="333">
        <f>3*AQ24/(2*AP24+AS24)</f>
        <v>1.77783196907497</v>
      </c>
    </row>
    <row r="25" spans="1:63" x14ac:dyDescent="0.2">
      <c r="AE25" s="309">
        <f t="shared" si="2"/>
        <v>10.256410256410255</v>
      </c>
      <c r="AG25">
        <f t="shared" ref="AG25:AG36" si="4">AY8/AG$23</f>
        <v>10.791366906474821</v>
      </c>
      <c r="AM25">
        <f t="shared" ref="AM25:AM36" si="5">AE25/AG25</f>
        <v>0.95042735042735027</v>
      </c>
      <c r="AO25" s="13">
        <f t="shared" ref="AO25:AO36" si="6">E8</f>
        <v>35</v>
      </c>
      <c r="AP25" s="309">
        <f t="shared" ref="AP25:BC25" si="7">AP8/AP$23</f>
        <v>156.40326975476839</v>
      </c>
      <c r="AQ25" s="309">
        <f t="shared" si="7"/>
        <v>153.6050156739812</v>
      </c>
      <c r="AR25" s="309">
        <f t="shared" si="7"/>
        <v>88.321167883211672</v>
      </c>
      <c r="AS25" s="309">
        <f t="shared" si="7"/>
        <v>55.977496483825597</v>
      </c>
      <c r="AT25" s="309">
        <f t="shared" si="7"/>
        <v>23.376623376623378</v>
      </c>
      <c r="AU25" s="309">
        <f t="shared" si="7"/>
        <v>12.758620689655174</v>
      </c>
      <c r="AV25" s="309">
        <f t="shared" si="7"/>
        <v>11.437908496732026</v>
      </c>
      <c r="AW25" s="309">
        <f t="shared" si="7"/>
        <v>8.6206896551724128</v>
      </c>
      <c r="AX25" s="309">
        <f t="shared" si="7"/>
        <v>7.8740157480314963</v>
      </c>
      <c r="AY25" s="309">
        <f t="shared" si="7"/>
        <v>7.0588235294117636</v>
      </c>
      <c r="AZ25" s="309">
        <f t="shared" si="7"/>
        <v>6.8273092369477908</v>
      </c>
      <c r="BA25" s="309">
        <f t="shared" si="7"/>
        <v>7.2222222222222232</v>
      </c>
      <c r="BB25" s="309">
        <f t="shared" si="7"/>
        <v>6.854838709677419</v>
      </c>
      <c r="BC25" s="309">
        <f t="shared" si="7"/>
        <v>7.6315789473684204</v>
      </c>
      <c r="BD25" s="308">
        <f t="shared" ref="BD25:BD35" si="8">SUM(AP8:BC8)</f>
        <v>274.36</v>
      </c>
      <c r="BE25" s="90">
        <f t="shared" ref="BE25:BE36" si="9">AQ8/(AQ8+AP8)</f>
        <v>0.71917808219178081</v>
      </c>
      <c r="BF25" s="39">
        <f t="shared" ref="BF25:BF36" si="10">G8+H8+P8</f>
        <v>41.57</v>
      </c>
      <c r="BH25" s="333">
        <f t="shared" ref="BH25:BH36" si="11">3*AQ25/(2*AP25+AS25)</f>
        <v>1.2495525891750847</v>
      </c>
    </row>
    <row r="26" spans="1:63" x14ac:dyDescent="0.2">
      <c r="AE26" s="309">
        <f t="shared" si="2"/>
        <v>5.1282051282051277</v>
      </c>
      <c r="AG26">
        <f t="shared" si="4"/>
        <v>5.3956834532374103</v>
      </c>
      <c r="AM26">
        <f t="shared" si="5"/>
        <v>0.95042735042735027</v>
      </c>
      <c r="AO26" s="13">
        <f t="shared" si="6"/>
        <v>66</v>
      </c>
      <c r="AP26" s="309">
        <f t="shared" ref="AP26:BC26" si="12">AP9/AP$23</f>
        <v>111.4441416893733</v>
      </c>
      <c r="AQ26" s="309">
        <f t="shared" si="12"/>
        <v>196.44723092998956</v>
      </c>
      <c r="AR26" s="309">
        <f t="shared" si="12"/>
        <v>63.430656934306562</v>
      </c>
      <c r="AS26" s="309">
        <f t="shared" si="12"/>
        <v>39.240506329113927</v>
      </c>
      <c r="AT26" s="309">
        <f t="shared" si="12"/>
        <v>16.450216450216448</v>
      </c>
      <c r="AU26" s="309">
        <f t="shared" si="12"/>
        <v>8.1609195402298855</v>
      </c>
      <c r="AV26" s="309">
        <f t="shared" si="12"/>
        <v>6.8627450980392162</v>
      </c>
      <c r="AW26" s="309">
        <f t="shared" si="12"/>
        <v>5.1724137931034475</v>
      </c>
      <c r="AX26" s="309">
        <f t="shared" si="12"/>
        <v>4.1994750656167978</v>
      </c>
      <c r="AY26" s="309">
        <f t="shared" si="12"/>
        <v>3.5294117647058818</v>
      </c>
      <c r="AZ26" s="309">
        <f t="shared" si="12"/>
        <v>4.0160642570281126</v>
      </c>
      <c r="BA26" s="309">
        <f t="shared" si="12"/>
        <v>4.4444444444444446</v>
      </c>
      <c r="BB26" s="309">
        <f t="shared" si="12"/>
        <v>4.435483870967742</v>
      </c>
      <c r="BC26" s="309">
        <f t="shared" si="12"/>
        <v>5</v>
      </c>
      <c r="BD26" s="308">
        <f t="shared" si="8"/>
        <v>276.75000000000011</v>
      </c>
      <c r="BE26" s="90">
        <f t="shared" si="9"/>
        <v>0.82131935342944518</v>
      </c>
      <c r="BF26" s="39">
        <f t="shared" si="10"/>
        <v>32.97</v>
      </c>
      <c r="BH26" s="333">
        <f t="shared" si="11"/>
        <v>2.2482905958051504</v>
      </c>
    </row>
    <row r="27" spans="1:63" ht="17" x14ac:dyDescent="0.25">
      <c r="A27" t="s">
        <v>469</v>
      </c>
      <c r="B27" t="s">
        <v>466</v>
      </c>
      <c r="C27" t="s">
        <v>467</v>
      </c>
      <c r="D27" t="s">
        <v>468</v>
      </c>
      <c r="E27" s="260" t="s">
        <v>622</v>
      </c>
      <c r="F27" s="260" t="s">
        <v>623</v>
      </c>
      <c r="G27" s="260" t="s">
        <v>5</v>
      </c>
      <c r="H27" s="293" t="s">
        <v>620</v>
      </c>
      <c r="I27" s="260" t="s">
        <v>7</v>
      </c>
      <c r="J27" s="260" t="s">
        <v>8</v>
      </c>
      <c r="K27" s="260" t="s">
        <v>9</v>
      </c>
      <c r="L27" s="260" t="s">
        <v>10</v>
      </c>
      <c r="M27" s="260" t="s">
        <v>11</v>
      </c>
      <c r="N27" s="293" t="s">
        <v>621</v>
      </c>
      <c r="O27" s="260" t="s">
        <v>624</v>
      </c>
      <c r="AE27" s="309">
        <f t="shared" si="2"/>
        <v>6.4102564102564097</v>
      </c>
      <c r="AG27">
        <f t="shared" si="4"/>
        <v>7.1942446043165473</v>
      </c>
      <c r="AM27">
        <f t="shared" si="5"/>
        <v>0.89102564102564086</v>
      </c>
      <c r="AO27" s="13">
        <f t="shared" si="6"/>
        <v>83.5</v>
      </c>
      <c r="AP27" s="309">
        <f t="shared" ref="AP27:BC27" si="13">AP10/AP$23</f>
        <v>163.48773841961852</v>
      </c>
      <c r="AQ27" s="309">
        <f t="shared" si="13"/>
        <v>89.341692789968661</v>
      </c>
      <c r="AR27" s="309">
        <f t="shared" si="13"/>
        <v>97.810218978102185</v>
      </c>
      <c r="AS27" s="309">
        <f t="shared" si="13"/>
        <v>63.291139240506332</v>
      </c>
      <c r="AT27" s="309">
        <f t="shared" si="13"/>
        <v>25.108225108225106</v>
      </c>
      <c r="AU27" s="309">
        <f t="shared" si="13"/>
        <v>11.839080459770116</v>
      </c>
      <c r="AV27" s="309">
        <f t="shared" si="13"/>
        <v>10.130718954248367</v>
      </c>
      <c r="AW27" s="309">
        <f t="shared" si="13"/>
        <v>6.8965517241379315</v>
      </c>
      <c r="AX27" s="309">
        <f t="shared" si="13"/>
        <v>5.7742782152230978</v>
      </c>
      <c r="AY27" s="309">
        <f t="shared" si="13"/>
        <v>4.7058823529411766</v>
      </c>
      <c r="AZ27" s="309">
        <f t="shared" si="13"/>
        <v>5.2208835341365463</v>
      </c>
      <c r="BA27" s="309">
        <f t="shared" si="13"/>
        <v>5.2777777777777786</v>
      </c>
      <c r="BB27" s="309">
        <f t="shared" si="13"/>
        <v>5.241935483870968</v>
      </c>
      <c r="BC27" s="309">
        <f t="shared" si="13"/>
        <v>5.5263157894736841</v>
      </c>
      <c r="BD27" s="308">
        <f t="shared" si="8"/>
        <v>219.83000000000004</v>
      </c>
      <c r="BE27" s="90">
        <f t="shared" si="9"/>
        <v>0.58762886597938147</v>
      </c>
      <c r="BF27" s="39">
        <f t="shared" si="10"/>
        <v>38.299999999999997</v>
      </c>
      <c r="BH27" s="333">
        <f t="shared" si="11"/>
        <v>0.68677429051512906</v>
      </c>
    </row>
    <row r="28" spans="1:63" x14ac:dyDescent="0.2">
      <c r="A28" t="str">
        <f>A7</f>
        <v xml:space="preserve">R2P1EA01 </v>
      </c>
      <c r="B28" s="25">
        <f>100*G7/(G7+K7+L7)</f>
        <v>97.637195121951208</v>
      </c>
      <c r="C28" s="25">
        <f>100*G7/(G7+K7+M7+L7)</f>
        <v>79.813084112149525</v>
      </c>
      <c r="D28" s="25">
        <f>100*((2*L7/0.35)+(J7/0.9)+(2*M7/0.25)+(K7/0.7))</f>
        <v>2512.4126984126983</v>
      </c>
      <c r="E28" s="257">
        <f>((F7/F$19)*($N$19/$N7))-1</f>
        <v>-0.38997777129659561</v>
      </c>
      <c r="F28" s="257">
        <f t="shared" ref="F28:O28" si="14">((G7/G$19)*($N$19/$N7))-1</f>
        <v>-0.46684755780827047</v>
      </c>
      <c r="G28" s="257">
        <f t="shared" si="14"/>
        <v>-0.11471029930499776</v>
      </c>
      <c r="H28" s="257">
        <f t="shared" si="14"/>
        <v>-0.48096998695084814</v>
      </c>
      <c r="I28" s="257">
        <f t="shared" si="14"/>
        <v>-0.64509569377990439</v>
      </c>
      <c r="J28" s="257">
        <f t="shared" si="14"/>
        <v>-0.45135566188197762</v>
      </c>
      <c r="K28" s="257">
        <f t="shared" si="14"/>
        <v>-0.62641651976832025</v>
      </c>
      <c r="L28" s="257">
        <f t="shared" si="14"/>
        <v>-0.68493573179067402</v>
      </c>
      <c r="M28" s="257">
        <f t="shared" si="14"/>
        <v>0</v>
      </c>
      <c r="N28" s="257">
        <f t="shared" si="14"/>
        <v>-0.93827751196172249</v>
      </c>
      <c r="O28" s="257">
        <f t="shared" si="14"/>
        <v>0.21607997265892021</v>
      </c>
      <c r="AE28" s="309">
        <f t="shared" si="2"/>
        <v>6.4102564102564097</v>
      </c>
      <c r="AG28">
        <f t="shared" si="4"/>
        <v>7.1942446043165473</v>
      </c>
      <c r="AM28">
        <f t="shared" si="5"/>
        <v>0.89102564102564086</v>
      </c>
      <c r="AO28" s="13">
        <f t="shared" si="6"/>
        <v>100</v>
      </c>
      <c r="AP28" s="309">
        <f t="shared" ref="AP28:BC28" si="15">AP11/AP$23</f>
        <v>149.31880108991825</v>
      </c>
      <c r="AQ28" s="309">
        <f t="shared" si="15"/>
        <v>108.67293625914316</v>
      </c>
      <c r="AR28" s="309">
        <f t="shared" si="15"/>
        <v>89.78102189781022</v>
      </c>
      <c r="AS28" s="309">
        <f t="shared" si="15"/>
        <v>56.118143459915615</v>
      </c>
      <c r="AT28" s="309">
        <f t="shared" si="15"/>
        <v>22.510822510822511</v>
      </c>
      <c r="AU28" s="309">
        <f t="shared" si="15"/>
        <v>9.8850574712643677</v>
      </c>
      <c r="AV28" s="309">
        <f t="shared" si="15"/>
        <v>8.1699346405228752</v>
      </c>
      <c r="AW28" s="309">
        <f t="shared" si="15"/>
        <v>5.1724137931034475</v>
      </c>
      <c r="AX28" s="309">
        <f t="shared" si="15"/>
        <v>4.9868766404199469</v>
      </c>
      <c r="AY28" s="309">
        <f t="shared" si="15"/>
        <v>4.7058823529411766</v>
      </c>
      <c r="AZ28" s="309">
        <f t="shared" si="15"/>
        <v>4.4176706827309244</v>
      </c>
      <c r="BA28" s="309">
        <f t="shared" si="15"/>
        <v>4.7222222222222232</v>
      </c>
      <c r="BB28" s="309">
        <f t="shared" si="15"/>
        <v>4.435483870967742</v>
      </c>
      <c r="BC28" s="309">
        <f t="shared" si="15"/>
        <v>5</v>
      </c>
      <c r="BD28" s="308">
        <f t="shared" si="8"/>
        <v>224.72000000000003</v>
      </c>
      <c r="BE28" s="90">
        <f t="shared" si="9"/>
        <v>0.65491183879093195</v>
      </c>
      <c r="BF28" s="39">
        <f t="shared" si="10"/>
        <v>30.860000000000003</v>
      </c>
      <c r="BH28" s="333">
        <f t="shared" si="11"/>
        <v>0.91899514746265865</v>
      </c>
    </row>
    <row r="29" spans="1:63" x14ac:dyDescent="0.2">
      <c r="A29" t="str">
        <f t="shared" ref="A29:A42" si="16">A8</f>
        <v xml:space="preserve">R2P1EA02 </v>
      </c>
      <c r="B29" s="25">
        <f t="shared" ref="B29:B42" si="17">100*G8/(G8+K8+L8)</f>
        <v>99.414941494149417</v>
      </c>
      <c r="C29" s="25">
        <f t="shared" ref="C29:C42" si="18">100*G8/(G8+K8+M8+L8)</f>
        <v>94.725557461406524</v>
      </c>
      <c r="D29" s="25">
        <f t="shared" ref="D29:D42" si="19">100*((2*L8/0.35)+(J8/0.9)+(2*M8/0.25)+(K8/0.7))</f>
        <v>986.50793650793651</v>
      </c>
      <c r="E29" s="257">
        <f t="shared" ref="E29:O40" si="20">((F8/F$19)*($N$19/$N8))-1</f>
        <v>-0.70243852443459187</v>
      </c>
      <c r="F29" s="257">
        <f t="shared" si="20"/>
        <v>-0.40967213675107439</v>
      </c>
      <c r="G29" s="257">
        <f t="shared" si="20"/>
        <v>0.22220727236032123</v>
      </c>
      <c r="H29" s="257">
        <f t="shared" si="20"/>
        <v>-0.63070800167574359</v>
      </c>
      <c r="I29" s="257">
        <f t="shared" si="20"/>
        <v>-0.44516129032258056</v>
      </c>
      <c r="J29" s="257">
        <f t="shared" si="20"/>
        <v>-0.69175627240143367</v>
      </c>
      <c r="K29" s="257">
        <f t="shared" si="20"/>
        <v>-0.93742420567547902</v>
      </c>
      <c r="L29" s="257">
        <f t="shared" si="20"/>
        <v>-0.92405144591274746</v>
      </c>
      <c r="M29" s="257">
        <f t="shared" si="20"/>
        <v>0</v>
      </c>
      <c r="N29" s="257">
        <f t="shared" si="20"/>
        <v>0.58525345622119818</v>
      </c>
      <c r="O29" s="257">
        <f t="shared" si="20"/>
        <v>0.30099297783629586</v>
      </c>
      <c r="AE29" s="309">
        <f t="shared" si="2"/>
        <v>7.0512820512820511</v>
      </c>
      <c r="AG29">
        <f t="shared" si="4"/>
        <v>8.9928057553956844</v>
      </c>
      <c r="AM29">
        <f t="shared" si="5"/>
        <v>0.78410256410256396</v>
      </c>
      <c r="AO29" s="13">
        <f t="shared" si="6"/>
        <v>118.5</v>
      </c>
      <c r="AP29" s="309">
        <f t="shared" ref="AP29:BC29" si="21">AP12/AP$23</f>
        <v>326.97547683923705</v>
      </c>
      <c r="AQ29" s="309">
        <f t="shared" si="21"/>
        <v>272.72727272727275</v>
      </c>
      <c r="AR29" s="309">
        <f t="shared" si="21"/>
        <v>182.48175182481751</v>
      </c>
      <c r="AS29" s="309">
        <f t="shared" si="21"/>
        <v>109.28270042194094</v>
      </c>
      <c r="AT29" s="309">
        <f t="shared" si="21"/>
        <v>40.692640692640694</v>
      </c>
      <c r="AU29" s="309">
        <f t="shared" si="21"/>
        <v>15.632183908045979</v>
      </c>
      <c r="AV29" s="309">
        <f t="shared" si="21"/>
        <v>13.725490196078432</v>
      </c>
      <c r="AW29" s="309">
        <f t="shared" si="21"/>
        <v>8.6206896551724128</v>
      </c>
      <c r="AX29" s="309">
        <f t="shared" si="21"/>
        <v>6.8241469816272966</v>
      </c>
      <c r="AY29" s="309">
        <f t="shared" si="21"/>
        <v>5.8823529411764701</v>
      </c>
      <c r="AZ29" s="309">
        <f t="shared" si="21"/>
        <v>5.6224899598393572</v>
      </c>
      <c r="BA29" s="309">
        <f t="shared" si="21"/>
        <v>5.8333333333333339</v>
      </c>
      <c r="BB29" s="309">
        <f t="shared" si="21"/>
        <v>5.6451612903225801</v>
      </c>
      <c r="BC29" s="309">
        <f t="shared" si="21"/>
        <v>5.7894736842105265</v>
      </c>
      <c r="BD29" s="308">
        <f t="shared" si="8"/>
        <v>505.48999999999995</v>
      </c>
      <c r="BE29" s="90">
        <f t="shared" si="9"/>
        <v>0.68503937007874016</v>
      </c>
      <c r="BF29" s="39">
        <f t="shared" si="10"/>
        <v>19.650000000000002</v>
      </c>
      <c r="BH29" s="333">
        <f t="shared" si="11"/>
        <v>1.0719938956913106</v>
      </c>
    </row>
    <row r="30" spans="1:63" x14ac:dyDescent="0.2">
      <c r="A30" t="str">
        <f t="shared" si="16"/>
        <v xml:space="preserve">R2P1EA03 </v>
      </c>
      <c r="B30" s="25">
        <f t="shared" si="17"/>
        <v>98.805194805194802</v>
      </c>
      <c r="C30" s="25">
        <f t="shared" si="18"/>
        <v>84.570920409070709</v>
      </c>
      <c r="D30" s="25">
        <f t="shared" si="19"/>
        <v>2765.1746031746034</v>
      </c>
      <c r="E30" s="257">
        <f t="shared" si="20"/>
        <v>-0.59959604126519028</v>
      </c>
      <c r="F30" s="257">
        <f t="shared" si="20"/>
        <v>-0.38949421861042621</v>
      </c>
      <c r="G30" s="257">
        <f t="shared" si="20"/>
        <v>7.0164570258841152E-2</v>
      </c>
      <c r="H30" s="257">
        <f t="shared" si="20"/>
        <v>-0.62135189533713509</v>
      </c>
      <c r="I30" s="257">
        <f t="shared" si="20"/>
        <v>-0.36928044280442807</v>
      </c>
      <c r="J30" s="257">
        <f t="shared" si="20"/>
        <v>-0.78843788437884377</v>
      </c>
      <c r="K30" s="257">
        <f t="shared" si="20"/>
        <v>-0.76199261992619927</v>
      </c>
      <c r="L30" s="257">
        <f t="shared" si="20"/>
        <v>-0.73130874165884507</v>
      </c>
      <c r="M30" s="257">
        <f t="shared" si="20"/>
        <v>0</v>
      </c>
      <c r="N30" s="257">
        <f t="shared" si="20"/>
        <v>-4.7970479704797064E-2</v>
      </c>
      <c r="O30" s="257">
        <f t="shared" si="20"/>
        <v>0.10361755403268313</v>
      </c>
      <c r="AE30" s="309">
        <f t="shared" si="2"/>
        <v>10.897435897435898</v>
      </c>
      <c r="AG30">
        <f t="shared" si="4"/>
        <v>12.589928057553957</v>
      </c>
      <c r="AM30">
        <f t="shared" si="5"/>
        <v>0.8655677655677656</v>
      </c>
      <c r="AO30" s="13">
        <f t="shared" si="6"/>
        <v>174.5</v>
      </c>
      <c r="AP30" s="309">
        <f t="shared" ref="AP30:BC30" si="22">AP13/AP$23</f>
        <v>504.08719346049048</v>
      </c>
      <c r="AQ30" s="309">
        <f t="shared" si="22"/>
        <v>364.6812957157785</v>
      </c>
      <c r="AR30" s="309">
        <f t="shared" si="22"/>
        <v>290.51094890510944</v>
      </c>
      <c r="AS30" s="309">
        <f t="shared" si="22"/>
        <v>175.80872011251759</v>
      </c>
      <c r="AT30" s="309">
        <f t="shared" si="22"/>
        <v>67.099567099567096</v>
      </c>
      <c r="AU30" s="309">
        <f t="shared" si="22"/>
        <v>26.321839080459771</v>
      </c>
      <c r="AV30" s="309">
        <f t="shared" si="22"/>
        <v>21.895424836601308</v>
      </c>
      <c r="AW30" s="309">
        <f t="shared" si="22"/>
        <v>13.793103448275863</v>
      </c>
      <c r="AX30" s="309">
        <f t="shared" si="22"/>
        <v>10.498687664041995</v>
      </c>
      <c r="AY30" s="309">
        <f t="shared" si="22"/>
        <v>8.235294117647058</v>
      </c>
      <c r="AZ30" s="309">
        <f t="shared" si="22"/>
        <v>8.8353413654618489</v>
      </c>
      <c r="BA30" s="309">
        <f t="shared" si="22"/>
        <v>8.6111111111111125</v>
      </c>
      <c r="BB30" s="309">
        <f t="shared" si="22"/>
        <v>7.661290322580645</v>
      </c>
      <c r="BC30" s="309">
        <f t="shared" si="22"/>
        <v>7.6315789473684204</v>
      </c>
      <c r="BD30" s="308">
        <f t="shared" si="8"/>
        <v>733.4899999999999</v>
      </c>
      <c r="BE30" s="90">
        <f t="shared" si="9"/>
        <v>0.65355805243445697</v>
      </c>
      <c r="BF30" s="39">
        <f t="shared" si="10"/>
        <v>20.369999999999997</v>
      </c>
      <c r="BH30" s="333">
        <f t="shared" si="11"/>
        <v>0.92403673722042523</v>
      </c>
    </row>
    <row r="31" spans="1:63" x14ac:dyDescent="0.2">
      <c r="A31" t="str">
        <f t="shared" si="16"/>
        <v xml:space="preserve">R2P1EA04 </v>
      </c>
      <c r="B31" s="25">
        <f t="shared" si="17"/>
        <v>99.370764762826724</v>
      </c>
      <c r="C31" s="25">
        <f t="shared" si="18"/>
        <v>93.233424159854678</v>
      </c>
      <c r="D31" s="25">
        <f t="shared" si="19"/>
        <v>1245.6190476190477</v>
      </c>
      <c r="E31" s="257">
        <f t="shared" si="20"/>
        <v>-0.68160471021083735</v>
      </c>
      <c r="F31" s="257">
        <f t="shared" si="20"/>
        <v>-0.44453521454661382</v>
      </c>
      <c r="G31" s="257">
        <f t="shared" si="20"/>
        <v>0.20080371434085209</v>
      </c>
      <c r="H31" s="257">
        <f t="shared" si="20"/>
        <v>-0.51668316131768699</v>
      </c>
      <c r="I31" s="257">
        <f t="shared" si="20"/>
        <v>2.317262830482103E-2</v>
      </c>
      <c r="J31" s="257">
        <f t="shared" si="20"/>
        <v>-0.68792120269569712</v>
      </c>
      <c r="K31" s="257">
        <f t="shared" si="20"/>
        <v>-0.93664565769010399</v>
      </c>
      <c r="L31" s="257">
        <f t="shared" si="20"/>
        <v>-0.90493169539560314</v>
      </c>
      <c r="M31" s="257">
        <f t="shared" si="20"/>
        <v>0</v>
      </c>
      <c r="N31" s="257">
        <f t="shared" si="20"/>
        <v>0.20373250388802489</v>
      </c>
      <c r="O31" s="257">
        <f t="shared" si="20"/>
        <v>0.14282937125083328</v>
      </c>
      <c r="AE31" s="309">
        <f t="shared" si="2"/>
        <v>8.3333333333333339</v>
      </c>
      <c r="AG31">
        <f t="shared" si="4"/>
        <v>8.9928057553956844</v>
      </c>
      <c r="AM31">
        <f t="shared" si="5"/>
        <v>0.92666666666666664</v>
      </c>
      <c r="AO31" s="13">
        <f t="shared" si="6"/>
        <v>234.5</v>
      </c>
      <c r="AP31" s="309">
        <f t="shared" ref="AP31:BC31" si="23">AP14/AP$23</f>
        <v>130.51771117166211</v>
      </c>
      <c r="AQ31" s="309">
        <f t="shared" si="23"/>
        <v>48.380355276906997</v>
      </c>
      <c r="AR31" s="309">
        <f t="shared" si="23"/>
        <v>82.481751824817522</v>
      </c>
      <c r="AS31" s="309">
        <f t="shared" si="23"/>
        <v>55.133614627285517</v>
      </c>
      <c r="AT31" s="309">
        <f t="shared" si="23"/>
        <v>25.541125541125542</v>
      </c>
      <c r="AU31" s="309">
        <f t="shared" si="23"/>
        <v>12.758620689655174</v>
      </c>
      <c r="AV31" s="309">
        <f t="shared" si="23"/>
        <v>11.764705882352942</v>
      </c>
      <c r="AW31" s="309">
        <f t="shared" si="23"/>
        <v>8.6206896551724128</v>
      </c>
      <c r="AX31" s="309">
        <f t="shared" si="23"/>
        <v>6.8241469816272966</v>
      </c>
      <c r="AY31" s="309">
        <f t="shared" si="23"/>
        <v>5.8823529411764701</v>
      </c>
      <c r="AZ31" s="309">
        <f t="shared" si="23"/>
        <v>6.4257028112449799</v>
      </c>
      <c r="BA31" s="309">
        <f t="shared" si="23"/>
        <v>6.3888888888888893</v>
      </c>
      <c r="BB31" s="309">
        <f t="shared" si="23"/>
        <v>6.4516129032258069</v>
      </c>
      <c r="BC31" s="309">
        <f t="shared" si="23"/>
        <v>7.1052631578947372</v>
      </c>
      <c r="BD31" s="308">
        <f t="shared" si="8"/>
        <v>162.60999999999999</v>
      </c>
      <c r="BE31" s="90">
        <f t="shared" si="9"/>
        <v>0.49150743099787686</v>
      </c>
      <c r="BF31" s="39">
        <f t="shared" si="10"/>
        <v>32.74</v>
      </c>
      <c r="BH31" s="333">
        <f t="shared" si="11"/>
        <v>0.45906160584666278</v>
      </c>
    </row>
    <row r="32" spans="1:63" x14ac:dyDescent="0.2">
      <c r="A32" t="str">
        <f t="shared" si="16"/>
        <v xml:space="preserve">R2P1EA05 </v>
      </c>
      <c r="B32" s="25">
        <f t="shared" si="17"/>
        <v>99.019073569482288</v>
      </c>
      <c r="C32" s="25">
        <f t="shared" si="18"/>
        <v>85.788479697828151</v>
      </c>
      <c r="D32" s="25">
        <f t="shared" si="19"/>
        <v>2434.1587301587301</v>
      </c>
      <c r="E32" s="257">
        <f t="shared" si="20"/>
        <v>-0.59147563298164441</v>
      </c>
      <c r="F32" s="257">
        <f t="shared" si="20"/>
        <v>-0.43952740993672956</v>
      </c>
      <c r="G32" s="257">
        <f t="shared" si="20"/>
        <v>3.8825904643546849E-5</v>
      </c>
      <c r="H32" s="257">
        <f t="shared" si="20"/>
        <v>-0.60493230174081236</v>
      </c>
      <c r="I32" s="257">
        <f t="shared" si="20"/>
        <v>-0.13085106382978717</v>
      </c>
      <c r="J32" s="257">
        <f t="shared" si="20"/>
        <v>-0.79669030732860513</v>
      </c>
      <c r="K32" s="257">
        <f t="shared" si="20"/>
        <v>-0.8314669652855543</v>
      </c>
      <c r="L32" s="257">
        <f t="shared" si="20"/>
        <v>-0.77446437838238569</v>
      </c>
      <c r="M32" s="257">
        <f t="shared" si="20"/>
        <v>0</v>
      </c>
      <c r="N32" s="257">
        <f t="shared" si="20"/>
        <v>-0.95425531914893613</v>
      </c>
      <c r="O32" s="257">
        <f t="shared" si="20"/>
        <v>-8.7829280648429431E-2</v>
      </c>
      <c r="AE32" s="309">
        <f t="shared" si="2"/>
        <v>5.1282051282051277</v>
      </c>
      <c r="AG32">
        <f t="shared" si="4"/>
        <v>5.3956834532374103</v>
      </c>
      <c r="AM32">
        <f t="shared" si="5"/>
        <v>0.95042735042735027</v>
      </c>
      <c r="AO32" s="13">
        <f t="shared" si="6"/>
        <v>350</v>
      </c>
      <c r="AP32" s="309">
        <f t="shared" ref="AP32:BC32" si="24">AP15/AP$23</f>
        <v>51.771117166212534</v>
      </c>
      <c r="AQ32" s="309">
        <f t="shared" si="24"/>
        <v>40.543364681295714</v>
      </c>
      <c r="AR32" s="309">
        <f t="shared" si="24"/>
        <v>27.518248175182478</v>
      </c>
      <c r="AS32" s="309">
        <f t="shared" si="24"/>
        <v>18.143459915611817</v>
      </c>
      <c r="AT32" s="309">
        <f t="shared" si="24"/>
        <v>8.6580086580086579</v>
      </c>
      <c r="AU32" s="309">
        <f t="shared" si="24"/>
        <v>5.5172413793103452</v>
      </c>
      <c r="AV32" s="309">
        <f t="shared" si="24"/>
        <v>4.9019607843137258</v>
      </c>
      <c r="AW32" s="309">
        <f t="shared" si="24"/>
        <v>3.4482758620689657</v>
      </c>
      <c r="AX32" s="309">
        <f t="shared" si="24"/>
        <v>3.4120734908136483</v>
      </c>
      <c r="AY32" s="309">
        <f t="shared" si="24"/>
        <v>3.5294117647058818</v>
      </c>
      <c r="AZ32" s="309">
        <f t="shared" si="24"/>
        <v>3.6144578313253013</v>
      </c>
      <c r="BA32" s="309">
        <f t="shared" si="24"/>
        <v>3.6111111111111116</v>
      </c>
      <c r="BB32" s="309">
        <f t="shared" si="24"/>
        <v>3.6290322580645165</v>
      </c>
      <c r="BC32" s="309">
        <f t="shared" si="24"/>
        <v>4.2105263157894735</v>
      </c>
      <c r="BD32" s="308">
        <f t="shared" si="8"/>
        <v>82.34</v>
      </c>
      <c r="BE32" s="90">
        <f t="shared" si="9"/>
        <v>0.67128027681660896</v>
      </c>
      <c r="BF32" s="39">
        <f t="shared" si="10"/>
        <v>26.56</v>
      </c>
      <c r="BH32" s="333">
        <f t="shared" si="11"/>
        <v>0.99954308347835519</v>
      </c>
    </row>
    <row r="33" spans="1:60" x14ac:dyDescent="0.2">
      <c r="A33" t="str">
        <f t="shared" si="16"/>
        <v xml:space="preserve">R2P1EA06 </v>
      </c>
      <c r="B33" s="25">
        <f t="shared" si="17"/>
        <v>97.425191370911634</v>
      </c>
      <c r="C33" s="25">
        <f t="shared" si="18"/>
        <v>66.762041010968048</v>
      </c>
      <c r="D33" s="25">
        <f t="shared" si="19"/>
        <v>5506.3492063492067</v>
      </c>
      <c r="E33" s="257">
        <f t="shared" si="20"/>
        <v>-0.22406512375697185</v>
      </c>
      <c r="F33" s="257">
        <f t="shared" si="20"/>
        <v>-0.26638448602230902</v>
      </c>
      <c r="G33" s="257">
        <f t="shared" si="20"/>
        <v>-0.23707237709963958</v>
      </c>
      <c r="H33" s="257">
        <f t="shared" si="20"/>
        <v>-0.54079956188389922</v>
      </c>
      <c r="I33" s="257">
        <f t="shared" si="20"/>
        <v>-0.51430722891566272</v>
      </c>
      <c r="J33" s="257">
        <f t="shared" si="20"/>
        <v>-0.74096385542168675</v>
      </c>
      <c r="K33" s="257">
        <f t="shared" si="20"/>
        <v>-0.30469245402663281</v>
      </c>
      <c r="L33" s="257">
        <f t="shared" si="20"/>
        <v>-0.10646068594937252</v>
      </c>
      <c r="M33" s="257">
        <f t="shared" si="20"/>
        <v>0</v>
      </c>
      <c r="N33" s="257">
        <f t="shared" si="20"/>
        <v>0.55421686746987953</v>
      </c>
      <c r="O33" s="257">
        <f t="shared" si="20"/>
        <v>-0.31540447504302926</v>
      </c>
      <c r="AE33" s="309">
        <f t="shared" si="2"/>
        <v>10.256410256410255</v>
      </c>
      <c r="AG33">
        <f t="shared" si="4"/>
        <v>12.589928057553957</v>
      </c>
      <c r="AM33">
        <f t="shared" si="5"/>
        <v>0.81465201465201453</v>
      </c>
      <c r="AO33" s="13">
        <f t="shared" si="6"/>
        <v>450</v>
      </c>
      <c r="AP33" s="309">
        <f t="shared" ref="AP33:BC33" si="25">AP16/AP$23</f>
        <v>92.915531335149865</v>
      </c>
      <c r="AQ33" s="309">
        <f t="shared" si="25"/>
        <v>44.096133751306169</v>
      </c>
      <c r="AR33" s="309">
        <f t="shared" si="25"/>
        <v>50.145985401459853</v>
      </c>
      <c r="AS33" s="309">
        <f t="shared" si="25"/>
        <v>32.63009845288326</v>
      </c>
      <c r="AT33" s="309">
        <f t="shared" si="25"/>
        <v>18.181818181818183</v>
      </c>
      <c r="AU33" s="309">
        <f t="shared" si="25"/>
        <v>12.758620689655174</v>
      </c>
      <c r="AV33" s="309">
        <f t="shared" si="25"/>
        <v>10.784313725490195</v>
      </c>
      <c r="AW33" s="309">
        <f t="shared" si="25"/>
        <v>8.6206896551724128</v>
      </c>
      <c r="AX33" s="309">
        <f t="shared" si="25"/>
        <v>8.3989501312335957</v>
      </c>
      <c r="AY33" s="309">
        <f t="shared" si="25"/>
        <v>8.235294117647058</v>
      </c>
      <c r="AZ33" s="309">
        <f t="shared" si="25"/>
        <v>8.0321285140562253</v>
      </c>
      <c r="BA33" s="309">
        <f t="shared" si="25"/>
        <v>9.1666666666666679</v>
      </c>
      <c r="BB33" s="309">
        <f t="shared" si="25"/>
        <v>8.870967741935484</v>
      </c>
      <c r="BC33" s="309">
        <f t="shared" si="25"/>
        <v>9.2105263157894726</v>
      </c>
      <c r="BD33" s="308">
        <f t="shared" si="8"/>
        <v>124.26000000000002</v>
      </c>
      <c r="BE33" s="90">
        <f t="shared" si="9"/>
        <v>0.55307994757536039</v>
      </c>
      <c r="BF33" s="39">
        <f t="shared" si="10"/>
        <v>40.799999999999997</v>
      </c>
      <c r="BH33" s="333">
        <f t="shared" si="11"/>
        <v>0.60554654462962165</v>
      </c>
    </row>
    <row r="34" spans="1:60" x14ac:dyDescent="0.2">
      <c r="A34" t="str">
        <f t="shared" si="16"/>
        <v xml:space="preserve">R2P1EA07 </v>
      </c>
      <c r="B34" s="25">
        <f t="shared" si="17"/>
        <v>97.506738544474388</v>
      </c>
      <c r="C34" s="25">
        <f t="shared" si="18"/>
        <v>67.333643555141933</v>
      </c>
      <c r="D34" s="25">
        <f t="shared" si="19"/>
        <v>5555.396825396826</v>
      </c>
      <c r="E34" s="257">
        <f t="shared" si="20"/>
        <v>-0.29435291964122279</v>
      </c>
      <c r="F34" s="257">
        <f t="shared" si="20"/>
        <v>-0.30073050123623279</v>
      </c>
      <c r="G34" s="257">
        <f t="shared" si="20"/>
        <v>-0.22055961070559615</v>
      </c>
      <c r="H34" s="257">
        <f t="shared" si="20"/>
        <v>-0.39734848484848484</v>
      </c>
      <c r="I34" s="257">
        <f t="shared" si="20"/>
        <v>-0.3370833333333334</v>
      </c>
      <c r="J34" s="257">
        <f t="shared" si="20"/>
        <v>-0.68148148148148147</v>
      </c>
      <c r="K34" s="257">
        <f t="shared" si="20"/>
        <v>-0.37763157894736843</v>
      </c>
      <c r="L34" s="257">
        <f t="shared" si="20"/>
        <v>-0.16971544715447162</v>
      </c>
      <c r="M34" s="257">
        <f t="shared" si="20"/>
        <v>0</v>
      </c>
      <c r="N34" s="257">
        <f t="shared" si="20"/>
        <v>0.43333333333333335</v>
      </c>
      <c r="O34" s="257">
        <f t="shared" si="20"/>
        <v>-0.37718253968253967</v>
      </c>
      <c r="AE34" s="309">
        <f t="shared" si="2"/>
        <v>5.7692307692307692</v>
      </c>
      <c r="AG34">
        <f t="shared" si="4"/>
        <v>5.3956834532374103</v>
      </c>
      <c r="AM34">
        <f t="shared" si="5"/>
        <v>1.0692307692307692</v>
      </c>
      <c r="AO34" s="13">
        <f t="shared" si="6"/>
        <v>550</v>
      </c>
      <c r="AP34" s="309">
        <f t="shared" ref="AP34:BC34" si="26">AP17/AP$23</f>
        <v>51.22615803814714</v>
      </c>
      <c r="AQ34" s="309">
        <f t="shared" si="26"/>
        <v>46.290491118077327</v>
      </c>
      <c r="AR34" s="309">
        <f t="shared" si="26"/>
        <v>27.518248175182478</v>
      </c>
      <c r="AS34" s="309">
        <f t="shared" si="26"/>
        <v>18.143459915611817</v>
      </c>
      <c r="AT34" s="309">
        <f t="shared" si="26"/>
        <v>9.0909090909090917</v>
      </c>
      <c r="AU34" s="309">
        <f t="shared" si="26"/>
        <v>6.666666666666667</v>
      </c>
      <c r="AV34" s="309">
        <f t="shared" si="26"/>
        <v>5.5555555555555554</v>
      </c>
      <c r="AW34" s="309">
        <f t="shared" si="26"/>
        <v>5.1724137931034475</v>
      </c>
      <c r="AX34" s="309">
        <f t="shared" si="26"/>
        <v>3.9370078740157481</v>
      </c>
      <c r="AY34" s="309">
        <f t="shared" si="26"/>
        <v>3.5294117647058818</v>
      </c>
      <c r="AZ34" s="309">
        <f t="shared" si="26"/>
        <v>4.0160642570281126</v>
      </c>
      <c r="BA34" s="309">
        <f t="shared" si="26"/>
        <v>4.4444444444444446</v>
      </c>
      <c r="BB34" s="309">
        <f t="shared" si="26"/>
        <v>4.435483870967742</v>
      </c>
      <c r="BC34" s="309">
        <f t="shared" si="26"/>
        <v>4.7368421052631575</v>
      </c>
      <c r="BD34" s="308">
        <f t="shared" si="8"/>
        <v>88.689999999999984</v>
      </c>
      <c r="BE34" s="90">
        <f t="shared" si="9"/>
        <v>0.70206022187004757</v>
      </c>
      <c r="BF34" s="39">
        <f t="shared" si="10"/>
        <v>30.66</v>
      </c>
      <c r="BH34" s="333">
        <f t="shared" si="11"/>
        <v>1.1515450869817567</v>
      </c>
    </row>
    <row r="35" spans="1:60" x14ac:dyDescent="0.2">
      <c r="A35" t="str">
        <f t="shared" si="16"/>
        <v xml:space="preserve">R2P1EA08 </v>
      </c>
      <c r="B35" s="25">
        <f t="shared" si="17"/>
        <v>98.235599377270375</v>
      </c>
      <c r="C35" s="25">
        <f t="shared" si="18"/>
        <v>88.54069223573434</v>
      </c>
      <c r="D35" s="25">
        <f t="shared" si="19"/>
        <v>1952.9206349206347</v>
      </c>
      <c r="E35" s="257">
        <f t="shared" si="20"/>
        <v>-0.62932866556836897</v>
      </c>
      <c r="F35" s="257">
        <f t="shared" si="20"/>
        <v>-0.45111935266351977</v>
      </c>
      <c r="G35" s="257">
        <f t="shared" si="20"/>
        <v>5.7737226277372322E-2</v>
      </c>
      <c r="H35" s="257">
        <f t="shared" si="20"/>
        <v>-0.3452272727272726</v>
      </c>
      <c r="I35" s="257">
        <f t="shared" si="20"/>
        <v>0.7200000000000002</v>
      </c>
      <c r="J35" s="257">
        <f t="shared" si="20"/>
        <v>0.19444444444444464</v>
      </c>
      <c r="K35" s="257">
        <f t="shared" si="20"/>
        <v>-0.89815789473684204</v>
      </c>
      <c r="L35" s="257">
        <f t="shared" si="20"/>
        <v>-0.8419337979094077</v>
      </c>
      <c r="M35" s="257">
        <f t="shared" si="20"/>
        <v>0</v>
      </c>
      <c r="N35" s="257">
        <f t="shared" si="20"/>
        <v>-0.95699999999999996</v>
      </c>
      <c r="O35" s="257">
        <f t="shared" si="20"/>
        <v>-9.5208333333333117E-2</v>
      </c>
      <c r="AE35" s="309">
        <f t="shared" si="2"/>
        <v>3.8461538461538458</v>
      </c>
      <c r="AG35">
        <f t="shared" si="4"/>
        <v>3.5971223021582737</v>
      </c>
      <c r="AM35">
        <f t="shared" si="5"/>
        <v>1.069230769230769</v>
      </c>
      <c r="AO35" s="13">
        <f t="shared" si="6"/>
        <v>650</v>
      </c>
      <c r="AP35" s="309">
        <f t="shared" ref="AP35:BC35" si="27">AP18/AP$23</f>
        <v>45.504087193460492</v>
      </c>
      <c r="AQ35" s="309">
        <f t="shared" si="27"/>
        <v>34.169278996865209</v>
      </c>
      <c r="AR35" s="309">
        <f t="shared" si="27"/>
        <v>23.284671532846712</v>
      </c>
      <c r="AS35" s="309">
        <f t="shared" si="27"/>
        <v>14.908579465541491</v>
      </c>
      <c r="AT35" s="309">
        <f t="shared" si="27"/>
        <v>6.9264069264069263</v>
      </c>
      <c r="AU35" s="309">
        <f t="shared" si="27"/>
        <v>4.8275862068965516</v>
      </c>
      <c r="AV35" s="309">
        <f t="shared" si="27"/>
        <v>4.2483660130718954</v>
      </c>
      <c r="AW35" s="309">
        <f t="shared" si="27"/>
        <v>3.4482758620689657</v>
      </c>
      <c r="AX35" s="309">
        <f t="shared" si="27"/>
        <v>3.1496062992125982</v>
      </c>
      <c r="AY35" s="309">
        <f t="shared" si="27"/>
        <v>2.3529411764705883</v>
      </c>
      <c r="AZ35" s="309">
        <f t="shared" si="27"/>
        <v>2.8112449799196786</v>
      </c>
      <c r="BA35" s="309">
        <f t="shared" si="27"/>
        <v>3.0555555555555558</v>
      </c>
      <c r="BB35" s="309">
        <f t="shared" si="27"/>
        <v>3.2258064516129035</v>
      </c>
      <c r="BC35" s="309">
        <f t="shared" si="27"/>
        <v>3.9473684210526314</v>
      </c>
      <c r="BD35" s="308">
        <f t="shared" si="8"/>
        <v>69.870000000000019</v>
      </c>
      <c r="BE35" s="90">
        <f t="shared" si="9"/>
        <v>0.66194331983805665</v>
      </c>
      <c r="BF35" s="39">
        <f t="shared" si="10"/>
        <v>25.259999999999998</v>
      </c>
      <c r="BH35" s="333">
        <f t="shared" si="11"/>
        <v>0.96781513086574267</v>
      </c>
    </row>
    <row r="36" spans="1:60" x14ac:dyDescent="0.2">
      <c r="A36" t="str">
        <f t="shared" si="16"/>
        <v xml:space="preserve">R2P1EA09 </v>
      </c>
      <c r="B36" s="25">
        <f t="shared" si="17"/>
        <v>97.931442080378261</v>
      </c>
      <c r="C36" s="25">
        <f t="shared" si="18"/>
        <v>84.540816326530617</v>
      </c>
      <c r="D36" s="25">
        <f t="shared" si="19"/>
        <v>2360.5079365079364</v>
      </c>
      <c r="E36" s="257">
        <f t="shared" si="20"/>
        <v>-0.22930362699720197</v>
      </c>
      <c r="F36" s="257">
        <f t="shared" si="20"/>
        <v>-8.4853739203031187E-2</v>
      </c>
      <c r="G36" s="257">
        <f t="shared" si="20"/>
        <v>0.2136253041362528</v>
      </c>
      <c r="H36" s="257">
        <f t="shared" si="20"/>
        <v>6.1038961038961226E-2</v>
      </c>
      <c r="I36" s="257">
        <f t="shared" si="20"/>
        <v>0.8838095238095236</v>
      </c>
      <c r="J36" s="257">
        <f t="shared" si="20"/>
        <v>0.82010582010582023</v>
      </c>
      <c r="K36" s="257">
        <f t="shared" si="20"/>
        <v>-0.67669172932330834</v>
      </c>
      <c r="L36" s="257">
        <f t="shared" si="20"/>
        <v>-0.61758752281400364</v>
      </c>
      <c r="M36" s="257">
        <f t="shared" si="20"/>
        <v>0</v>
      </c>
      <c r="N36" s="257">
        <f t="shared" si="20"/>
        <v>-0.91809523809523808</v>
      </c>
      <c r="O36" s="257">
        <f t="shared" si="20"/>
        <v>0.44552154195011329</v>
      </c>
      <c r="AE36" s="309">
        <f t="shared" si="2"/>
        <v>8.3333333333333339</v>
      </c>
      <c r="AG36">
        <f t="shared" si="4"/>
        <v>8.9928057553956844</v>
      </c>
      <c r="AM36">
        <f t="shared" si="5"/>
        <v>0.92666666666666664</v>
      </c>
      <c r="AO36" s="13">
        <f t="shared" si="6"/>
        <v>750</v>
      </c>
      <c r="AP36" s="309">
        <f t="shared" ref="AP36:BC36" si="28">AP19/AP$23</f>
        <v>268.66485013623975</v>
      </c>
      <c r="AQ36" s="309">
        <f t="shared" si="28"/>
        <v>245.55903866248696</v>
      </c>
      <c r="AR36" s="309">
        <f t="shared" si="28"/>
        <v>145.98540145985399</v>
      </c>
      <c r="AS36" s="309">
        <f t="shared" si="28"/>
        <v>86.77918424753868</v>
      </c>
      <c r="AT36" s="309">
        <f t="shared" si="28"/>
        <v>33.333333333333336</v>
      </c>
      <c r="AU36" s="309">
        <f t="shared" si="28"/>
        <v>14.482758620689657</v>
      </c>
      <c r="AV36" s="309">
        <f t="shared" si="28"/>
        <v>12.745098039215685</v>
      </c>
      <c r="AW36" s="309">
        <f t="shared" si="28"/>
        <v>8.6206896551724128</v>
      </c>
      <c r="AX36" s="309">
        <f t="shared" si="28"/>
        <v>6.5616797900262469</v>
      </c>
      <c r="AY36" s="309">
        <f t="shared" si="28"/>
        <v>5.8823529411764701</v>
      </c>
      <c r="AZ36" s="309">
        <f t="shared" si="28"/>
        <v>5.6224899598393572</v>
      </c>
      <c r="BA36" s="309">
        <f t="shared" si="28"/>
        <v>5.8333333333333339</v>
      </c>
      <c r="BB36" s="309">
        <f t="shared" si="28"/>
        <v>6.0483870967741939</v>
      </c>
      <c r="BC36" s="309">
        <f t="shared" si="28"/>
        <v>6.5789473684210531</v>
      </c>
      <c r="BD36" s="308">
        <f>SUM(AP19:BC19)</f>
        <v>435.01999999999992</v>
      </c>
      <c r="BE36" s="90">
        <f t="shared" si="9"/>
        <v>0.70443645083932849</v>
      </c>
      <c r="BF36" s="39">
        <f t="shared" si="10"/>
        <v>20.93</v>
      </c>
      <c r="BH36" s="333">
        <f t="shared" si="11"/>
        <v>1.1803663339194654</v>
      </c>
    </row>
    <row r="37" spans="1:60" x14ac:dyDescent="0.2">
      <c r="A37" t="str">
        <f t="shared" si="16"/>
        <v xml:space="preserve">R2P1EA10 </v>
      </c>
      <c r="B37" s="25">
        <f t="shared" si="17"/>
        <v>99.138755980861248</v>
      </c>
      <c r="C37" s="25">
        <f t="shared" si="18"/>
        <v>90.599038041101892</v>
      </c>
      <c r="D37" s="25">
        <f t="shared" si="19"/>
        <v>1786.4761904761901</v>
      </c>
      <c r="E37" s="257">
        <f t="shared" si="20"/>
        <v>-0.78244814287853826</v>
      </c>
      <c r="F37" s="257">
        <f t="shared" si="20"/>
        <v>-0.5903757739226384</v>
      </c>
      <c r="G37" s="257">
        <f t="shared" si="20"/>
        <v>0.10424684804246853</v>
      </c>
      <c r="H37" s="257">
        <f t="shared" si="20"/>
        <v>0.19271694214876045</v>
      </c>
      <c r="I37" s="257">
        <f t="shared" si="20"/>
        <v>-0.12045454545454548</v>
      </c>
      <c r="J37" s="257">
        <f t="shared" si="20"/>
        <v>-0.80454545454545456</v>
      </c>
      <c r="K37" s="257">
        <f t="shared" si="20"/>
        <v>-0.90741626794258368</v>
      </c>
      <c r="L37" s="257">
        <f t="shared" si="20"/>
        <v>-0.89937836553690209</v>
      </c>
      <c r="M37" s="257">
        <f t="shared" si="20"/>
        <v>0</v>
      </c>
      <c r="N37" s="257">
        <f t="shared" si="20"/>
        <v>0.17272727272727284</v>
      </c>
      <c r="O37" s="257">
        <f t="shared" si="20"/>
        <v>-0.14837662337662327</v>
      </c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H37" s="333"/>
    </row>
    <row r="38" spans="1:60" x14ac:dyDescent="0.2">
      <c r="A38" t="str">
        <f t="shared" si="16"/>
        <v xml:space="preserve">R2P1EA11 </v>
      </c>
      <c r="B38" s="25">
        <f t="shared" si="17"/>
        <v>99.049217002237143</v>
      </c>
      <c r="C38" s="25">
        <f t="shared" si="18"/>
        <v>87.284376540167571</v>
      </c>
      <c r="D38" s="25">
        <f t="shared" si="19"/>
        <v>2096.8888888888891</v>
      </c>
      <c r="E38" s="257">
        <f t="shared" si="20"/>
        <v>-0.48332005920624355</v>
      </c>
      <c r="F38" s="257">
        <f t="shared" si="20"/>
        <v>-0.31985906498818839</v>
      </c>
      <c r="G38" s="257">
        <f t="shared" si="20"/>
        <v>0.21805965098854352</v>
      </c>
      <c r="H38" s="257">
        <f t="shared" si="20"/>
        <v>7.43527995183626E-2</v>
      </c>
      <c r="I38" s="257">
        <f t="shared" si="20"/>
        <v>0.13907284768211925</v>
      </c>
      <c r="J38" s="257">
        <f t="shared" si="20"/>
        <v>-0.74687270051508459</v>
      </c>
      <c r="K38" s="257">
        <f t="shared" si="20"/>
        <v>-0.80515859184384797</v>
      </c>
      <c r="L38" s="257">
        <f t="shared" si="20"/>
        <v>-0.76087407988554812</v>
      </c>
      <c r="M38" s="257">
        <f t="shared" si="20"/>
        <v>0</v>
      </c>
      <c r="N38" s="257">
        <f t="shared" si="20"/>
        <v>0.13907284768211925</v>
      </c>
      <c r="O38" s="257">
        <f t="shared" si="20"/>
        <v>0.2017896562598549</v>
      </c>
      <c r="AE38" s="309"/>
      <c r="BH38" s="333"/>
    </row>
    <row r="39" spans="1:60" x14ac:dyDescent="0.2">
      <c r="A39" t="str">
        <f t="shared" si="16"/>
        <v xml:space="preserve">R2P1EA12 </v>
      </c>
      <c r="B39" s="25">
        <f t="shared" si="17"/>
        <v>98.370549185274598</v>
      </c>
      <c r="C39" s="25">
        <f t="shared" si="18"/>
        <v>82.323232323232318</v>
      </c>
      <c r="D39" s="25">
        <f t="shared" si="19"/>
        <v>2778.2857142857142</v>
      </c>
      <c r="E39" s="257">
        <f t="shared" si="20"/>
        <v>-1.6325286357327218E-2</v>
      </c>
      <c r="F39" s="257">
        <f t="shared" si="20"/>
        <v>0.11643242841441848</v>
      </c>
      <c r="G39" s="257">
        <f t="shared" si="20"/>
        <v>0.29378125179608006</v>
      </c>
      <c r="H39" s="257">
        <f t="shared" si="20"/>
        <v>0.47745168217609169</v>
      </c>
      <c r="I39" s="257">
        <f t="shared" si="20"/>
        <v>0.59980314960629921</v>
      </c>
      <c r="J39" s="257">
        <f t="shared" si="20"/>
        <v>-0.20997375328083978</v>
      </c>
      <c r="K39" s="257">
        <f t="shared" si="20"/>
        <v>-0.465395772896809</v>
      </c>
      <c r="L39" s="257">
        <f t="shared" si="20"/>
        <v>-0.42842053279925385</v>
      </c>
      <c r="M39" s="257">
        <f t="shared" si="20"/>
        <v>0</v>
      </c>
      <c r="N39" s="257">
        <f t="shared" si="20"/>
        <v>-0.89842519685039368</v>
      </c>
      <c r="O39" s="257">
        <f t="shared" si="20"/>
        <v>0.6536136107986501</v>
      </c>
    </row>
    <row r="40" spans="1:60" x14ac:dyDescent="0.2">
      <c r="A40" t="str">
        <f t="shared" si="16"/>
        <v xml:space="preserve">R2P1EA13 </v>
      </c>
      <c r="B40" s="25">
        <f t="shared" si="17"/>
        <v>96.928104575163388</v>
      </c>
      <c r="C40" s="25">
        <f t="shared" si="18"/>
        <v>70.48479087452472</v>
      </c>
      <c r="D40" s="25">
        <f t="shared" si="19"/>
        <v>4866.4444444444443</v>
      </c>
      <c r="E40" s="257">
        <f t="shared" si="20"/>
        <v>0</v>
      </c>
      <c r="F40" s="257">
        <f t="shared" si="20"/>
        <v>0</v>
      </c>
      <c r="G40" s="257">
        <f t="shared" si="20"/>
        <v>0</v>
      </c>
      <c r="H40" s="257">
        <f t="shared" si="20"/>
        <v>0</v>
      </c>
      <c r="I40" s="257">
        <f t="shared" si="20"/>
        <v>0</v>
      </c>
      <c r="J40" s="257">
        <f t="shared" si="20"/>
        <v>0</v>
      </c>
      <c r="K40" s="257">
        <f t="shared" si="20"/>
        <v>0</v>
      </c>
      <c r="L40" s="257">
        <f t="shared" si="20"/>
        <v>0</v>
      </c>
      <c r="M40" s="257">
        <f t="shared" si="20"/>
        <v>0</v>
      </c>
      <c r="N40" s="257">
        <f t="shared" si="20"/>
        <v>0</v>
      </c>
      <c r="O40" s="257">
        <f t="shared" si="20"/>
        <v>0</v>
      </c>
    </row>
    <row r="41" spans="1:60" x14ac:dyDescent="0.2">
      <c r="A41" t="str">
        <f t="shared" si="16"/>
        <v xml:space="preserve">CZO-GNEISS </v>
      </c>
      <c r="B41" s="25">
        <f t="shared" si="17"/>
        <v>65.366317792578499</v>
      </c>
      <c r="C41" s="25">
        <f t="shared" si="18"/>
        <v>62.625341841385591</v>
      </c>
      <c r="D41" s="25">
        <f t="shared" si="19"/>
        <v>3461.7142857142858</v>
      </c>
    </row>
    <row r="42" spans="1:60" x14ac:dyDescent="0.2">
      <c r="A42" t="str">
        <f t="shared" si="16"/>
        <v xml:space="preserve">_MLG </v>
      </c>
      <c r="B42" s="25">
        <f t="shared" si="17"/>
        <v>69.180470793374013</v>
      </c>
      <c r="C42" s="25">
        <f t="shared" si="18"/>
        <v>60.781309842972036</v>
      </c>
      <c r="D42" s="25">
        <f t="shared" si="19"/>
        <v>5726.4761904761908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43"/>
  <sheetViews>
    <sheetView topLeftCell="X1" zoomScale="80" zoomScaleNormal="80" workbookViewId="0">
      <selection activeCell="AL27" sqref="AL27"/>
    </sheetView>
  </sheetViews>
  <sheetFormatPr baseColWidth="10" defaultRowHeight="15" x14ac:dyDescent="0.2"/>
  <cols>
    <col min="1" max="1" width="12" customWidth="1"/>
    <col min="2" max="3" width="8.83203125" bestFit="1" customWidth="1"/>
    <col min="4" max="4" width="10.33203125" bestFit="1" customWidth="1"/>
    <col min="5" max="5" width="10.33203125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8.33203125" customWidth="1"/>
    <col min="42" max="62" width="7" bestFit="1" customWidth="1"/>
  </cols>
  <sheetData>
    <row r="1" spans="1:63" x14ac:dyDescent="0.2">
      <c r="A1" s="2" t="s">
        <v>416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3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3" x14ac:dyDescent="0.2">
      <c r="A3" s="2" t="s">
        <v>2</v>
      </c>
      <c r="B3" s="2" t="s">
        <v>422</v>
      </c>
      <c r="C3" s="2" t="s">
        <v>426</v>
      </c>
      <c r="D3" s="2" t="s">
        <v>426</v>
      </c>
      <c r="E3" s="2" t="s">
        <v>426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63" x14ac:dyDescent="0.2">
      <c r="A4" s="2" t="s">
        <v>60</v>
      </c>
      <c r="B4" s="2"/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63" x14ac:dyDescent="0.2">
      <c r="A5" s="2" t="s">
        <v>63</v>
      </c>
      <c r="B5" s="2"/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63" ht="16" thickBot="1" x14ac:dyDescent="0.25">
      <c r="A6" s="5" t="s">
        <v>64</v>
      </c>
      <c r="B6" s="5"/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  <c r="BK6" t="s">
        <v>467</v>
      </c>
    </row>
    <row r="7" spans="1:63" ht="16" thickTop="1" x14ac:dyDescent="0.2">
      <c r="A7" s="2" t="s">
        <v>85</v>
      </c>
      <c r="B7" s="7" t="s">
        <v>428</v>
      </c>
      <c r="C7" s="7">
        <v>0</v>
      </c>
      <c r="D7" s="7">
        <v>8</v>
      </c>
      <c r="E7" s="7">
        <f>AVERAGE(C7:D7)</f>
        <v>4</v>
      </c>
      <c r="F7" s="4">
        <v>73.95</v>
      </c>
      <c r="G7" s="4">
        <v>11.01</v>
      </c>
      <c r="H7" s="4">
        <v>2.61</v>
      </c>
      <c r="I7" s="4">
        <v>0.13900000000000001</v>
      </c>
      <c r="J7" s="4">
        <v>0.14000000000000001</v>
      </c>
      <c r="K7" s="4">
        <v>0.13</v>
      </c>
      <c r="L7" s="4">
        <v>0.3</v>
      </c>
      <c r="M7" s="4">
        <v>4.91</v>
      </c>
      <c r="N7" s="4">
        <v>0.34799999999999998</v>
      </c>
      <c r="O7" s="4">
        <v>0.05</v>
      </c>
      <c r="P7" s="4">
        <v>5.89</v>
      </c>
      <c r="Q7" s="4">
        <v>99.48</v>
      </c>
      <c r="R7" s="4">
        <v>4</v>
      </c>
      <c r="S7" s="4">
        <v>1</v>
      </c>
      <c r="T7" s="4">
        <v>34</v>
      </c>
      <c r="U7" s="4" t="s">
        <v>69</v>
      </c>
      <c r="V7" s="4">
        <v>8</v>
      </c>
      <c r="W7" s="4" t="s">
        <v>69</v>
      </c>
      <c r="X7" s="4">
        <v>20</v>
      </c>
      <c r="Y7" s="4">
        <v>30</v>
      </c>
      <c r="Z7" s="4">
        <v>12</v>
      </c>
      <c r="AA7" s="4">
        <v>1</v>
      </c>
      <c r="AB7" s="4" t="s">
        <v>71</v>
      </c>
      <c r="AC7" s="4">
        <v>105</v>
      </c>
      <c r="AD7" s="4">
        <v>132</v>
      </c>
      <c r="AE7" s="4">
        <v>27</v>
      </c>
      <c r="AF7" s="4">
        <v>344</v>
      </c>
      <c r="AG7" s="4">
        <v>4</v>
      </c>
      <c r="AH7" s="4" t="s">
        <v>72</v>
      </c>
      <c r="AI7" s="4">
        <v>0.5</v>
      </c>
      <c r="AJ7" s="4" t="s">
        <v>73</v>
      </c>
      <c r="AK7" s="4">
        <v>5</v>
      </c>
      <c r="AL7" s="4" t="s">
        <v>74</v>
      </c>
      <c r="AM7" s="4">
        <v>1.4</v>
      </c>
      <c r="AN7" s="4">
        <v>691</v>
      </c>
      <c r="AO7" s="4" t="s">
        <v>75</v>
      </c>
      <c r="AP7" s="4">
        <v>87.4</v>
      </c>
      <c r="AQ7" s="4">
        <v>176</v>
      </c>
      <c r="AR7" s="4">
        <v>17.5</v>
      </c>
      <c r="AS7" s="4">
        <v>56.3</v>
      </c>
      <c r="AT7" s="4">
        <v>8.6</v>
      </c>
      <c r="AU7" s="4">
        <v>1.52</v>
      </c>
      <c r="AV7" s="4">
        <v>5.7</v>
      </c>
      <c r="AW7" s="4">
        <v>0.8</v>
      </c>
      <c r="AX7" s="4">
        <v>4.8</v>
      </c>
      <c r="AY7" s="4">
        <v>0.9</v>
      </c>
      <c r="AZ7" s="4">
        <v>2.7</v>
      </c>
      <c r="BA7" s="4">
        <v>0.38</v>
      </c>
      <c r="BB7" s="4">
        <v>2.5</v>
      </c>
      <c r="BC7" s="4">
        <v>0.42</v>
      </c>
      <c r="BD7" s="4">
        <v>7.7</v>
      </c>
      <c r="BE7" s="4">
        <v>0.7</v>
      </c>
      <c r="BF7" s="4" t="s">
        <v>68</v>
      </c>
      <c r="BG7" s="4">
        <v>0.6</v>
      </c>
      <c r="BH7" s="4">
        <v>30</v>
      </c>
      <c r="BI7" s="4">
        <v>11.8</v>
      </c>
      <c r="BJ7" s="4">
        <v>2.5</v>
      </c>
      <c r="BK7">
        <f>100*(G7/(G7+J7+K7+L7))</f>
        <v>95.077720207253861</v>
      </c>
    </row>
    <row r="8" spans="1:63" x14ac:dyDescent="0.2">
      <c r="A8" s="2" t="s">
        <v>86</v>
      </c>
      <c r="B8" s="7" t="s">
        <v>431</v>
      </c>
      <c r="C8" s="7">
        <v>8</v>
      </c>
      <c r="D8" s="7">
        <v>20</v>
      </c>
      <c r="E8" s="7">
        <f t="shared" ref="E8:E20" si="0">AVERAGE(C8:D8)</f>
        <v>14</v>
      </c>
      <c r="F8" s="4">
        <v>76.709999999999994</v>
      </c>
      <c r="G8" s="4">
        <v>11.4</v>
      </c>
      <c r="H8" s="4">
        <v>2.4500000000000002</v>
      </c>
      <c r="I8" s="4">
        <v>0.1</v>
      </c>
      <c r="J8" s="4">
        <v>0.14000000000000001</v>
      </c>
      <c r="K8" s="4">
        <v>0.11</v>
      </c>
      <c r="L8" s="4">
        <v>0.3</v>
      </c>
      <c r="M8" s="4">
        <v>5.0599999999999996</v>
      </c>
      <c r="N8" s="4">
        <v>0.33100000000000002</v>
      </c>
      <c r="O8" s="4">
        <v>0.03</v>
      </c>
      <c r="P8" s="4">
        <v>3.85</v>
      </c>
      <c r="Q8" s="4">
        <v>100.5</v>
      </c>
      <c r="R8" s="4">
        <v>4</v>
      </c>
      <c r="S8" s="4">
        <v>1</v>
      </c>
      <c r="T8" s="4">
        <v>34</v>
      </c>
      <c r="U8" s="4" t="s">
        <v>69</v>
      </c>
      <c r="V8" s="4">
        <v>7</v>
      </c>
      <c r="W8" s="4" t="s">
        <v>69</v>
      </c>
      <c r="X8" s="4">
        <v>10</v>
      </c>
      <c r="Y8" s="4" t="s">
        <v>70</v>
      </c>
      <c r="Z8" s="4">
        <v>13</v>
      </c>
      <c r="AA8" s="4">
        <v>1</v>
      </c>
      <c r="AB8" s="4" t="s">
        <v>71</v>
      </c>
      <c r="AC8" s="4">
        <v>110</v>
      </c>
      <c r="AD8" s="4">
        <v>137</v>
      </c>
      <c r="AE8" s="4">
        <v>38</v>
      </c>
      <c r="AF8" s="4">
        <v>333</v>
      </c>
      <c r="AG8" s="4">
        <v>4</v>
      </c>
      <c r="AH8" s="4" t="s">
        <v>72</v>
      </c>
      <c r="AI8" s="4">
        <v>0.7</v>
      </c>
      <c r="AJ8" s="4" t="s">
        <v>73</v>
      </c>
      <c r="AK8" s="4">
        <v>3</v>
      </c>
      <c r="AL8" s="4" t="s">
        <v>74</v>
      </c>
      <c r="AM8" s="4">
        <v>1.4</v>
      </c>
      <c r="AN8" s="4">
        <v>668</v>
      </c>
      <c r="AO8" s="4" t="s">
        <v>75</v>
      </c>
      <c r="AP8" s="4">
        <v>140</v>
      </c>
      <c r="AQ8" s="4">
        <v>190</v>
      </c>
      <c r="AR8" s="4">
        <v>28.5</v>
      </c>
      <c r="AS8" s="4">
        <v>90.4</v>
      </c>
      <c r="AT8" s="4">
        <v>12.4</v>
      </c>
      <c r="AU8" s="4">
        <v>2.29</v>
      </c>
      <c r="AV8" s="4">
        <v>8.5</v>
      </c>
      <c r="AW8" s="4">
        <v>1.1000000000000001</v>
      </c>
      <c r="AX8" s="4">
        <v>6.5</v>
      </c>
      <c r="AY8" s="4">
        <v>1.3</v>
      </c>
      <c r="AZ8" s="4">
        <v>3.7</v>
      </c>
      <c r="BA8" s="4">
        <v>0.53</v>
      </c>
      <c r="BB8" s="4">
        <v>3.4</v>
      </c>
      <c r="BC8" s="4">
        <v>0.55000000000000004</v>
      </c>
      <c r="BD8" s="4">
        <v>8.5</v>
      </c>
      <c r="BE8" s="4">
        <v>0.5</v>
      </c>
      <c r="BF8" s="4" t="s">
        <v>68</v>
      </c>
      <c r="BG8" s="4">
        <v>0.5</v>
      </c>
      <c r="BH8" s="4">
        <v>26</v>
      </c>
      <c r="BI8" s="4">
        <v>12.9</v>
      </c>
      <c r="BJ8" s="4">
        <v>2.2999999999999998</v>
      </c>
      <c r="BK8">
        <f t="shared" ref="BK8:BK20" si="1">100*(G8/(G8+J8+K8+L8))</f>
        <v>95.397489539748946</v>
      </c>
    </row>
    <row r="9" spans="1:63" x14ac:dyDescent="0.2">
      <c r="A9" s="2" t="s">
        <v>87</v>
      </c>
      <c r="B9" s="7" t="s">
        <v>432</v>
      </c>
      <c r="C9" s="7">
        <v>20</v>
      </c>
      <c r="D9" s="7">
        <v>30</v>
      </c>
      <c r="E9" s="7">
        <f t="shared" si="0"/>
        <v>25</v>
      </c>
      <c r="F9" s="4">
        <v>73.75</v>
      </c>
      <c r="G9" s="4">
        <v>12.91</v>
      </c>
      <c r="H9" s="4">
        <v>2.84</v>
      </c>
      <c r="I9" s="4">
        <v>0.06</v>
      </c>
      <c r="J9" s="4">
        <v>0.15</v>
      </c>
      <c r="K9" s="4">
        <v>0.09</v>
      </c>
      <c r="L9" s="4">
        <v>0.28999999999999998</v>
      </c>
      <c r="M9" s="4">
        <v>5.46</v>
      </c>
      <c r="N9" s="4">
        <v>0.35899999999999999</v>
      </c>
      <c r="O9" s="4">
        <v>0.03</v>
      </c>
      <c r="P9" s="4">
        <v>3.54</v>
      </c>
      <c r="Q9" s="4">
        <v>99.49</v>
      </c>
      <c r="R9" s="4">
        <v>5</v>
      </c>
      <c r="S9" s="4" t="s">
        <v>68</v>
      </c>
      <c r="T9" s="4">
        <v>38</v>
      </c>
      <c r="U9" s="4" t="s">
        <v>69</v>
      </c>
      <c r="V9" s="4">
        <v>7</v>
      </c>
      <c r="W9" s="4" t="s">
        <v>69</v>
      </c>
      <c r="X9" s="4">
        <v>20</v>
      </c>
      <c r="Y9" s="4" t="s">
        <v>70</v>
      </c>
      <c r="Z9" s="4">
        <v>15</v>
      </c>
      <c r="AA9" s="4">
        <v>1</v>
      </c>
      <c r="AB9" s="4" t="s">
        <v>71</v>
      </c>
      <c r="AC9" s="4">
        <v>124</v>
      </c>
      <c r="AD9" s="4">
        <v>146</v>
      </c>
      <c r="AE9" s="4">
        <v>41</v>
      </c>
      <c r="AF9" s="4">
        <v>340</v>
      </c>
      <c r="AG9" s="4">
        <v>6</v>
      </c>
      <c r="AH9" s="4" t="s">
        <v>72</v>
      </c>
      <c r="AI9" s="4">
        <v>0.6</v>
      </c>
      <c r="AJ9" s="4" t="s">
        <v>73</v>
      </c>
      <c r="AK9" s="4">
        <v>5</v>
      </c>
      <c r="AL9" s="4" t="s">
        <v>74</v>
      </c>
      <c r="AM9" s="4">
        <v>1.6</v>
      </c>
      <c r="AN9" s="4">
        <v>702</v>
      </c>
      <c r="AO9" s="4" t="s">
        <v>75</v>
      </c>
      <c r="AP9" s="4">
        <v>166</v>
      </c>
      <c r="AQ9" s="4">
        <v>277</v>
      </c>
      <c r="AR9" s="4">
        <v>32.299999999999997</v>
      </c>
      <c r="AS9" s="4">
        <v>105</v>
      </c>
      <c r="AT9" s="4">
        <v>14.1</v>
      </c>
      <c r="AU9" s="4">
        <v>2.5299999999999998</v>
      </c>
      <c r="AV9" s="4">
        <v>9.6</v>
      </c>
      <c r="AW9" s="4">
        <v>1.3</v>
      </c>
      <c r="AX9" s="4">
        <v>6.9</v>
      </c>
      <c r="AY9" s="4">
        <v>1.3</v>
      </c>
      <c r="AZ9" s="4">
        <v>3.8</v>
      </c>
      <c r="BA9" s="4">
        <v>0.56000000000000005</v>
      </c>
      <c r="BB9" s="4">
        <v>3.6</v>
      </c>
      <c r="BC9" s="4">
        <v>0.57999999999999996</v>
      </c>
      <c r="BD9" s="4">
        <v>8.9</v>
      </c>
      <c r="BE9" s="4">
        <v>0.8</v>
      </c>
      <c r="BF9" s="4">
        <v>1</v>
      </c>
      <c r="BG9" s="4">
        <v>0.6</v>
      </c>
      <c r="BH9" s="4">
        <v>29</v>
      </c>
      <c r="BI9" s="4">
        <v>18.5</v>
      </c>
      <c r="BJ9" s="4">
        <v>3</v>
      </c>
      <c r="BK9">
        <f t="shared" si="1"/>
        <v>96.05654761904762</v>
      </c>
    </row>
    <row r="10" spans="1:63" x14ac:dyDescent="0.2">
      <c r="A10" s="2" t="s">
        <v>88</v>
      </c>
      <c r="B10" s="7" t="s">
        <v>433</v>
      </c>
      <c r="C10" s="7">
        <v>30</v>
      </c>
      <c r="D10" s="7">
        <v>40</v>
      </c>
      <c r="E10" s="7">
        <f t="shared" si="0"/>
        <v>35</v>
      </c>
      <c r="F10" s="4">
        <v>70.12</v>
      </c>
      <c r="G10" s="4">
        <v>14.94</v>
      </c>
      <c r="H10" s="4">
        <v>3.17</v>
      </c>
      <c r="I10" s="4">
        <v>3.6999999999999998E-2</v>
      </c>
      <c r="J10" s="4">
        <v>0.26</v>
      </c>
      <c r="K10" s="4">
        <v>0.14000000000000001</v>
      </c>
      <c r="L10" s="4">
        <v>0.35</v>
      </c>
      <c r="M10" s="4">
        <v>5.37</v>
      </c>
      <c r="N10" s="4">
        <v>0.36499999999999999</v>
      </c>
      <c r="O10" s="4">
        <v>0.01</v>
      </c>
      <c r="P10" s="4">
        <v>4.6500000000000004</v>
      </c>
      <c r="Q10" s="4">
        <v>99.41</v>
      </c>
      <c r="R10" s="4">
        <v>6</v>
      </c>
      <c r="S10" s="4">
        <v>1</v>
      </c>
      <c r="T10" s="4">
        <v>47</v>
      </c>
      <c r="U10" s="4">
        <v>30</v>
      </c>
      <c r="V10" s="4">
        <v>7</v>
      </c>
      <c r="W10" s="4" t="s">
        <v>69</v>
      </c>
      <c r="X10" s="4">
        <v>30</v>
      </c>
      <c r="Y10" s="4">
        <v>40</v>
      </c>
      <c r="Z10" s="4">
        <v>18</v>
      </c>
      <c r="AA10" s="4">
        <v>1</v>
      </c>
      <c r="AB10" s="4" t="s">
        <v>71</v>
      </c>
      <c r="AC10" s="4">
        <v>132</v>
      </c>
      <c r="AD10" s="4">
        <v>133</v>
      </c>
      <c r="AE10" s="4">
        <v>34</v>
      </c>
      <c r="AF10" s="4">
        <v>335</v>
      </c>
      <c r="AG10" s="4">
        <v>5</v>
      </c>
      <c r="AH10" s="4" t="s">
        <v>72</v>
      </c>
      <c r="AI10" s="4" t="s">
        <v>74</v>
      </c>
      <c r="AJ10" s="4" t="s">
        <v>73</v>
      </c>
      <c r="AK10" s="4">
        <v>4</v>
      </c>
      <c r="AL10" s="4" t="s">
        <v>74</v>
      </c>
      <c r="AM10" s="4">
        <v>1.8</v>
      </c>
      <c r="AN10" s="4">
        <v>640</v>
      </c>
      <c r="AO10" s="4" t="s">
        <v>75</v>
      </c>
      <c r="AP10" s="4">
        <v>144</v>
      </c>
      <c r="AQ10" s="4">
        <v>317</v>
      </c>
      <c r="AR10" s="4">
        <v>27.9</v>
      </c>
      <c r="AS10" s="4">
        <v>88.6</v>
      </c>
      <c r="AT10" s="4">
        <v>11.6</v>
      </c>
      <c r="AU10" s="4">
        <v>2.1</v>
      </c>
      <c r="AV10" s="4">
        <v>7.6</v>
      </c>
      <c r="AW10" s="4">
        <v>1</v>
      </c>
      <c r="AX10" s="4">
        <v>5.6</v>
      </c>
      <c r="AY10" s="4">
        <v>1.1000000000000001</v>
      </c>
      <c r="AZ10" s="4">
        <v>3.1</v>
      </c>
      <c r="BA10" s="4">
        <v>0.43</v>
      </c>
      <c r="BB10" s="4">
        <v>2.8</v>
      </c>
      <c r="BC10" s="4">
        <v>0.44</v>
      </c>
      <c r="BD10" s="4">
        <v>8.4</v>
      </c>
      <c r="BE10" s="4">
        <v>0.6</v>
      </c>
      <c r="BF10" s="4" t="s">
        <v>68</v>
      </c>
      <c r="BG10" s="4">
        <v>0.6</v>
      </c>
      <c r="BH10" s="4">
        <v>30</v>
      </c>
      <c r="BI10" s="4">
        <v>30.5</v>
      </c>
      <c r="BJ10" s="4">
        <v>2.9</v>
      </c>
      <c r="BK10">
        <f t="shared" si="1"/>
        <v>95.219885277246647</v>
      </c>
    </row>
    <row r="11" spans="1:63" x14ac:dyDescent="0.2">
      <c r="A11" s="2" t="s">
        <v>89</v>
      </c>
      <c r="B11" s="7" t="s">
        <v>434</v>
      </c>
      <c r="C11" s="7">
        <v>40</v>
      </c>
      <c r="D11" s="7">
        <v>85</v>
      </c>
      <c r="E11" s="7">
        <f t="shared" si="0"/>
        <v>62.5</v>
      </c>
      <c r="F11" s="4">
        <v>65.98</v>
      </c>
      <c r="G11" s="4">
        <v>17.100000000000001</v>
      </c>
      <c r="H11" s="4">
        <v>3.96</v>
      </c>
      <c r="I11" s="4">
        <v>2.4E-2</v>
      </c>
      <c r="J11" s="4">
        <v>0.26</v>
      </c>
      <c r="K11" s="4">
        <v>0.06</v>
      </c>
      <c r="L11" s="4">
        <v>0.26</v>
      </c>
      <c r="M11" s="4">
        <v>5.17</v>
      </c>
      <c r="N11" s="4">
        <v>0.38700000000000001</v>
      </c>
      <c r="O11" s="4">
        <v>0.02</v>
      </c>
      <c r="P11" s="4">
        <v>5.59</v>
      </c>
      <c r="Q11" s="4">
        <v>98.81</v>
      </c>
      <c r="R11" s="4">
        <v>8</v>
      </c>
      <c r="S11" s="4">
        <v>1</v>
      </c>
      <c r="T11" s="4">
        <v>52</v>
      </c>
      <c r="U11" s="4" t="s">
        <v>69</v>
      </c>
      <c r="V11" s="4">
        <v>6</v>
      </c>
      <c r="W11" s="4" t="s">
        <v>69</v>
      </c>
      <c r="X11" s="4">
        <v>40</v>
      </c>
      <c r="Y11" s="4">
        <v>40</v>
      </c>
      <c r="Z11" s="4">
        <v>23</v>
      </c>
      <c r="AA11" s="4">
        <v>2</v>
      </c>
      <c r="AB11" s="4" t="s">
        <v>71</v>
      </c>
      <c r="AC11" s="4">
        <v>132</v>
      </c>
      <c r="AD11" s="4">
        <v>122</v>
      </c>
      <c r="AE11" s="4">
        <v>19</v>
      </c>
      <c r="AF11" s="4">
        <v>242</v>
      </c>
      <c r="AG11" s="4">
        <v>5</v>
      </c>
      <c r="AH11" s="4" t="s">
        <v>72</v>
      </c>
      <c r="AI11" s="4" t="s">
        <v>74</v>
      </c>
      <c r="AJ11" s="4" t="s">
        <v>73</v>
      </c>
      <c r="AK11" s="4">
        <v>3</v>
      </c>
      <c r="AL11" s="4" t="s">
        <v>74</v>
      </c>
      <c r="AM11" s="4">
        <v>1.8</v>
      </c>
      <c r="AN11" s="4">
        <v>535</v>
      </c>
      <c r="AO11" s="4" t="s">
        <v>75</v>
      </c>
      <c r="AP11" s="4">
        <v>155</v>
      </c>
      <c r="AQ11" s="4">
        <v>388</v>
      </c>
      <c r="AR11" s="4">
        <v>31.4</v>
      </c>
      <c r="AS11" s="4">
        <v>101</v>
      </c>
      <c r="AT11" s="4">
        <v>12.1</v>
      </c>
      <c r="AU11" s="4">
        <v>1.77</v>
      </c>
      <c r="AV11" s="4">
        <v>6</v>
      </c>
      <c r="AW11" s="4">
        <v>0.8</v>
      </c>
      <c r="AX11" s="4">
        <v>4</v>
      </c>
      <c r="AY11" s="4">
        <v>0.7</v>
      </c>
      <c r="AZ11" s="4">
        <v>2.1</v>
      </c>
      <c r="BA11" s="4">
        <v>0.3</v>
      </c>
      <c r="BB11" s="4">
        <v>2</v>
      </c>
      <c r="BC11" s="4">
        <v>0.33</v>
      </c>
      <c r="BD11" s="4">
        <v>6.6</v>
      </c>
      <c r="BE11" s="4">
        <v>0.5</v>
      </c>
      <c r="BF11" s="4" t="s">
        <v>68</v>
      </c>
      <c r="BG11" s="4">
        <v>0.6</v>
      </c>
      <c r="BH11" s="4">
        <v>33</v>
      </c>
      <c r="BI11" s="4">
        <v>53.7</v>
      </c>
      <c r="BJ11" s="4">
        <v>3.2</v>
      </c>
      <c r="BK11">
        <f t="shared" si="1"/>
        <v>96.719457013574655</v>
      </c>
    </row>
    <row r="12" spans="1:63" x14ac:dyDescent="0.2">
      <c r="A12" s="2" t="s">
        <v>90</v>
      </c>
      <c r="B12" s="7" t="s">
        <v>420</v>
      </c>
      <c r="C12" s="7">
        <v>85</v>
      </c>
      <c r="D12" s="7">
        <v>125</v>
      </c>
      <c r="E12" s="7">
        <f t="shared" si="0"/>
        <v>105</v>
      </c>
      <c r="F12" s="4">
        <v>68.989999999999995</v>
      </c>
      <c r="G12" s="4">
        <v>16.510000000000002</v>
      </c>
      <c r="H12" s="4">
        <v>3.35</v>
      </c>
      <c r="I12" s="4">
        <v>2.5000000000000001E-2</v>
      </c>
      <c r="J12" s="4">
        <v>0.26</v>
      </c>
      <c r="K12" s="4">
        <v>7.0000000000000007E-2</v>
      </c>
      <c r="L12" s="4">
        <v>0.32</v>
      </c>
      <c r="M12" s="4">
        <v>6.03</v>
      </c>
      <c r="N12" s="4">
        <v>0.36299999999999999</v>
      </c>
      <c r="O12" s="4">
        <v>0.05</v>
      </c>
      <c r="P12" s="4">
        <v>4.51</v>
      </c>
      <c r="Q12" s="4">
        <v>100.5</v>
      </c>
      <c r="R12" s="4">
        <v>6</v>
      </c>
      <c r="S12" s="4">
        <v>1</v>
      </c>
      <c r="T12" s="4">
        <v>38</v>
      </c>
      <c r="U12" s="4" t="s">
        <v>69</v>
      </c>
      <c r="V12" s="4">
        <v>5</v>
      </c>
      <c r="W12" s="4" t="s">
        <v>69</v>
      </c>
      <c r="X12" s="4">
        <v>30</v>
      </c>
      <c r="Y12" s="4" t="s">
        <v>70</v>
      </c>
      <c r="Z12" s="4">
        <v>20</v>
      </c>
      <c r="AA12" s="4">
        <v>1</v>
      </c>
      <c r="AB12" s="4" t="s">
        <v>71</v>
      </c>
      <c r="AC12" s="4">
        <v>136</v>
      </c>
      <c r="AD12" s="4">
        <v>138</v>
      </c>
      <c r="AE12" s="4">
        <v>15</v>
      </c>
      <c r="AF12" s="4">
        <v>242</v>
      </c>
      <c r="AG12" s="4">
        <v>5</v>
      </c>
      <c r="AH12" s="4" t="s">
        <v>72</v>
      </c>
      <c r="AI12" s="4">
        <v>0.6</v>
      </c>
      <c r="AJ12" s="4" t="s">
        <v>73</v>
      </c>
      <c r="AK12" s="4">
        <v>2</v>
      </c>
      <c r="AL12" s="4" t="s">
        <v>74</v>
      </c>
      <c r="AM12" s="4">
        <v>1.3</v>
      </c>
      <c r="AN12" s="4">
        <v>605</v>
      </c>
      <c r="AO12" s="4" t="s">
        <v>75</v>
      </c>
      <c r="AP12" s="4">
        <v>220</v>
      </c>
      <c r="AQ12" s="4">
        <v>381</v>
      </c>
      <c r="AR12" s="4">
        <v>43.3</v>
      </c>
      <c r="AS12" s="4">
        <v>133</v>
      </c>
      <c r="AT12" s="4">
        <v>15.1</v>
      </c>
      <c r="AU12" s="4">
        <v>2.0699999999999998</v>
      </c>
      <c r="AV12" s="4">
        <v>6.6</v>
      </c>
      <c r="AW12" s="4">
        <v>0.7</v>
      </c>
      <c r="AX12" s="4">
        <v>3.5</v>
      </c>
      <c r="AY12" s="4">
        <v>0.6</v>
      </c>
      <c r="AZ12" s="4">
        <v>1.9</v>
      </c>
      <c r="BA12" s="4">
        <v>0.25</v>
      </c>
      <c r="BB12" s="4">
        <v>1.8</v>
      </c>
      <c r="BC12" s="4">
        <v>0.28000000000000003</v>
      </c>
      <c r="BD12" s="4">
        <v>6.4</v>
      </c>
      <c r="BE12" s="4">
        <v>0.5</v>
      </c>
      <c r="BF12" s="4" t="s">
        <v>68</v>
      </c>
      <c r="BG12" s="4">
        <v>0.6</v>
      </c>
      <c r="BH12" s="4">
        <v>31</v>
      </c>
      <c r="BI12" s="4">
        <v>53.8</v>
      </c>
      <c r="BJ12" s="4">
        <v>2.9</v>
      </c>
      <c r="BK12">
        <f t="shared" si="1"/>
        <v>96.212121212121204</v>
      </c>
    </row>
    <row r="13" spans="1:63" x14ac:dyDescent="0.2">
      <c r="A13" s="2" t="s">
        <v>91</v>
      </c>
      <c r="B13" s="7" t="s">
        <v>430</v>
      </c>
      <c r="C13" s="7">
        <v>125</v>
      </c>
      <c r="D13" s="7">
        <v>155</v>
      </c>
      <c r="E13" s="7">
        <f t="shared" si="0"/>
        <v>140</v>
      </c>
      <c r="F13" s="4">
        <v>71.56</v>
      </c>
      <c r="G13" s="4">
        <v>14.25</v>
      </c>
      <c r="H13" s="4">
        <v>2.86</v>
      </c>
      <c r="I13" s="4">
        <v>3.2000000000000001E-2</v>
      </c>
      <c r="J13" s="4">
        <v>0.24</v>
      </c>
      <c r="K13" s="4">
        <v>0.05</v>
      </c>
      <c r="L13" s="4">
        <v>0.31</v>
      </c>
      <c r="M13" s="4">
        <v>6.46</v>
      </c>
      <c r="N13" s="4">
        <v>0.33100000000000002</v>
      </c>
      <c r="O13" s="4">
        <v>0.03</v>
      </c>
      <c r="P13" s="4">
        <v>3.35</v>
      </c>
      <c r="Q13" s="4">
        <v>99.47</v>
      </c>
      <c r="R13" s="4">
        <v>4</v>
      </c>
      <c r="S13" s="4" t="s">
        <v>68</v>
      </c>
      <c r="T13" s="4">
        <v>28</v>
      </c>
      <c r="U13" s="4" t="s">
        <v>69</v>
      </c>
      <c r="V13" s="4">
        <v>4</v>
      </c>
      <c r="W13" s="4" t="s">
        <v>69</v>
      </c>
      <c r="X13" s="4">
        <v>40</v>
      </c>
      <c r="Y13" s="4">
        <v>40</v>
      </c>
      <c r="Z13" s="4">
        <v>19</v>
      </c>
      <c r="AA13" s="4">
        <v>1</v>
      </c>
      <c r="AB13" s="4" t="s">
        <v>71</v>
      </c>
      <c r="AC13" s="4">
        <v>141</v>
      </c>
      <c r="AD13" s="4">
        <v>130</v>
      </c>
      <c r="AE13" s="4">
        <v>16</v>
      </c>
      <c r="AF13" s="4">
        <v>294</v>
      </c>
      <c r="AG13" s="4">
        <v>3</v>
      </c>
      <c r="AH13" s="4" t="s">
        <v>72</v>
      </c>
      <c r="AI13" s="4" t="s">
        <v>74</v>
      </c>
      <c r="AJ13" s="4" t="s">
        <v>73</v>
      </c>
      <c r="AK13" s="4">
        <v>4</v>
      </c>
      <c r="AL13" s="4" t="s">
        <v>74</v>
      </c>
      <c r="AM13" s="4">
        <v>1.1000000000000001</v>
      </c>
      <c r="AN13" s="4">
        <v>569</v>
      </c>
      <c r="AO13" s="4" t="s">
        <v>75</v>
      </c>
      <c r="AP13" s="4">
        <v>227</v>
      </c>
      <c r="AQ13" s="4">
        <v>384</v>
      </c>
      <c r="AR13" s="4">
        <v>46.5</v>
      </c>
      <c r="AS13" s="4">
        <v>143</v>
      </c>
      <c r="AT13" s="4">
        <v>16.3</v>
      </c>
      <c r="AU13" s="4">
        <v>2.21</v>
      </c>
      <c r="AV13" s="4">
        <v>6.9</v>
      </c>
      <c r="AW13" s="4">
        <v>0.7</v>
      </c>
      <c r="AX13" s="4">
        <v>3.5</v>
      </c>
      <c r="AY13" s="4">
        <v>0.6</v>
      </c>
      <c r="AZ13" s="4">
        <v>1.8</v>
      </c>
      <c r="BA13" s="4">
        <v>0.26</v>
      </c>
      <c r="BB13" s="4">
        <v>1.6</v>
      </c>
      <c r="BC13" s="4">
        <v>0.28000000000000003</v>
      </c>
      <c r="BD13" s="4">
        <v>6.6</v>
      </c>
      <c r="BE13" s="4">
        <v>0.1</v>
      </c>
      <c r="BF13" s="4" t="s">
        <v>68</v>
      </c>
      <c r="BG13" s="4">
        <v>0.6</v>
      </c>
      <c r="BH13" s="4">
        <v>32</v>
      </c>
      <c r="BI13" s="4">
        <v>47</v>
      </c>
      <c r="BJ13" s="4">
        <v>2.1</v>
      </c>
      <c r="BK13">
        <f t="shared" si="1"/>
        <v>95.959595959595958</v>
      </c>
    </row>
    <row r="14" spans="1:63" x14ac:dyDescent="0.2">
      <c r="A14" s="2" t="s">
        <v>92</v>
      </c>
      <c r="B14" s="7" t="s">
        <v>435</v>
      </c>
      <c r="C14" s="7">
        <v>155</v>
      </c>
      <c r="D14" s="7">
        <v>220</v>
      </c>
      <c r="E14" s="7">
        <f t="shared" si="0"/>
        <v>187.5</v>
      </c>
      <c r="F14" s="4">
        <v>71.709999999999994</v>
      </c>
      <c r="G14" s="4">
        <v>14.71</v>
      </c>
      <c r="H14" s="4">
        <v>2.5499999999999998</v>
      </c>
      <c r="I14" s="4">
        <v>2.8000000000000001E-2</v>
      </c>
      <c r="J14" s="4">
        <v>0.23</v>
      </c>
      <c r="K14" s="4">
        <v>0.06</v>
      </c>
      <c r="L14" s="4">
        <v>0.36</v>
      </c>
      <c r="M14" s="4">
        <v>6.37</v>
      </c>
      <c r="N14" s="4">
        <v>0.26300000000000001</v>
      </c>
      <c r="O14" s="4">
        <v>0.02</v>
      </c>
      <c r="P14" s="4">
        <v>3.16</v>
      </c>
      <c r="Q14" s="4">
        <v>99.45</v>
      </c>
      <c r="R14" s="4">
        <v>3</v>
      </c>
      <c r="S14" s="4" t="s">
        <v>68</v>
      </c>
      <c r="T14" s="4">
        <v>28</v>
      </c>
      <c r="U14" s="4" t="s">
        <v>69</v>
      </c>
      <c r="V14" s="4">
        <v>3</v>
      </c>
      <c r="W14" s="4" t="s">
        <v>69</v>
      </c>
      <c r="X14" s="4">
        <v>20</v>
      </c>
      <c r="Y14" s="4">
        <v>30</v>
      </c>
      <c r="Z14" s="4">
        <v>19</v>
      </c>
      <c r="AA14" s="4">
        <v>1</v>
      </c>
      <c r="AB14" s="4" t="s">
        <v>71</v>
      </c>
      <c r="AC14" s="4">
        <v>140</v>
      </c>
      <c r="AD14" s="4">
        <v>141</v>
      </c>
      <c r="AE14" s="4">
        <v>13</v>
      </c>
      <c r="AF14" s="4">
        <v>262</v>
      </c>
      <c r="AG14" s="4">
        <v>2</v>
      </c>
      <c r="AH14" s="4" t="s">
        <v>72</v>
      </c>
      <c r="AI14" s="4" t="s">
        <v>74</v>
      </c>
      <c r="AJ14" s="4" t="s">
        <v>73</v>
      </c>
      <c r="AK14" s="4">
        <v>3</v>
      </c>
      <c r="AL14" s="4" t="s">
        <v>74</v>
      </c>
      <c r="AM14" s="4">
        <v>1</v>
      </c>
      <c r="AN14" s="4">
        <v>602</v>
      </c>
      <c r="AO14" s="4" t="s">
        <v>75</v>
      </c>
      <c r="AP14" s="4">
        <v>178</v>
      </c>
      <c r="AQ14" s="4">
        <v>366</v>
      </c>
      <c r="AR14" s="4">
        <v>37.1</v>
      </c>
      <c r="AS14" s="4">
        <v>115</v>
      </c>
      <c r="AT14" s="4">
        <v>13.3</v>
      </c>
      <c r="AU14" s="4">
        <v>1.83</v>
      </c>
      <c r="AV14" s="4">
        <v>5.6</v>
      </c>
      <c r="AW14" s="4">
        <v>0.6</v>
      </c>
      <c r="AX14" s="4">
        <v>2.8</v>
      </c>
      <c r="AY14" s="4">
        <v>0.5</v>
      </c>
      <c r="AZ14" s="4">
        <v>1.4</v>
      </c>
      <c r="BA14" s="4">
        <v>0.21</v>
      </c>
      <c r="BB14" s="4">
        <v>1.3</v>
      </c>
      <c r="BC14" s="4">
        <v>0.22</v>
      </c>
      <c r="BD14" s="4">
        <v>5.8</v>
      </c>
      <c r="BE14" s="4">
        <v>0.2</v>
      </c>
      <c r="BF14" s="4" t="s">
        <v>68</v>
      </c>
      <c r="BG14" s="4">
        <v>0.6</v>
      </c>
      <c r="BH14" s="4">
        <v>30</v>
      </c>
      <c r="BI14" s="4">
        <v>47</v>
      </c>
      <c r="BJ14" s="4">
        <v>2.2999999999999998</v>
      </c>
      <c r="BK14">
        <f t="shared" si="1"/>
        <v>95.768229166666657</v>
      </c>
    </row>
    <row r="15" spans="1:63" x14ac:dyDescent="0.2">
      <c r="A15" s="2" t="s">
        <v>93</v>
      </c>
      <c r="B15" s="2" t="s">
        <v>421</v>
      </c>
      <c r="C15" s="7">
        <v>250</v>
      </c>
      <c r="D15" s="7">
        <v>300</v>
      </c>
      <c r="E15" s="7">
        <f t="shared" si="0"/>
        <v>275</v>
      </c>
      <c r="F15" s="4">
        <v>70.849999999999994</v>
      </c>
      <c r="G15" s="4">
        <v>15.47</v>
      </c>
      <c r="H15" s="4">
        <v>3.46</v>
      </c>
      <c r="I15" s="4">
        <v>3.4000000000000002E-2</v>
      </c>
      <c r="J15" s="4">
        <v>0.59</v>
      </c>
      <c r="K15" s="4">
        <v>0.14000000000000001</v>
      </c>
      <c r="L15" s="4">
        <v>0.19</v>
      </c>
      <c r="M15" s="4">
        <v>3.89</v>
      </c>
      <c r="N15" s="4">
        <v>0.32200000000000001</v>
      </c>
      <c r="O15" s="4">
        <v>0.01</v>
      </c>
      <c r="P15" s="4">
        <v>4.99</v>
      </c>
      <c r="Q15" s="4">
        <v>99.92</v>
      </c>
      <c r="R15" s="4">
        <v>7</v>
      </c>
      <c r="S15" s="4">
        <v>1</v>
      </c>
      <c r="T15" s="4">
        <v>52</v>
      </c>
      <c r="U15" s="4">
        <v>20</v>
      </c>
      <c r="V15" s="4">
        <v>5</v>
      </c>
      <c r="W15" s="4" t="s">
        <v>69</v>
      </c>
      <c r="X15" s="4">
        <v>10</v>
      </c>
      <c r="Y15" s="4">
        <v>50</v>
      </c>
      <c r="Z15" s="4">
        <v>18</v>
      </c>
      <c r="AA15" s="4">
        <v>1</v>
      </c>
      <c r="AB15" s="4" t="s">
        <v>71</v>
      </c>
      <c r="AC15" s="4">
        <v>115</v>
      </c>
      <c r="AD15" s="4">
        <v>76</v>
      </c>
      <c r="AE15" s="4">
        <v>5</v>
      </c>
      <c r="AF15" s="4">
        <v>197</v>
      </c>
      <c r="AG15" s="4">
        <v>4</v>
      </c>
      <c r="AH15" s="4" t="s">
        <v>72</v>
      </c>
      <c r="AI15" s="4" t="s">
        <v>74</v>
      </c>
      <c r="AJ15" s="4" t="s">
        <v>73</v>
      </c>
      <c r="AK15" s="4">
        <v>3</v>
      </c>
      <c r="AL15" s="4" t="s">
        <v>74</v>
      </c>
      <c r="AM15" s="4">
        <v>1.7</v>
      </c>
      <c r="AN15" s="4">
        <v>439</v>
      </c>
      <c r="AO15" s="4" t="s">
        <v>75</v>
      </c>
      <c r="AP15" s="4">
        <v>47.8</v>
      </c>
      <c r="AQ15" s="4">
        <v>171</v>
      </c>
      <c r="AR15" s="4">
        <v>9.81</v>
      </c>
      <c r="AS15" s="4">
        <v>30.8</v>
      </c>
      <c r="AT15" s="4">
        <v>3.8</v>
      </c>
      <c r="AU15" s="4">
        <v>0.53</v>
      </c>
      <c r="AV15" s="4">
        <v>1.7</v>
      </c>
      <c r="AW15" s="4">
        <v>0.2</v>
      </c>
      <c r="AX15" s="4">
        <v>1.1000000000000001</v>
      </c>
      <c r="AY15" s="4">
        <v>0.2</v>
      </c>
      <c r="AZ15" s="4">
        <v>0.6</v>
      </c>
      <c r="BA15" s="4">
        <v>0.1</v>
      </c>
      <c r="BB15" s="4">
        <v>0.8</v>
      </c>
      <c r="BC15" s="4">
        <v>0.14000000000000001</v>
      </c>
      <c r="BD15" s="4">
        <v>5.3</v>
      </c>
      <c r="BE15" s="4">
        <v>0.4</v>
      </c>
      <c r="BF15" s="4">
        <v>3</v>
      </c>
      <c r="BG15" s="4">
        <v>0.5</v>
      </c>
      <c r="BH15" s="4">
        <v>23</v>
      </c>
      <c r="BI15" s="4">
        <v>25.8</v>
      </c>
      <c r="BJ15" s="4">
        <v>2.8</v>
      </c>
      <c r="BK15">
        <f t="shared" si="1"/>
        <v>94.3868212324588</v>
      </c>
    </row>
    <row r="16" spans="1:63" x14ac:dyDescent="0.2">
      <c r="A16" s="2" t="s">
        <v>95</v>
      </c>
      <c r="B16" s="2" t="s">
        <v>421</v>
      </c>
      <c r="C16" s="7">
        <v>300</v>
      </c>
      <c r="D16" s="7">
        <v>400</v>
      </c>
      <c r="E16" s="7">
        <f t="shared" si="0"/>
        <v>350</v>
      </c>
      <c r="F16" s="4">
        <v>66.010000000000005</v>
      </c>
      <c r="G16" s="4">
        <v>16.77</v>
      </c>
      <c r="H16" s="4">
        <v>4.8</v>
      </c>
      <c r="I16" s="4">
        <v>7.4999999999999997E-2</v>
      </c>
      <c r="J16" s="4">
        <v>1.1200000000000001</v>
      </c>
      <c r="K16" s="4">
        <v>0.28000000000000003</v>
      </c>
      <c r="L16" s="4">
        <v>0.15</v>
      </c>
      <c r="M16" s="4">
        <v>3.11</v>
      </c>
      <c r="N16" s="4">
        <v>0.39200000000000002</v>
      </c>
      <c r="O16" s="4">
        <v>0.03</v>
      </c>
      <c r="P16" s="4">
        <v>6.04</v>
      </c>
      <c r="Q16" s="4">
        <v>98.77</v>
      </c>
      <c r="R16" s="4">
        <v>13</v>
      </c>
      <c r="S16" s="4">
        <v>2</v>
      </c>
      <c r="T16" s="4">
        <v>75</v>
      </c>
      <c r="U16" s="4" t="s">
        <v>69</v>
      </c>
      <c r="V16" s="4">
        <v>10</v>
      </c>
      <c r="W16" s="4" t="s">
        <v>69</v>
      </c>
      <c r="X16" s="4">
        <v>20</v>
      </c>
      <c r="Y16" s="4">
        <v>60</v>
      </c>
      <c r="Z16" s="4">
        <v>19</v>
      </c>
      <c r="AA16" s="4">
        <v>2</v>
      </c>
      <c r="AB16" s="4" t="s">
        <v>71</v>
      </c>
      <c r="AC16" s="4">
        <v>126</v>
      </c>
      <c r="AD16" s="4">
        <v>51</v>
      </c>
      <c r="AE16" s="4">
        <v>6</v>
      </c>
      <c r="AF16" s="4">
        <v>152</v>
      </c>
      <c r="AG16" s="4">
        <v>5</v>
      </c>
      <c r="AH16" s="4" t="s">
        <v>72</v>
      </c>
      <c r="AI16" s="4" t="s">
        <v>74</v>
      </c>
      <c r="AJ16" s="4" t="s">
        <v>73</v>
      </c>
      <c r="AK16" s="4">
        <v>2</v>
      </c>
      <c r="AL16" s="4" t="s">
        <v>74</v>
      </c>
      <c r="AM16" s="4">
        <v>1.9</v>
      </c>
      <c r="AN16" s="4">
        <v>526</v>
      </c>
      <c r="AO16" s="4" t="s">
        <v>75</v>
      </c>
      <c r="AP16" s="4">
        <v>22.5</v>
      </c>
      <c r="AQ16" s="4">
        <v>94.1</v>
      </c>
      <c r="AR16" s="4">
        <v>4.8</v>
      </c>
      <c r="AS16" s="4">
        <v>15.9</v>
      </c>
      <c r="AT16" s="4">
        <v>2.2000000000000002</v>
      </c>
      <c r="AU16" s="4">
        <v>0.4</v>
      </c>
      <c r="AV16" s="4">
        <v>1.4</v>
      </c>
      <c r="AW16" s="4">
        <v>0.2</v>
      </c>
      <c r="AX16" s="4">
        <v>1.1000000000000001</v>
      </c>
      <c r="AY16" s="4">
        <v>0.2</v>
      </c>
      <c r="AZ16" s="4">
        <v>0.7</v>
      </c>
      <c r="BA16" s="4">
        <v>0.11</v>
      </c>
      <c r="BB16" s="4">
        <v>0.8</v>
      </c>
      <c r="BC16" s="4">
        <v>0.14000000000000001</v>
      </c>
      <c r="BD16" s="4">
        <v>3.8</v>
      </c>
      <c r="BE16" s="4">
        <v>0.3</v>
      </c>
      <c r="BF16" s="4" t="s">
        <v>68</v>
      </c>
      <c r="BG16" s="4">
        <v>0.6</v>
      </c>
      <c r="BH16" s="4">
        <v>20</v>
      </c>
      <c r="BI16" s="4">
        <v>13.4</v>
      </c>
      <c r="BJ16" s="4">
        <v>1.7</v>
      </c>
      <c r="BK16">
        <f t="shared" si="1"/>
        <v>91.539301310043669</v>
      </c>
    </row>
    <row r="17" spans="1:63" x14ac:dyDescent="0.2">
      <c r="A17" s="2" t="s">
        <v>96</v>
      </c>
      <c r="B17" s="2" t="s">
        <v>421</v>
      </c>
      <c r="C17" s="7">
        <v>400</v>
      </c>
      <c r="D17" s="7">
        <v>500</v>
      </c>
      <c r="E17" s="7">
        <f t="shared" si="0"/>
        <v>450</v>
      </c>
      <c r="F17" s="4">
        <v>65.290000000000006</v>
      </c>
      <c r="G17" s="4">
        <v>17.05</v>
      </c>
      <c r="H17" s="4">
        <v>5.58</v>
      </c>
      <c r="I17" s="4">
        <v>0.111</v>
      </c>
      <c r="J17" s="4">
        <v>1.05</v>
      </c>
      <c r="K17" s="4">
        <v>0.12</v>
      </c>
      <c r="L17" s="4">
        <v>0.1</v>
      </c>
      <c r="M17" s="4">
        <v>2.57</v>
      </c>
      <c r="N17" s="4">
        <v>0.46600000000000003</v>
      </c>
      <c r="O17" s="4">
        <v>1E-3</v>
      </c>
      <c r="P17" s="4">
        <v>6.81</v>
      </c>
      <c r="Q17" s="4">
        <v>99.14</v>
      </c>
      <c r="R17" s="4">
        <v>18</v>
      </c>
      <c r="S17" s="4">
        <v>2</v>
      </c>
      <c r="T17" s="4">
        <v>91</v>
      </c>
      <c r="U17" s="4" t="s">
        <v>69</v>
      </c>
      <c r="V17" s="4">
        <v>15</v>
      </c>
      <c r="W17" s="4" t="s">
        <v>69</v>
      </c>
      <c r="X17" s="4">
        <v>40</v>
      </c>
      <c r="Y17" s="4">
        <v>70</v>
      </c>
      <c r="Z17" s="4">
        <v>20</v>
      </c>
      <c r="AA17" s="4">
        <v>2</v>
      </c>
      <c r="AB17" s="4" t="s">
        <v>71</v>
      </c>
      <c r="AC17" s="4">
        <v>116</v>
      </c>
      <c r="AD17" s="4">
        <v>37</v>
      </c>
      <c r="AE17" s="4">
        <v>8</v>
      </c>
      <c r="AF17" s="4">
        <v>145</v>
      </c>
      <c r="AG17" s="4">
        <v>6</v>
      </c>
      <c r="AH17" s="4" t="s">
        <v>72</v>
      </c>
      <c r="AI17" s="4" t="s">
        <v>74</v>
      </c>
      <c r="AJ17" s="4" t="s">
        <v>73</v>
      </c>
      <c r="AK17" s="4">
        <v>3</v>
      </c>
      <c r="AL17" s="4" t="s">
        <v>74</v>
      </c>
      <c r="AM17" s="4">
        <v>1.8</v>
      </c>
      <c r="AN17" s="4">
        <v>511</v>
      </c>
      <c r="AO17" s="4" t="s">
        <v>75</v>
      </c>
      <c r="AP17" s="4">
        <v>23.6</v>
      </c>
      <c r="AQ17" s="4">
        <v>61.7</v>
      </c>
      <c r="AR17" s="4">
        <v>5.04</v>
      </c>
      <c r="AS17" s="4">
        <v>17.7</v>
      </c>
      <c r="AT17" s="4">
        <v>2.7</v>
      </c>
      <c r="AU17" s="4">
        <v>0.5</v>
      </c>
      <c r="AV17" s="4">
        <v>1.8</v>
      </c>
      <c r="AW17" s="4">
        <v>0.2</v>
      </c>
      <c r="AX17" s="4">
        <v>1.4</v>
      </c>
      <c r="AY17" s="4">
        <v>0.3</v>
      </c>
      <c r="AZ17" s="4">
        <v>0.9</v>
      </c>
      <c r="BA17" s="4">
        <v>0.15</v>
      </c>
      <c r="BB17" s="4">
        <v>1.1000000000000001</v>
      </c>
      <c r="BC17" s="4">
        <v>0.19</v>
      </c>
      <c r="BD17" s="4">
        <v>3.6</v>
      </c>
      <c r="BE17" s="4">
        <v>0.3</v>
      </c>
      <c r="BF17" s="4" t="s">
        <v>68</v>
      </c>
      <c r="BG17" s="4">
        <v>0.5</v>
      </c>
      <c r="BH17" s="4">
        <v>17</v>
      </c>
      <c r="BI17" s="4">
        <v>8.4</v>
      </c>
      <c r="BJ17" s="4">
        <v>1.3</v>
      </c>
      <c r="BK17">
        <f t="shared" si="1"/>
        <v>93.067685589519627</v>
      </c>
    </row>
    <row r="18" spans="1:63" x14ac:dyDescent="0.2">
      <c r="A18" s="2" t="s">
        <v>97</v>
      </c>
      <c r="B18" s="2" t="s">
        <v>421</v>
      </c>
      <c r="C18" s="7">
        <v>500</v>
      </c>
      <c r="D18" s="7">
        <v>600</v>
      </c>
      <c r="E18" s="7">
        <f t="shared" si="0"/>
        <v>550</v>
      </c>
      <c r="F18" s="4">
        <v>67.42</v>
      </c>
      <c r="G18" s="4">
        <v>15.94</v>
      </c>
      <c r="H18" s="4">
        <v>4.54</v>
      </c>
      <c r="I18" s="4">
        <v>8.2000000000000003E-2</v>
      </c>
      <c r="J18" s="4">
        <v>0.88</v>
      </c>
      <c r="K18" s="4">
        <v>0.17</v>
      </c>
      <c r="L18" s="4">
        <v>0.25</v>
      </c>
      <c r="M18" s="4">
        <v>4.18</v>
      </c>
      <c r="N18" s="4">
        <v>0.40100000000000002</v>
      </c>
      <c r="O18" s="4">
        <v>0.01</v>
      </c>
      <c r="P18" s="4">
        <v>5.3</v>
      </c>
      <c r="Q18" s="4">
        <v>99.16</v>
      </c>
      <c r="R18" s="4">
        <v>13</v>
      </c>
      <c r="S18" s="4">
        <v>2</v>
      </c>
      <c r="T18" s="4">
        <v>69</v>
      </c>
      <c r="U18" s="4" t="s">
        <v>69</v>
      </c>
      <c r="V18" s="4">
        <v>10</v>
      </c>
      <c r="W18" s="4" t="s">
        <v>69</v>
      </c>
      <c r="X18" s="4">
        <v>30</v>
      </c>
      <c r="Y18" s="4">
        <v>70</v>
      </c>
      <c r="Z18" s="4">
        <v>20</v>
      </c>
      <c r="AA18" s="4">
        <v>2</v>
      </c>
      <c r="AB18" s="4" t="s">
        <v>71</v>
      </c>
      <c r="AC18" s="4">
        <v>148</v>
      </c>
      <c r="AD18" s="4">
        <v>86</v>
      </c>
      <c r="AE18" s="4">
        <v>11</v>
      </c>
      <c r="AF18" s="4">
        <v>197</v>
      </c>
      <c r="AG18" s="4">
        <v>5</v>
      </c>
      <c r="AH18" s="4" t="s">
        <v>72</v>
      </c>
      <c r="AI18" s="4" t="s">
        <v>74</v>
      </c>
      <c r="AJ18" s="4" t="s">
        <v>73</v>
      </c>
      <c r="AK18" s="4">
        <v>3</v>
      </c>
      <c r="AL18" s="4" t="s">
        <v>74</v>
      </c>
      <c r="AM18" s="4">
        <v>1.7</v>
      </c>
      <c r="AN18" s="4">
        <v>597</v>
      </c>
      <c r="AO18" s="4" t="s">
        <v>75</v>
      </c>
      <c r="AP18" s="4">
        <v>56</v>
      </c>
      <c r="AQ18" s="4">
        <v>165</v>
      </c>
      <c r="AR18" s="4">
        <v>11.9</v>
      </c>
      <c r="AS18" s="4">
        <v>38.299999999999997</v>
      </c>
      <c r="AT18" s="4">
        <v>5.3</v>
      </c>
      <c r="AU18" s="4">
        <v>0.92</v>
      </c>
      <c r="AV18" s="4">
        <v>3</v>
      </c>
      <c r="AW18" s="4">
        <v>0.4</v>
      </c>
      <c r="AX18" s="4">
        <v>2</v>
      </c>
      <c r="AY18" s="4">
        <v>0.4</v>
      </c>
      <c r="AZ18" s="4">
        <v>1.2</v>
      </c>
      <c r="BA18" s="4">
        <v>0.17</v>
      </c>
      <c r="BB18" s="4">
        <v>1.2</v>
      </c>
      <c r="BC18" s="4">
        <v>0.21</v>
      </c>
      <c r="BD18" s="4">
        <v>5</v>
      </c>
      <c r="BE18" s="4">
        <v>0.3</v>
      </c>
      <c r="BF18" s="4">
        <v>2</v>
      </c>
      <c r="BG18" s="4">
        <v>0.5</v>
      </c>
      <c r="BH18" s="4">
        <v>23</v>
      </c>
      <c r="BI18" s="4">
        <v>22.3</v>
      </c>
      <c r="BJ18" s="4">
        <v>1.3</v>
      </c>
      <c r="BK18">
        <f t="shared" si="1"/>
        <v>92.45939675174013</v>
      </c>
    </row>
    <row r="19" spans="1:63" x14ac:dyDescent="0.2">
      <c r="A19" s="2" t="s">
        <v>98</v>
      </c>
      <c r="B19" s="2" t="s">
        <v>421</v>
      </c>
      <c r="C19" s="7">
        <v>600</v>
      </c>
      <c r="D19" s="7">
        <v>700</v>
      </c>
      <c r="E19" s="7">
        <f t="shared" si="0"/>
        <v>650</v>
      </c>
      <c r="F19" s="4">
        <v>70.25</v>
      </c>
      <c r="G19" s="4">
        <v>15.82</v>
      </c>
      <c r="H19" s="4">
        <v>3.29</v>
      </c>
      <c r="I19" s="4">
        <v>5.8000000000000003E-2</v>
      </c>
      <c r="J19" s="4">
        <v>0.59</v>
      </c>
      <c r="K19" s="4">
        <v>0.19</v>
      </c>
      <c r="L19" s="4">
        <v>0.44</v>
      </c>
      <c r="M19" s="4">
        <v>5.61</v>
      </c>
      <c r="N19" s="4">
        <v>0.29499999999999998</v>
      </c>
      <c r="O19" s="4">
        <v>0.01</v>
      </c>
      <c r="P19" s="4">
        <v>3.87</v>
      </c>
      <c r="Q19" s="4">
        <v>100.4</v>
      </c>
      <c r="R19" s="4">
        <v>7</v>
      </c>
      <c r="S19" s="4">
        <v>2</v>
      </c>
      <c r="T19" s="4">
        <v>45</v>
      </c>
      <c r="U19" s="4" t="s">
        <v>69</v>
      </c>
      <c r="V19" s="4">
        <v>6</v>
      </c>
      <c r="W19" s="4" t="s">
        <v>69</v>
      </c>
      <c r="X19" s="4">
        <v>30</v>
      </c>
      <c r="Y19" s="4">
        <v>50</v>
      </c>
      <c r="Z19" s="4">
        <v>18</v>
      </c>
      <c r="AA19" s="4">
        <v>1</v>
      </c>
      <c r="AB19" s="4" t="s">
        <v>71</v>
      </c>
      <c r="AC19" s="4">
        <v>154</v>
      </c>
      <c r="AD19" s="4">
        <v>127</v>
      </c>
      <c r="AE19" s="4">
        <v>8</v>
      </c>
      <c r="AF19" s="4">
        <v>178</v>
      </c>
      <c r="AG19" s="4">
        <v>4</v>
      </c>
      <c r="AH19" s="4" t="s">
        <v>72</v>
      </c>
      <c r="AI19" s="4" t="s">
        <v>74</v>
      </c>
      <c r="AJ19" s="4" t="s">
        <v>73</v>
      </c>
      <c r="AK19" s="4">
        <v>1</v>
      </c>
      <c r="AL19" s="4" t="s">
        <v>74</v>
      </c>
      <c r="AM19" s="4">
        <v>1.7</v>
      </c>
      <c r="AN19" s="4">
        <v>739</v>
      </c>
      <c r="AO19" s="4" t="s">
        <v>75</v>
      </c>
      <c r="AP19" s="4">
        <v>54.2</v>
      </c>
      <c r="AQ19" s="4">
        <v>148</v>
      </c>
      <c r="AR19" s="4">
        <v>11.2</v>
      </c>
      <c r="AS19" s="4">
        <v>35</v>
      </c>
      <c r="AT19" s="4">
        <v>4.5999999999999996</v>
      </c>
      <c r="AU19" s="4">
        <v>0.85</v>
      </c>
      <c r="AV19" s="4">
        <v>2.4</v>
      </c>
      <c r="AW19" s="4">
        <v>0.3</v>
      </c>
      <c r="AX19" s="4">
        <v>1.7</v>
      </c>
      <c r="AY19" s="4">
        <v>0.3</v>
      </c>
      <c r="AZ19" s="4">
        <v>1</v>
      </c>
      <c r="BA19" s="4">
        <v>0.16</v>
      </c>
      <c r="BB19" s="4">
        <v>1</v>
      </c>
      <c r="BC19" s="4">
        <v>0.18</v>
      </c>
      <c r="BD19" s="4">
        <v>4.4000000000000004</v>
      </c>
      <c r="BE19" s="4">
        <v>0.3</v>
      </c>
      <c r="BF19" s="4" t="s">
        <v>68</v>
      </c>
      <c r="BG19" s="4">
        <v>0.6</v>
      </c>
      <c r="BH19" s="4">
        <v>26</v>
      </c>
      <c r="BI19" s="4">
        <v>20.100000000000001</v>
      </c>
      <c r="BJ19" s="4">
        <v>1.4</v>
      </c>
      <c r="BK19">
        <f t="shared" si="1"/>
        <v>92.840375586854449</v>
      </c>
    </row>
    <row r="20" spans="1:63" x14ac:dyDescent="0.2">
      <c r="A20" s="2" t="s">
        <v>99</v>
      </c>
      <c r="B20" s="2" t="s">
        <v>421</v>
      </c>
      <c r="C20" s="7">
        <v>700</v>
      </c>
      <c r="D20" s="7">
        <v>800</v>
      </c>
      <c r="E20" s="7">
        <f t="shared" si="0"/>
        <v>750</v>
      </c>
      <c r="F20" s="4">
        <v>68.19</v>
      </c>
      <c r="G20" s="4">
        <v>15.9</v>
      </c>
      <c r="H20" s="4">
        <v>4</v>
      </c>
      <c r="I20" s="4">
        <v>7.6999999999999999E-2</v>
      </c>
      <c r="J20" s="4">
        <v>0.63</v>
      </c>
      <c r="K20" s="4">
        <v>0.31</v>
      </c>
      <c r="L20" s="4">
        <v>0.4</v>
      </c>
      <c r="M20" s="4">
        <v>3.95</v>
      </c>
      <c r="N20" s="4">
        <v>0.31900000000000001</v>
      </c>
      <c r="O20" s="4">
        <v>0.01</v>
      </c>
      <c r="P20" s="4">
        <v>5.05</v>
      </c>
      <c r="Q20" s="4">
        <v>98.82</v>
      </c>
      <c r="R20" s="4">
        <v>10</v>
      </c>
      <c r="S20" s="4">
        <v>2</v>
      </c>
      <c r="T20" s="4">
        <v>58</v>
      </c>
      <c r="U20" s="4" t="s">
        <v>69</v>
      </c>
      <c r="V20" s="4">
        <v>8</v>
      </c>
      <c r="W20" s="4" t="s">
        <v>69</v>
      </c>
      <c r="X20" s="4">
        <v>40</v>
      </c>
      <c r="Y20" s="4">
        <v>180</v>
      </c>
      <c r="Z20" s="4">
        <v>19</v>
      </c>
      <c r="AA20" s="4">
        <v>2</v>
      </c>
      <c r="AB20" s="4" t="s">
        <v>71</v>
      </c>
      <c r="AC20" s="4">
        <v>129</v>
      </c>
      <c r="AD20" s="4">
        <v>88</v>
      </c>
      <c r="AE20" s="4">
        <v>12</v>
      </c>
      <c r="AF20" s="4">
        <v>158</v>
      </c>
      <c r="AG20" s="4">
        <v>4</v>
      </c>
      <c r="AH20" s="4" t="s">
        <v>72</v>
      </c>
      <c r="AI20" s="4" t="s">
        <v>74</v>
      </c>
      <c r="AJ20" s="4" t="s">
        <v>73</v>
      </c>
      <c r="AK20" s="4">
        <v>2</v>
      </c>
      <c r="AL20" s="4" t="s">
        <v>74</v>
      </c>
      <c r="AM20" s="4">
        <v>1.7</v>
      </c>
      <c r="AN20" s="4">
        <v>653</v>
      </c>
      <c r="AO20" s="4" t="s">
        <v>75</v>
      </c>
      <c r="AP20" s="4">
        <v>54.8</v>
      </c>
      <c r="AQ20" s="4">
        <v>114</v>
      </c>
      <c r="AR20" s="4">
        <v>11.4</v>
      </c>
      <c r="AS20" s="4">
        <v>36.5</v>
      </c>
      <c r="AT20" s="4">
        <v>5.0999999999999996</v>
      </c>
      <c r="AU20" s="4">
        <v>0.96</v>
      </c>
      <c r="AV20" s="4">
        <v>3</v>
      </c>
      <c r="AW20" s="4">
        <v>0.4</v>
      </c>
      <c r="AX20" s="4">
        <v>2.4</v>
      </c>
      <c r="AY20" s="4">
        <v>0.4</v>
      </c>
      <c r="AZ20" s="4">
        <v>1.3</v>
      </c>
      <c r="BA20" s="4">
        <v>0.2</v>
      </c>
      <c r="BB20" s="4">
        <v>1.4</v>
      </c>
      <c r="BC20" s="4">
        <v>0.24</v>
      </c>
      <c r="BD20" s="4">
        <v>4.0999999999999996</v>
      </c>
      <c r="BE20" s="4">
        <v>0.4</v>
      </c>
      <c r="BF20" s="4" t="s">
        <v>68</v>
      </c>
      <c r="BG20" s="4">
        <v>0.4</v>
      </c>
      <c r="BH20" s="4">
        <v>21</v>
      </c>
      <c r="BI20" s="4">
        <v>16.5</v>
      </c>
      <c r="BJ20" s="4">
        <v>1.9</v>
      </c>
      <c r="BK20">
        <f t="shared" si="1"/>
        <v>92.227378190255223</v>
      </c>
    </row>
    <row r="21" spans="1:63" x14ac:dyDescent="0.2">
      <c r="A21" s="2" t="s">
        <v>454</v>
      </c>
      <c r="B21" s="2"/>
      <c r="C21" s="2"/>
      <c r="D21" s="2"/>
      <c r="E21" s="2">
        <v>1000</v>
      </c>
      <c r="F21" s="4">
        <v>76.819999999999993</v>
      </c>
      <c r="G21" s="4">
        <v>13.74</v>
      </c>
      <c r="H21" s="4">
        <v>1.01</v>
      </c>
      <c r="I21" s="4">
        <v>1.6E-2</v>
      </c>
      <c r="J21" s="4">
        <v>0.09</v>
      </c>
      <c r="K21" s="4">
        <v>3.37</v>
      </c>
      <c r="L21" s="4">
        <v>3.91</v>
      </c>
      <c r="M21" s="4">
        <v>0.92</v>
      </c>
      <c r="N21" s="4">
        <v>2.7E-2</v>
      </c>
      <c r="O21" s="4">
        <v>0.01</v>
      </c>
      <c r="P21" s="4">
        <v>0.89</v>
      </c>
      <c r="Q21" s="4">
        <v>100.8</v>
      </c>
      <c r="R21" s="4" t="s">
        <v>68</v>
      </c>
      <c r="S21" s="4">
        <v>1</v>
      </c>
      <c r="T21" s="4">
        <v>7</v>
      </c>
      <c r="U21" s="4" t="s">
        <v>69</v>
      </c>
      <c r="V21" s="4">
        <v>3</v>
      </c>
      <c r="W21" s="4" t="s">
        <v>69</v>
      </c>
      <c r="X21" s="4">
        <v>60</v>
      </c>
      <c r="Y21" s="4" t="s">
        <v>70</v>
      </c>
      <c r="Z21" s="4">
        <v>11</v>
      </c>
      <c r="AA21" s="4" t="s">
        <v>68</v>
      </c>
      <c r="AB21" s="4" t="s">
        <v>71</v>
      </c>
      <c r="AC21" s="4">
        <v>25</v>
      </c>
      <c r="AD21" s="4">
        <v>431</v>
      </c>
      <c r="AE21" s="4">
        <v>2</v>
      </c>
      <c r="AF21" s="4">
        <v>59</v>
      </c>
      <c r="AG21" s="4" t="s">
        <v>68</v>
      </c>
      <c r="AH21" s="4" t="s">
        <v>72</v>
      </c>
      <c r="AI21" s="4" t="s">
        <v>74</v>
      </c>
      <c r="AJ21" s="4" t="s">
        <v>73</v>
      </c>
      <c r="AK21" s="4" t="s">
        <v>68</v>
      </c>
      <c r="AL21" s="4" t="s">
        <v>74</v>
      </c>
      <c r="AM21" s="4" t="s">
        <v>74</v>
      </c>
      <c r="AN21" s="4">
        <v>113</v>
      </c>
      <c r="AO21" s="4" t="s">
        <v>75</v>
      </c>
      <c r="AP21" s="4">
        <v>2.5</v>
      </c>
      <c r="AQ21" s="4">
        <v>4.0999999999999996</v>
      </c>
      <c r="AR21" s="4">
        <v>0.4</v>
      </c>
      <c r="AS21" s="4">
        <v>1.4</v>
      </c>
      <c r="AT21" s="4">
        <v>0.2</v>
      </c>
      <c r="AU21" s="4">
        <v>0.37</v>
      </c>
      <c r="AV21" s="4">
        <v>0.2</v>
      </c>
      <c r="AW21" s="4">
        <v>0</v>
      </c>
      <c r="AX21" s="4">
        <v>0.2</v>
      </c>
      <c r="AY21" s="4">
        <v>0</v>
      </c>
      <c r="AZ21" s="4">
        <v>0.1</v>
      </c>
      <c r="BA21" s="4">
        <v>0</v>
      </c>
      <c r="BB21" s="4">
        <v>0.3</v>
      </c>
      <c r="BC21" s="4">
        <v>0.05</v>
      </c>
      <c r="BD21" s="4">
        <v>2</v>
      </c>
      <c r="BE21" s="4" t="s">
        <v>79</v>
      </c>
      <c r="BF21" s="4" t="s">
        <v>68</v>
      </c>
      <c r="BG21" s="4">
        <v>0.1</v>
      </c>
      <c r="BH21" s="4">
        <v>6</v>
      </c>
      <c r="BI21" s="4">
        <v>0.7</v>
      </c>
      <c r="BJ21" s="4">
        <v>0.3</v>
      </c>
      <c r="BK21">
        <f>100*(G21/(G21+J21+K21+L21))</f>
        <v>65.087636191378493</v>
      </c>
    </row>
    <row r="22" spans="1:63" s="21" customFormat="1" x14ac:dyDescent="0.2">
      <c r="A22" s="19" t="s">
        <v>455</v>
      </c>
      <c r="B22" s="19"/>
      <c r="C22" s="19"/>
      <c r="D22" s="19"/>
      <c r="E22" s="19">
        <v>1000</v>
      </c>
      <c r="F22" s="20">
        <v>69.12</v>
      </c>
      <c r="G22" s="20">
        <v>15.87</v>
      </c>
      <c r="H22" s="20">
        <v>2.4500000000000002</v>
      </c>
      <c r="I22" s="20">
        <v>6.2E-2</v>
      </c>
      <c r="J22" s="20">
        <v>1.1100000000000001</v>
      </c>
      <c r="K22" s="20">
        <v>2.27</v>
      </c>
      <c r="L22" s="20">
        <v>4.8</v>
      </c>
      <c r="M22" s="20">
        <v>3.17</v>
      </c>
      <c r="N22" s="20">
        <v>0.25700000000000001</v>
      </c>
      <c r="O22" s="20">
        <v>0.01</v>
      </c>
      <c r="P22" s="20">
        <v>0.37</v>
      </c>
      <c r="Q22" s="20">
        <v>99.53</v>
      </c>
      <c r="R22" s="20">
        <v>4</v>
      </c>
      <c r="S22" s="20">
        <v>2</v>
      </c>
      <c r="T22" s="20">
        <v>25</v>
      </c>
      <c r="U22" s="20">
        <v>190</v>
      </c>
      <c r="V22" s="20">
        <v>4</v>
      </c>
      <c r="W22" s="20">
        <v>40</v>
      </c>
      <c r="X22" s="20">
        <v>30</v>
      </c>
      <c r="Y22" s="20">
        <v>50</v>
      </c>
      <c r="Z22" s="20">
        <v>16</v>
      </c>
      <c r="AA22" s="20">
        <v>1</v>
      </c>
      <c r="AB22" s="20" t="s">
        <v>71</v>
      </c>
      <c r="AC22" s="20">
        <v>95</v>
      </c>
      <c r="AD22" s="20">
        <v>452</v>
      </c>
      <c r="AE22" s="20">
        <v>14</v>
      </c>
      <c r="AF22" s="20">
        <v>157</v>
      </c>
      <c r="AG22" s="20">
        <v>4</v>
      </c>
      <c r="AH22" s="20">
        <v>4</v>
      </c>
      <c r="AI22" s="20" t="s">
        <v>74</v>
      </c>
      <c r="AJ22" s="20" t="s">
        <v>73</v>
      </c>
      <c r="AK22" s="20">
        <v>1</v>
      </c>
      <c r="AL22" s="20" t="s">
        <v>74</v>
      </c>
      <c r="AM22" s="20">
        <v>1.8</v>
      </c>
      <c r="AN22" s="20">
        <v>667</v>
      </c>
      <c r="AO22" s="20" t="s">
        <v>75</v>
      </c>
      <c r="AP22" s="20">
        <v>15.6</v>
      </c>
      <c r="AQ22" s="20">
        <v>32.700000000000003</v>
      </c>
      <c r="AR22" s="20">
        <v>3.6</v>
      </c>
      <c r="AS22" s="20">
        <v>13.5</v>
      </c>
      <c r="AT22" s="20">
        <v>2.5</v>
      </c>
      <c r="AU22" s="20">
        <v>0.63</v>
      </c>
      <c r="AV22" s="20">
        <v>2.2999999999999998</v>
      </c>
      <c r="AW22" s="20">
        <v>0.4</v>
      </c>
      <c r="AX22" s="20">
        <v>2.4</v>
      </c>
      <c r="AY22" s="20">
        <v>0.5</v>
      </c>
      <c r="AZ22" s="20">
        <v>1.6</v>
      </c>
      <c r="BA22" s="20">
        <v>0.28000000000000003</v>
      </c>
      <c r="BB22" s="20">
        <v>2</v>
      </c>
      <c r="BC22" s="20">
        <v>0.33</v>
      </c>
      <c r="BD22" s="20">
        <v>4.7</v>
      </c>
      <c r="BE22" s="20">
        <v>0.6</v>
      </c>
      <c r="BF22" s="20" t="s">
        <v>68</v>
      </c>
      <c r="BG22" s="20">
        <v>0.3</v>
      </c>
      <c r="BH22" s="20">
        <v>15</v>
      </c>
      <c r="BI22" s="20">
        <v>5.9</v>
      </c>
      <c r="BJ22" s="20">
        <v>1.6</v>
      </c>
    </row>
    <row r="24" spans="1:63" x14ac:dyDescent="0.2">
      <c r="A24" s="7" t="s">
        <v>501</v>
      </c>
    </row>
    <row r="25" spans="1:63" x14ac:dyDescent="0.2">
      <c r="AE25" s="260" t="s">
        <v>660</v>
      </c>
      <c r="AG25" s="260" t="s">
        <v>661</v>
      </c>
      <c r="AM25" s="260" t="s">
        <v>657</v>
      </c>
      <c r="AP25" s="4" t="s">
        <v>39</v>
      </c>
      <c r="AQ25" s="4" t="s">
        <v>40</v>
      </c>
      <c r="AR25" s="4" t="s">
        <v>41</v>
      </c>
      <c r="AS25" s="4" t="s">
        <v>42</v>
      </c>
      <c r="AT25" s="4" t="s">
        <v>43</v>
      </c>
      <c r="AU25" s="4" t="s">
        <v>44</v>
      </c>
      <c r="AV25" s="4" t="s">
        <v>45</v>
      </c>
      <c r="AW25" s="4" t="s">
        <v>46</v>
      </c>
      <c r="AX25" s="4" t="s">
        <v>47</v>
      </c>
      <c r="AY25" s="4" t="s">
        <v>48</v>
      </c>
      <c r="AZ25" s="4" t="s">
        <v>49</v>
      </c>
      <c r="BA25" s="4" t="s">
        <v>50</v>
      </c>
      <c r="BB25" s="4" t="s">
        <v>51</v>
      </c>
      <c r="BC25" s="4" t="s">
        <v>52</v>
      </c>
      <c r="BE25" t="s">
        <v>625</v>
      </c>
      <c r="BF25" t="s">
        <v>626</v>
      </c>
      <c r="BH25" s="260" t="s">
        <v>648</v>
      </c>
    </row>
    <row r="26" spans="1:63" x14ac:dyDescent="0.2">
      <c r="AE26" s="352">
        <v>1.56</v>
      </c>
      <c r="AG26" s="351">
        <v>5.5599999999999997E-2</v>
      </c>
      <c r="AO26" s="11" t="s">
        <v>440</v>
      </c>
      <c r="AP26" s="12">
        <v>0.36699999999999999</v>
      </c>
      <c r="AQ26" s="12">
        <v>0.95699999999999996</v>
      </c>
      <c r="AR26" s="12">
        <v>0.13700000000000001</v>
      </c>
      <c r="AS26" s="12">
        <v>0.71099999999999997</v>
      </c>
      <c r="AT26" s="12">
        <v>0.23100000000000001</v>
      </c>
      <c r="AU26" s="12">
        <v>8.6999999999999994E-2</v>
      </c>
      <c r="AV26" s="12">
        <v>0.30599999999999999</v>
      </c>
      <c r="AW26" s="12">
        <v>5.8000000000000003E-2</v>
      </c>
      <c r="AX26" s="12">
        <v>0.38100000000000001</v>
      </c>
      <c r="AY26" s="12">
        <v>8.5000000000000006E-2</v>
      </c>
      <c r="AZ26" s="12">
        <v>0.249</v>
      </c>
      <c r="BA26" s="12">
        <v>3.5999999999999997E-2</v>
      </c>
      <c r="BB26" s="12">
        <v>0.248</v>
      </c>
      <c r="BC26" s="12">
        <v>3.7999999999999999E-2</v>
      </c>
      <c r="BD26" s="16" t="s">
        <v>441</v>
      </c>
      <c r="BE26" s="257"/>
      <c r="BF26" s="39"/>
    </row>
    <row r="27" spans="1:63" ht="17" x14ac:dyDescent="0.25">
      <c r="A27" t="s">
        <v>469</v>
      </c>
      <c r="B27" t="s">
        <v>466</v>
      </c>
      <c r="C27" t="s">
        <v>467</v>
      </c>
      <c r="D27" t="s">
        <v>468</v>
      </c>
      <c r="E27" s="260" t="s">
        <v>622</v>
      </c>
      <c r="F27" s="260" t="s">
        <v>623</v>
      </c>
      <c r="G27" s="260" t="s">
        <v>5</v>
      </c>
      <c r="H27" s="293" t="s">
        <v>620</v>
      </c>
      <c r="I27" s="260" t="s">
        <v>7</v>
      </c>
      <c r="J27" s="260" t="s">
        <v>8</v>
      </c>
      <c r="K27" s="260" t="s">
        <v>9</v>
      </c>
      <c r="L27" s="260" t="s">
        <v>10</v>
      </c>
      <c r="M27" s="260" t="s">
        <v>11</v>
      </c>
      <c r="N27" s="293" t="s">
        <v>621</v>
      </c>
      <c r="O27" s="260" t="s">
        <v>624</v>
      </c>
      <c r="AE27">
        <f t="shared" ref="AE27:AE40" si="2">AE7/AE$26</f>
        <v>17.307692307692307</v>
      </c>
      <c r="AG27">
        <f>AY7/AG$26</f>
        <v>16.187050359712231</v>
      </c>
      <c r="AM27">
        <f>AE27/AG27</f>
        <v>1.0692307692307692</v>
      </c>
      <c r="AO27">
        <f t="shared" ref="AO27:AO40" si="3">E7</f>
        <v>4</v>
      </c>
      <c r="AP27">
        <f>AP7/AP$26</f>
        <v>238.14713896457766</v>
      </c>
      <c r="AQ27">
        <f t="shared" ref="AQ27:BC27" si="4">AQ7/AQ$26</f>
        <v>183.90804597701151</v>
      </c>
      <c r="AR27">
        <f t="shared" si="4"/>
        <v>127.73722627737226</v>
      </c>
      <c r="AS27">
        <f t="shared" si="4"/>
        <v>79.184247538677923</v>
      </c>
      <c r="AT27">
        <f t="shared" si="4"/>
        <v>37.229437229437224</v>
      </c>
      <c r="AU27">
        <f t="shared" si="4"/>
        <v>17.471264367816094</v>
      </c>
      <c r="AV27">
        <f t="shared" si="4"/>
        <v>18.627450980392158</v>
      </c>
      <c r="AW27">
        <f t="shared" si="4"/>
        <v>13.793103448275863</v>
      </c>
      <c r="AX27">
        <f t="shared" si="4"/>
        <v>12.598425196850393</v>
      </c>
      <c r="AY27">
        <f t="shared" si="4"/>
        <v>10.588235294117647</v>
      </c>
      <c r="AZ27">
        <f t="shared" si="4"/>
        <v>10.843373493975905</v>
      </c>
      <c r="BA27">
        <f t="shared" si="4"/>
        <v>10.555555555555557</v>
      </c>
      <c r="BB27">
        <f t="shared" si="4"/>
        <v>10.080645161290322</v>
      </c>
      <c r="BC27">
        <f t="shared" si="4"/>
        <v>11.052631578947368</v>
      </c>
      <c r="BD27" s="16">
        <f t="shared" ref="BD27:BD40" si="5">SUM(AP7:BC7)</f>
        <v>365.52</v>
      </c>
      <c r="BE27" s="257">
        <f>AQ7/(+AP7+AQ7)</f>
        <v>0.66818526955201218</v>
      </c>
      <c r="BF27" s="39">
        <f>G8+H8+P8</f>
        <v>17.700000000000003</v>
      </c>
      <c r="BH27" s="333">
        <f>3*AQ27/(2*AP27+AS27)</f>
        <v>0.99324116529322759</v>
      </c>
    </row>
    <row r="28" spans="1:63" ht="16" x14ac:dyDescent="0.2">
      <c r="A28" t="str">
        <f>A7</f>
        <v xml:space="preserve">R2H1EA01 </v>
      </c>
      <c r="B28" s="25">
        <f>100*G7/(G7+K7+L7)</f>
        <v>96.241258741258733</v>
      </c>
      <c r="C28" s="25">
        <f>100*G7/(G7+K7+M7+L7)</f>
        <v>67.339449541284395</v>
      </c>
      <c r="D28" s="25">
        <f>100*((2*L7/0.35)+(J7/0.9)+(2*M7/0.25)+(K7/0.7))</f>
        <v>4133.5555555555547</v>
      </c>
      <c r="E28" s="303">
        <f>((F7/F$20*($N$20/$N7))-1)</f>
        <v>-5.9026250183309426E-3</v>
      </c>
      <c r="F28" s="303">
        <f t="shared" ref="F28:O28" si="6">((G7/G$20*($N$20/$N7))-1)</f>
        <v>-0.36525157232704397</v>
      </c>
      <c r="G28" s="303">
        <f t="shared" si="6"/>
        <v>-0.40187499999999998</v>
      </c>
      <c r="H28" s="303">
        <f t="shared" si="6"/>
        <v>0.6547619047619051</v>
      </c>
      <c r="I28" s="303">
        <f t="shared" si="6"/>
        <v>-0.79629629629629628</v>
      </c>
      <c r="J28" s="303">
        <f t="shared" si="6"/>
        <v>-0.61559139784946226</v>
      </c>
      <c r="K28" s="303">
        <f t="shared" si="6"/>
        <v>-0.3125</v>
      </c>
      <c r="L28" s="303">
        <f t="shared" si="6"/>
        <v>0.1394514767932491</v>
      </c>
      <c r="M28" s="303">
        <f t="shared" si="6"/>
        <v>0</v>
      </c>
      <c r="N28" s="303">
        <f t="shared" si="6"/>
        <v>3.5833333333333339</v>
      </c>
      <c r="O28" s="303">
        <f t="shared" si="6"/>
        <v>6.9141914191419129E-2</v>
      </c>
      <c r="AE28">
        <f t="shared" si="2"/>
        <v>24.358974358974358</v>
      </c>
      <c r="AG28">
        <f t="shared" ref="AG28:AG40" si="7">AY8/AG$26</f>
        <v>23.381294964028779</v>
      </c>
      <c r="AM28">
        <f t="shared" ref="AM28:AM40" si="8">AE28/AG28</f>
        <v>1.0418145956607494</v>
      </c>
      <c r="AO28">
        <f t="shared" si="3"/>
        <v>14</v>
      </c>
      <c r="AP28">
        <f t="shared" ref="AP28:BC28" si="9">AP8/AP$26</f>
        <v>381.47138964577658</v>
      </c>
      <c r="AQ28">
        <f t="shared" si="9"/>
        <v>198.53709508881923</v>
      </c>
      <c r="AR28">
        <f t="shared" si="9"/>
        <v>208.02919708029196</v>
      </c>
      <c r="AS28">
        <f t="shared" si="9"/>
        <v>127.14486638537272</v>
      </c>
      <c r="AT28">
        <f t="shared" si="9"/>
        <v>53.679653679653676</v>
      </c>
      <c r="AU28">
        <f t="shared" si="9"/>
        <v>26.321839080459771</v>
      </c>
      <c r="AV28">
        <f t="shared" si="9"/>
        <v>27.777777777777779</v>
      </c>
      <c r="AW28">
        <f t="shared" si="9"/>
        <v>18.96551724137931</v>
      </c>
      <c r="AX28">
        <f t="shared" si="9"/>
        <v>17.060367454068242</v>
      </c>
      <c r="AY28">
        <f t="shared" si="9"/>
        <v>15.294117647058822</v>
      </c>
      <c r="AZ28">
        <f t="shared" si="9"/>
        <v>14.859437751004016</v>
      </c>
      <c r="BA28">
        <f t="shared" si="9"/>
        <v>14.722222222222223</v>
      </c>
      <c r="BB28">
        <f t="shared" si="9"/>
        <v>13.709677419354838</v>
      </c>
      <c r="BC28">
        <f t="shared" si="9"/>
        <v>14.473684210526317</v>
      </c>
      <c r="BD28" s="16">
        <f t="shared" si="5"/>
        <v>489.16999999999996</v>
      </c>
      <c r="BE28" s="257">
        <f t="shared" ref="BE28:BE35" si="10">AQ28/(AP28+AQ28)</f>
        <v>0.34230032889892492</v>
      </c>
      <c r="BF28" s="39">
        <f t="shared" ref="BF28:BF40" si="11">G9+H9+P9</f>
        <v>19.29</v>
      </c>
      <c r="BH28" s="333">
        <f t="shared" ref="BH28:BH40" si="12">3*AQ28/(2*AP28+AS28)</f>
        <v>0.66916026546294305</v>
      </c>
    </row>
    <row r="29" spans="1:63" ht="16" x14ac:dyDescent="0.2">
      <c r="A29" t="str">
        <f t="shared" ref="A29:A43" si="13">A8</f>
        <v xml:space="preserve">R2H1EA02 </v>
      </c>
      <c r="B29" s="25">
        <f t="shared" ref="B29:B42" si="14">100*G8/(G8+K8+L8)</f>
        <v>96.528365791701944</v>
      </c>
      <c r="C29" s="25">
        <f t="shared" ref="C29:C42" si="15">100*G8/(G8+K8+M8+L8)</f>
        <v>67.575577949021934</v>
      </c>
      <c r="D29" s="25">
        <f t="shared" ref="D29:D42" si="16">100*((2*L8/0.35)+(J8/0.9)+(2*M8/0.25)+(K8/0.7))</f>
        <v>4250.6984126984125</v>
      </c>
      <c r="E29" s="303">
        <f t="shared" ref="E29:O41" si="17">((F8/F$20*($N$20/$N8))-1)</f>
        <v>8.416150182823956E-2</v>
      </c>
      <c r="F29" s="303">
        <f t="shared" si="17"/>
        <v>-0.30901214159493817</v>
      </c>
      <c r="G29" s="303">
        <f t="shared" si="17"/>
        <v>-0.4097054380664652</v>
      </c>
      <c r="H29" s="303">
        <f t="shared" si="17"/>
        <v>0.25161847216227873</v>
      </c>
      <c r="I29" s="303">
        <f t="shared" si="17"/>
        <v>-0.7858341725411212</v>
      </c>
      <c r="J29" s="303">
        <f t="shared" si="17"/>
        <v>-0.65802553357372573</v>
      </c>
      <c r="K29" s="303">
        <f t="shared" si="17"/>
        <v>-0.27719033232628409</v>
      </c>
      <c r="L29" s="303">
        <f t="shared" si="17"/>
        <v>0.23457111170599254</v>
      </c>
      <c r="M29" s="303">
        <f t="shared" si="17"/>
        <v>-1.1102230246251565E-16</v>
      </c>
      <c r="N29" s="303">
        <f t="shared" si="17"/>
        <v>1.8912386706948641</v>
      </c>
      <c r="O29" s="303">
        <f t="shared" si="17"/>
        <v>-0.26526278005444048</v>
      </c>
      <c r="AE29">
        <f t="shared" si="2"/>
        <v>26.282051282051281</v>
      </c>
      <c r="AG29">
        <f t="shared" si="7"/>
        <v>23.381294964028779</v>
      </c>
      <c r="AM29">
        <f t="shared" si="8"/>
        <v>1.1240631163708086</v>
      </c>
      <c r="AO29">
        <f t="shared" si="3"/>
        <v>25</v>
      </c>
      <c r="AP29">
        <f t="shared" ref="AP29:BC29" si="18">AP9/AP$26</f>
        <v>452.31607629427793</v>
      </c>
      <c r="AQ29">
        <f t="shared" si="18"/>
        <v>289.44618599791016</v>
      </c>
      <c r="AR29">
        <f t="shared" si="18"/>
        <v>235.76642335766419</v>
      </c>
      <c r="AS29">
        <f t="shared" si="18"/>
        <v>147.67932489451476</v>
      </c>
      <c r="AT29">
        <f t="shared" si="18"/>
        <v>61.038961038961034</v>
      </c>
      <c r="AU29">
        <f t="shared" si="18"/>
        <v>29.080459770114942</v>
      </c>
      <c r="AV29">
        <f t="shared" si="18"/>
        <v>31.372549019607842</v>
      </c>
      <c r="AW29">
        <f t="shared" si="18"/>
        <v>22.413793103448274</v>
      </c>
      <c r="AX29">
        <f t="shared" si="18"/>
        <v>18.110236220472441</v>
      </c>
      <c r="AY29">
        <f t="shared" si="18"/>
        <v>15.294117647058822</v>
      </c>
      <c r="AZ29">
        <f t="shared" si="18"/>
        <v>15.261044176706827</v>
      </c>
      <c r="BA29">
        <f t="shared" si="18"/>
        <v>15.555555555555559</v>
      </c>
      <c r="BB29">
        <f t="shared" si="18"/>
        <v>14.516129032258066</v>
      </c>
      <c r="BC29">
        <f t="shared" si="18"/>
        <v>15.263157894736841</v>
      </c>
      <c r="BD29" s="16">
        <f t="shared" si="5"/>
        <v>624.56999999999982</v>
      </c>
      <c r="BE29" s="257">
        <f t="shared" si="10"/>
        <v>0.39021422457306709</v>
      </c>
      <c r="BF29" s="39">
        <f t="shared" si="11"/>
        <v>22.759999999999998</v>
      </c>
      <c r="BH29" s="333">
        <f t="shared" si="12"/>
        <v>0.82517256209219692</v>
      </c>
    </row>
    <row r="30" spans="1:63" ht="16" x14ac:dyDescent="0.2">
      <c r="A30" t="str">
        <f t="shared" si="13"/>
        <v xml:space="preserve">R2H1EA03 </v>
      </c>
      <c r="B30" s="25">
        <f t="shared" si="14"/>
        <v>97.140707298720855</v>
      </c>
      <c r="C30" s="25">
        <f t="shared" si="15"/>
        <v>68.853333333333339</v>
      </c>
      <c r="D30" s="25">
        <f t="shared" si="16"/>
        <v>4563.2380952380945</v>
      </c>
      <c r="E30" s="303">
        <f t="shared" si="17"/>
        <v>-3.8968619958734019E-2</v>
      </c>
      <c r="F30" s="303">
        <f t="shared" si="17"/>
        <v>-0.27851824600129638</v>
      </c>
      <c r="G30" s="303">
        <f t="shared" si="17"/>
        <v>-0.36910863509749303</v>
      </c>
      <c r="H30" s="303">
        <f t="shared" si="17"/>
        <v>-0.30760047751691211</v>
      </c>
      <c r="I30" s="303">
        <f t="shared" si="17"/>
        <v>-0.78843347924127871</v>
      </c>
      <c r="J30" s="303">
        <f t="shared" si="17"/>
        <v>-0.74202533920388181</v>
      </c>
      <c r="K30" s="303">
        <f t="shared" si="17"/>
        <v>-0.35577994428969373</v>
      </c>
      <c r="L30" s="303">
        <f t="shared" si="17"/>
        <v>0.22826416557949303</v>
      </c>
      <c r="M30" s="303">
        <f t="shared" si="17"/>
        <v>0</v>
      </c>
      <c r="N30" s="303">
        <f t="shared" si="17"/>
        <v>1.6657381615598887</v>
      </c>
      <c r="O30" s="303">
        <f t="shared" si="17"/>
        <v>-0.37711464739788736</v>
      </c>
      <c r="AE30">
        <f t="shared" si="2"/>
        <v>21.794871794871796</v>
      </c>
      <c r="AG30">
        <f t="shared" si="7"/>
        <v>19.784172661870507</v>
      </c>
      <c r="AM30">
        <f t="shared" si="8"/>
        <v>1.1016317016317014</v>
      </c>
      <c r="AO30">
        <f t="shared" si="3"/>
        <v>35</v>
      </c>
      <c r="AP30">
        <f t="shared" ref="AP30:BC30" si="19">AP10/AP$26</f>
        <v>392.37057220708448</v>
      </c>
      <c r="AQ30">
        <f t="shared" si="19"/>
        <v>331.24346917450367</v>
      </c>
      <c r="AR30">
        <f t="shared" si="19"/>
        <v>203.64963503649633</v>
      </c>
      <c r="AS30">
        <f t="shared" si="19"/>
        <v>124.61322081575246</v>
      </c>
      <c r="AT30">
        <f t="shared" si="19"/>
        <v>50.216450216450212</v>
      </c>
      <c r="AU30">
        <f t="shared" si="19"/>
        <v>24.137931034482762</v>
      </c>
      <c r="AV30">
        <f t="shared" si="19"/>
        <v>24.836601307189543</v>
      </c>
      <c r="AW30">
        <f t="shared" si="19"/>
        <v>17.241379310344826</v>
      </c>
      <c r="AX30">
        <f t="shared" si="19"/>
        <v>14.698162729658792</v>
      </c>
      <c r="AY30">
        <f t="shared" si="19"/>
        <v>12.941176470588236</v>
      </c>
      <c r="AZ30">
        <f t="shared" si="19"/>
        <v>12.449799196787149</v>
      </c>
      <c r="BA30">
        <f t="shared" si="19"/>
        <v>11.944444444444445</v>
      </c>
      <c r="BB30">
        <f t="shared" si="19"/>
        <v>11.29032258064516</v>
      </c>
      <c r="BC30">
        <f t="shared" si="19"/>
        <v>11.578947368421053</v>
      </c>
      <c r="BD30" s="16">
        <f t="shared" si="5"/>
        <v>613.2700000000001</v>
      </c>
      <c r="BE30" s="257">
        <f t="shared" si="10"/>
        <v>0.45776263343655449</v>
      </c>
      <c r="BF30" s="39">
        <f t="shared" si="11"/>
        <v>26.650000000000002</v>
      </c>
      <c r="BH30" s="333">
        <f t="shared" si="12"/>
        <v>1.092786756758193</v>
      </c>
    </row>
    <row r="31" spans="1:63" ht="16" x14ac:dyDescent="0.2">
      <c r="A31" t="str">
        <f t="shared" si="13"/>
        <v xml:space="preserve">R2H1EA04 </v>
      </c>
      <c r="B31" s="25">
        <f t="shared" si="14"/>
        <v>96.824368114063518</v>
      </c>
      <c r="C31" s="25">
        <f t="shared" si="15"/>
        <v>71.82692307692308</v>
      </c>
      <c r="D31" s="25">
        <f t="shared" si="16"/>
        <v>4544.8888888888896</v>
      </c>
      <c r="E31" s="303">
        <f t="shared" si="17"/>
        <v>-0.10129111447265582</v>
      </c>
      <c r="F31" s="303">
        <f t="shared" si="17"/>
        <v>-0.17879555440682349</v>
      </c>
      <c r="G31" s="303">
        <f t="shared" si="17"/>
        <v>-0.30737671232876707</v>
      </c>
      <c r="H31" s="303">
        <f t="shared" si="17"/>
        <v>-0.58003913894324843</v>
      </c>
      <c r="I31" s="303">
        <f t="shared" si="17"/>
        <v>-0.63931289410741465</v>
      </c>
      <c r="J31" s="303">
        <f t="shared" si="17"/>
        <v>-0.60530269553689786</v>
      </c>
      <c r="K31" s="303">
        <f t="shared" si="17"/>
        <v>-0.23527397260273974</v>
      </c>
      <c r="L31" s="303">
        <f t="shared" si="17"/>
        <v>0.18816022195248827</v>
      </c>
      <c r="M31" s="303">
        <f t="shared" si="17"/>
        <v>0</v>
      </c>
      <c r="N31" s="303">
        <f t="shared" si="17"/>
        <v>-0.1260273972602739</v>
      </c>
      <c r="O31" s="303">
        <f t="shared" si="17"/>
        <v>-0.19525294995252929</v>
      </c>
      <c r="AE31">
        <f t="shared" si="2"/>
        <v>12.179487179487179</v>
      </c>
      <c r="AG31">
        <f t="shared" si="7"/>
        <v>12.589928057553957</v>
      </c>
      <c r="AM31">
        <f t="shared" si="8"/>
        <v>0.9673992673992674</v>
      </c>
      <c r="AO31">
        <f t="shared" si="3"/>
        <v>62.5</v>
      </c>
      <c r="AP31">
        <f t="shared" ref="AP31:BC31" si="20">AP11/AP$26</f>
        <v>422.34332425068123</v>
      </c>
      <c r="AQ31">
        <f t="shared" si="20"/>
        <v>405.43364681295719</v>
      </c>
      <c r="AR31">
        <f t="shared" si="20"/>
        <v>229.19708029197076</v>
      </c>
      <c r="AS31">
        <f t="shared" si="20"/>
        <v>142.05344585091422</v>
      </c>
      <c r="AT31">
        <f t="shared" si="20"/>
        <v>52.38095238095238</v>
      </c>
      <c r="AU31">
        <f t="shared" si="20"/>
        <v>20.344827586206897</v>
      </c>
      <c r="AV31">
        <f t="shared" si="20"/>
        <v>19.607843137254903</v>
      </c>
      <c r="AW31">
        <f t="shared" si="20"/>
        <v>13.793103448275863</v>
      </c>
      <c r="AX31">
        <f t="shared" si="20"/>
        <v>10.498687664041995</v>
      </c>
      <c r="AY31">
        <f t="shared" si="20"/>
        <v>8.235294117647058</v>
      </c>
      <c r="AZ31">
        <f t="shared" si="20"/>
        <v>8.4337349397590362</v>
      </c>
      <c r="BA31">
        <f t="shared" si="20"/>
        <v>8.3333333333333339</v>
      </c>
      <c r="BB31">
        <f t="shared" si="20"/>
        <v>8.064516129032258</v>
      </c>
      <c r="BC31">
        <f t="shared" si="20"/>
        <v>8.6842105263157894</v>
      </c>
      <c r="BD31" s="16">
        <f t="shared" si="5"/>
        <v>705.5</v>
      </c>
      <c r="BE31" s="257">
        <f t="shared" si="10"/>
        <v>0.48978609092253661</v>
      </c>
      <c r="BF31" s="39">
        <f t="shared" si="11"/>
        <v>24.370000000000005</v>
      </c>
      <c r="BH31" s="333">
        <f t="shared" si="12"/>
        <v>1.232645706200157</v>
      </c>
    </row>
    <row r="32" spans="1:63" ht="16" x14ac:dyDescent="0.2">
      <c r="A32" t="str">
        <f t="shared" si="13"/>
        <v xml:space="preserve">R2H1EA05 </v>
      </c>
      <c r="B32" s="25">
        <f t="shared" si="14"/>
        <v>98.163030998851895</v>
      </c>
      <c r="C32" s="25">
        <f t="shared" si="15"/>
        <v>75.697211155378497</v>
      </c>
      <c r="D32" s="25">
        <f t="shared" si="16"/>
        <v>4322.0317460317456</v>
      </c>
      <c r="E32" s="303">
        <f t="shared" si="17"/>
        <v>-0.20242535581346077</v>
      </c>
      <c r="F32" s="303">
        <f t="shared" si="17"/>
        <v>-0.11350007313149046</v>
      </c>
      <c r="G32" s="303">
        <f t="shared" si="17"/>
        <v>-0.18395348837209302</v>
      </c>
      <c r="H32" s="303">
        <f t="shared" si="17"/>
        <v>-0.74307862679955705</v>
      </c>
      <c r="I32" s="303">
        <f t="shared" si="17"/>
        <v>-0.6598170706697839</v>
      </c>
      <c r="J32" s="303">
        <f t="shared" si="17"/>
        <v>-0.84046011502875717</v>
      </c>
      <c r="K32" s="303">
        <f t="shared" si="17"/>
        <v>-0.4642118863049095</v>
      </c>
      <c r="L32" s="303">
        <f t="shared" si="17"/>
        <v>7.8880057567134232E-2</v>
      </c>
      <c r="M32" s="303">
        <f t="shared" si="17"/>
        <v>0</v>
      </c>
      <c r="N32" s="303">
        <f t="shared" si="17"/>
        <v>0.64857881136950901</v>
      </c>
      <c r="O32" s="303">
        <f t="shared" si="17"/>
        <v>-8.7568756875687548E-2</v>
      </c>
      <c r="AE32">
        <f t="shared" si="2"/>
        <v>9.615384615384615</v>
      </c>
      <c r="AG32">
        <f t="shared" si="7"/>
        <v>10.791366906474821</v>
      </c>
      <c r="AM32">
        <f t="shared" si="8"/>
        <v>0.89102564102564097</v>
      </c>
      <c r="AO32">
        <f t="shared" si="3"/>
        <v>105</v>
      </c>
      <c r="AP32">
        <f t="shared" ref="AP32:BC32" si="21">AP12/AP$26</f>
        <v>599.45504087193467</v>
      </c>
      <c r="AQ32">
        <f t="shared" si="21"/>
        <v>398.11912225705333</v>
      </c>
      <c r="AR32">
        <f t="shared" si="21"/>
        <v>316.05839416058387</v>
      </c>
      <c r="AS32">
        <f t="shared" si="21"/>
        <v>187.06047819971872</v>
      </c>
      <c r="AT32">
        <f t="shared" si="21"/>
        <v>65.367965367965368</v>
      </c>
      <c r="AU32">
        <f t="shared" si="21"/>
        <v>23.793103448275861</v>
      </c>
      <c r="AV32">
        <f t="shared" si="21"/>
        <v>21.56862745098039</v>
      </c>
      <c r="AW32">
        <f t="shared" si="21"/>
        <v>12.068965517241377</v>
      </c>
      <c r="AX32">
        <f t="shared" si="21"/>
        <v>9.1863517060367457</v>
      </c>
      <c r="AY32">
        <f t="shared" si="21"/>
        <v>7.0588235294117636</v>
      </c>
      <c r="AZ32">
        <f t="shared" si="21"/>
        <v>7.6305220883534135</v>
      </c>
      <c r="BA32">
        <f t="shared" si="21"/>
        <v>6.9444444444444446</v>
      </c>
      <c r="BB32">
        <f t="shared" si="21"/>
        <v>7.2580645161290329</v>
      </c>
      <c r="BC32">
        <f t="shared" si="21"/>
        <v>7.3684210526315796</v>
      </c>
      <c r="BD32" s="16">
        <f t="shared" si="5"/>
        <v>810.1</v>
      </c>
      <c r="BE32" s="257">
        <f t="shared" si="10"/>
        <v>0.3990872428054012</v>
      </c>
      <c r="BF32" s="39">
        <f t="shared" si="11"/>
        <v>20.46</v>
      </c>
      <c r="BH32" s="333">
        <f t="shared" si="12"/>
        <v>0.86174800626340353</v>
      </c>
    </row>
    <row r="33" spans="1:60" ht="16" x14ac:dyDescent="0.2">
      <c r="A33" t="str">
        <f t="shared" si="13"/>
        <v xml:space="preserve">R2H1EA06 </v>
      </c>
      <c r="B33" s="25">
        <f t="shared" si="14"/>
        <v>97.692307692307693</v>
      </c>
      <c r="C33" s="25">
        <f t="shared" si="15"/>
        <v>72.001744439598781</v>
      </c>
      <c r="D33" s="25">
        <f t="shared" si="16"/>
        <v>5045.7460317460327</v>
      </c>
      <c r="E33" s="303">
        <f t="shared" si="17"/>
        <v>-0.11090224728588127</v>
      </c>
      <c r="F33" s="303">
        <f t="shared" si="17"/>
        <v>-8.7497617686296825E-2</v>
      </c>
      <c r="G33" s="303">
        <f t="shared" si="17"/>
        <v>-0.26401515151515154</v>
      </c>
      <c r="H33" s="303">
        <f t="shared" si="17"/>
        <v>-0.71467926013380567</v>
      </c>
      <c r="I33" s="303">
        <f t="shared" si="17"/>
        <v>-0.6373256373256373</v>
      </c>
      <c r="J33" s="303">
        <f t="shared" si="17"/>
        <v>-0.80156402737047894</v>
      </c>
      <c r="K33" s="303">
        <f t="shared" si="17"/>
        <v>-0.29696969696969699</v>
      </c>
      <c r="L33" s="303">
        <f t="shared" si="17"/>
        <v>0.3415420023014959</v>
      </c>
      <c r="M33" s="303">
        <f t="shared" si="17"/>
        <v>0</v>
      </c>
      <c r="N33" s="303">
        <f t="shared" si="17"/>
        <v>3.3939393939393936</v>
      </c>
      <c r="O33" s="303">
        <f t="shared" si="17"/>
        <v>-0.21518151815181519</v>
      </c>
      <c r="AE33">
        <f t="shared" si="2"/>
        <v>10.256410256410255</v>
      </c>
      <c r="AG33">
        <f t="shared" si="7"/>
        <v>10.791366906474821</v>
      </c>
      <c r="AM33">
        <f t="shared" si="8"/>
        <v>0.95042735042735027</v>
      </c>
      <c r="AO33">
        <f t="shared" si="3"/>
        <v>140</v>
      </c>
      <c r="AP33">
        <f t="shared" ref="AP33:BC33" si="22">AP13/AP$26</f>
        <v>618.52861035422347</v>
      </c>
      <c r="AQ33">
        <f t="shared" si="22"/>
        <v>401.2539184952978</v>
      </c>
      <c r="AR33">
        <f t="shared" si="22"/>
        <v>339.41605839416053</v>
      </c>
      <c r="AS33">
        <f t="shared" si="22"/>
        <v>201.12517580872012</v>
      </c>
      <c r="AT33">
        <f t="shared" si="22"/>
        <v>70.562770562770567</v>
      </c>
      <c r="AU33">
        <f t="shared" si="22"/>
        <v>25.402298850574713</v>
      </c>
      <c r="AV33">
        <f t="shared" si="22"/>
        <v>22.549019607843139</v>
      </c>
      <c r="AW33">
        <f t="shared" si="22"/>
        <v>12.068965517241377</v>
      </c>
      <c r="AX33">
        <f t="shared" si="22"/>
        <v>9.1863517060367457</v>
      </c>
      <c r="AY33">
        <f t="shared" si="22"/>
        <v>7.0588235294117636</v>
      </c>
      <c r="AZ33">
        <f t="shared" si="22"/>
        <v>7.2289156626506026</v>
      </c>
      <c r="BA33">
        <f t="shared" si="22"/>
        <v>7.2222222222222232</v>
      </c>
      <c r="BB33">
        <f t="shared" si="22"/>
        <v>6.4516129032258069</v>
      </c>
      <c r="BC33">
        <f t="shared" si="22"/>
        <v>7.3684210526315796</v>
      </c>
      <c r="BD33" s="16">
        <f t="shared" si="5"/>
        <v>834.65</v>
      </c>
      <c r="BE33" s="257">
        <f t="shared" si="10"/>
        <v>0.39347008518372717</v>
      </c>
      <c r="BF33" s="39">
        <f t="shared" si="11"/>
        <v>20.420000000000002</v>
      </c>
      <c r="BH33" s="333">
        <f t="shared" si="12"/>
        <v>0.83700214826786379</v>
      </c>
    </row>
    <row r="34" spans="1:60" ht="16" x14ac:dyDescent="0.2">
      <c r="A34" t="str">
        <f t="shared" si="13"/>
        <v xml:space="preserve">R2H1EA07 </v>
      </c>
      <c r="B34" s="25">
        <f t="shared" si="14"/>
        <v>97.5359342915811</v>
      </c>
      <c r="C34" s="25">
        <f t="shared" si="15"/>
        <v>67.631703844328428</v>
      </c>
      <c r="D34" s="25">
        <f t="shared" si="16"/>
        <v>5378.9523809523807</v>
      </c>
      <c r="E34" s="303">
        <f t="shared" si="17"/>
        <v>1.1375271422615629E-2</v>
      </c>
      <c r="F34" s="303">
        <f t="shared" si="17"/>
        <v>-0.13626517699367269</v>
      </c>
      <c r="G34" s="303">
        <f t="shared" si="17"/>
        <v>-0.31092145015105743</v>
      </c>
      <c r="H34" s="303">
        <f t="shared" si="17"/>
        <v>-0.59948208890807075</v>
      </c>
      <c r="I34" s="303">
        <f t="shared" si="17"/>
        <v>-0.63285858149906493</v>
      </c>
      <c r="J34" s="303">
        <f t="shared" si="17"/>
        <v>-0.84455706071532988</v>
      </c>
      <c r="K34" s="303">
        <f t="shared" si="17"/>
        <v>-0.25309667673716019</v>
      </c>
      <c r="L34" s="303">
        <f t="shared" si="17"/>
        <v>0.57615205170369777</v>
      </c>
      <c r="M34" s="303">
        <f t="shared" si="17"/>
        <v>-1.1102230246251565E-16</v>
      </c>
      <c r="N34" s="303">
        <f t="shared" si="17"/>
        <v>1.8912386706948641</v>
      </c>
      <c r="O34" s="303">
        <f t="shared" si="17"/>
        <v>-0.36068319822918848</v>
      </c>
      <c r="AE34">
        <f t="shared" si="2"/>
        <v>8.3333333333333339</v>
      </c>
      <c r="AG34">
        <f t="shared" si="7"/>
        <v>8.9928057553956844</v>
      </c>
      <c r="AM34">
        <f t="shared" si="8"/>
        <v>0.92666666666666664</v>
      </c>
      <c r="AO34">
        <f t="shared" si="3"/>
        <v>187.5</v>
      </c>
      <c r="AP34">
        <f t="shared" ref="AP34:BC34" si="23">AP14/AP$26</f>
        <v>485.01362397820162</v>
      </c>
      <c r="AQ34">
        <f t="shared" si="23"/>
        <v>382.44514106583074</v>
      </c>
      <c r="AR34">
        <f t="shared" si="23"/>
        <v>270.80291970802921</v>
      </c>
      <c r="AS34">
        <f t="shared" si="23"/>
        <v>161.74402250351619</v>
      </c>
      <c r="AT34">
        <f t="shared" si="23"/>
        <v>57.575757575757578</v>
      </c>
      <c r="AU34">
        <f t="shared" si="23"/>
        <v>21.03448275862069</v>
      </c>
      <c r="AV34">
        <f t="shared" si="23"/>
        <v>18.300653594771241</v>
      </c>
      <c r="AW34">
        <f t="shared" si="23"/>
        <v>10.344827586206895</v>
      </c>
      <c r="AX34">
        <f t="shared" si="23"/>
        <v>7.349081364829396</v>
      </c>
      <c r="AY34">
        <f t="shared" si="23"/>
        <v>5.8823529411764701</v>
      </c>
      <c r="AZ34">
        <f t="shared" si="23"/>
        <v>5.6224899598393572</v>
      </c>
      <c r="BA34">
        <f t="shared" si="23"/>
        <v>5.8333333333333339</v>
      </c>
      <c r="BB34">
        <f t="shared" si="23"/>
        <v>5.241935483870968</v>
      </c>
      <c r="BC34">
        <f t="shared" si="23"/>
        <v>5.7894736842105265</v>
      </c>
      <c r="BD34" s="16">
        <f t="shared" si="5"/>
        <v>723.86</v>
      </c>
      <c r="BE34" s="257">
        <f t="shared" si="10"/>
        <v>0.44087990862184412</v>
      </c>
      <c r="BF34" s="39">
        <f t="shared" si="11"/>
        <v>23.92</v>
      </c>
      <c r="BH34" s="333">
        <f t="shared" si="12"/>
        <v>1.0137520302412766</v>
      </c>
    </row>
    <row r="35" spans="1:60" ht="16" x14ac:dyDescent="0.2">
      <c r="A35" t="str">
        <f t="shared" si="13"/>
        <v xml:space="preserve">R2H1EA08 </v>
      </c>
      <c r="B35" s="25">
        <f t="shared" si="14"/>
        <v>97.224058162590879</v>
      </c>
      <c r="C35" s="25">
        <f t="shared" si="15"/>
        <v>68.418604651162795</v>
      </c>
      <c r="D35" s="25">
        <f t="shared" si="16"/>
        <v>5335.8412698412703</v>
      </c>
      <c r="E35" s="303">
        <f t="shared" si="17"/>
        <v>0.27553966020908915</v>
      </c>
      <c r="F35" s="303">
        <f t="shared" si="17"/>
        <v>0.12214888681636671</v>
      </c>
      <c r="G35" s="303">
        <f t="shared" si="17"/>
        <v>-0.22675855513307985</v>
      </c>
      <c r="H35" s="303">
        <f t="shared" si="17"/>
        <v>-0.55893536121673004</v>
      </c>
      <c r="I35" s="303">
        <f t="shared" si="17"/>
        <v>-0.55718510471362181</v>
      </c>
      <c r="J35" s="303">
        <f t="shared" si="17"/>
        <v>-0.76523978903471113</v>
      </c>
      <c r="K35" s="303">
        <f t="shared" si="17"/>
        <v>9.1634980988593018E-2</v>
      </c>
      <c r="L35" s="303">
        <f t="shared" si="17"/>
        <v>0.95603792655340047</v>
      </c>
      <c r="M35" s="303">
        <f t="shared" si="17"/>
        <v>0</v>
      </c>
      <c r="N35" s="303">
        <f t="shared" si="17"/>
        <v>1.4258555133079849</v>
      </c>
      <c r="O35" s="303">
        <f t="shared" si="17"/>
        <v>-0.24101946316304634</v>
      </c>
      <c r="AE35">
        <f t="shared" si="2"/>
        <v>3.2051282051282048</v>
      </c>
      <c r="AG35">
        <f t="shared" si="7"/>
        <v>3.5971223021582737</v>
      </c>
      <c r="AM35">
        <f t="shared" si="8"/>
        <v>0.89102564102564086</v>
      </c>
      <c r="AO35">
        <f t="shared" si="3"/>
        <v>275</v>
      </c>
      <c r="AP35">
        <f t="shared" ref="AP35:BC35" si="24">AP15/AP$26</f>
        <v>130.24523160762942</v>
      </c>
      <c r="AQ35">
        <f t="shared" si="24"/>
        <v>178.68338557993732</v>
      </c>
      <c r="AR35">
        <f t="shared" si="24"/>
        <v>71.605839416058387</v>
      </c>
      <c r="AS35">
        <f t="shared" si="24"/>
        <v>43.319268635724335</v>
      </c>
      <c r="AT35">
        <f t="shared" si="24"/>
        <v>16.450216450216448</v>
      </c>
      <c r="AU35">
        <f t="shared" si="24"/>
        <v>6.0919540229885065</v>
      </c>
      <c r="AV35">
        <f t="shared" si="24"/>
        <v>5.5555555555555554</v>
      </c>
      <c r="AW35">
        <f t="shared" si="24"/>
        <v>3.4482758620689657</v>
      </c>
      <c r="AX35">
        <f t="shared" si="24"/>
        <v>2.8871391076115489</v>
      </c>
      <c r="AY35">
        <f t="shared" si="24"/>
        <v>2.3529411764705883</v>
      </c>
      <c r="AZ35">
        <f t="shared" si="24"/>
        <v>2.4096385542168672</v>
      </c>
      <c r="BA35">
        <f t="shared" si="24"/>
        <v>2.7777777777777781</v>
      </c>
      <c r="BB35">
        <f t="shared" si="24"/>
        <v>3.2258064516129035</v>
      </c>
      <c r="BC35">
        <f t="shared" si="24"/>
        <v>3.6842105263157898</v>
      </c>
      <c r="BD35" s="16">
        <f t="shared" si="5"/>
        <v>268.58000000000004</v>
      </c>
      <c r="BE35" s="257">
        <f t="shared" si="10"/>
        <v>0.57839700059722632</v>
      </c>
      <c r="BF35" s="39">
        <f t="shared" si="11"/>
        <v>27.61</v>
      </c>
      <c r="BH35" s="333">
        <f t="shared" si="12"/>
        <v>1.7644272073639213</v>
      </c>
    </row>
    <row r="36" spans="1:60" ht="16" x14ac:dyDescent="0.2">
      <c r="A36" t="str">
        <f t="shared" si="13"/>
        <v xml:space="preserve">R2H1EA09 </v>
      </c>
      <c r="B36" s="25">
        <f t="shared" si="14"/>
        <v>97.911392405063282</v>
      </c>
      <c r="C36" s="25">
        <f t="shared" si="15"/>
        <v>78.567800914169624</v>
      </c>
      <c r="D36" s="25">
        <f t="shared" si="16"/>
        <v>3306.126984126985</v>
      </c>
      <c r="E36" s="303">
        <f t="shared" si="17"/>
        <v>2.9328447460010842E-2</v>
      </c>
      <c r="F36" s="303">
        <f t="shared" si="17"/>
        <v>-3.610883237626461E-2</v>
      </c>
      <c r="G36" s="303">
        <f t="shared" si="17"/>
        <v>-0.14305900621118006</v>
      </c>
      <c r="H36" s="303">
        <f t="shared" si="17"/>
        <v>-0.56255545696539477</v>
      </c>
      <c r="I36" s="303">
        <f t="shared" si="17"/>
        <v>-7.2217292714187198E-2</v>
      </c>
      <c r="J36" s="303">
        <f t="shared" si="17"/>
        <v>-0.55259467040673205</v>
      </c>
      <c r="K36" s="303">
        <f t="shared" si="17"/>
        <v>-0.52942546583850936</v>
      </c>
      <c r="L36" s="303">
        <f t="shared" si="17"/>
        <v>-2.4365123044264414E-2</v>
      </c>
      <c r="M36" s="303">
        <f t="shared" si="17"/>
        <v>0</v>
      </c>
      <c r="N36" s="303">
        <f t="shared" si="17"/>
        <v>-9.3167701863353658E-3</v>
      </c>
      <c r="O36" s="303">
        <f t="shared" si="17"/>
        <v>-2.108726400590355E-2</v>
      </c>
      <c r="AE36">
        <f t="shared" si="2"/>
        <v>3.8461538461538458</v>
      </c>
      <c r="AG36">
        <f t="shared" si="7"/>
        <v>3.5971223021582737</v>
      </c>
      <c r="AM36">
        <f t="shared" si="8"/>
        <v>1.069230769230769</v>
      </c>
      <c r="AO36">
        <f t="shared" si="3"/>
        <v>350</v>
      </c>
      <c r="AP36">
        <f t="shared" ref="AP36:BC36" si="25">AP16/AP$26</f>
        <v>61.30790190735695</v>
      </c>
      <c r="AQ36">
        <f t="shared" si="25"/>
        <v>98.328108672936253</v>
      </c>
      <c r="AR36">
        <f t="shared" si="25"/>
        <v>35.036496350364956</v>
      </c>
      <c r="AS36">
        <f t="shared" si="25"/>
        <v>22.362869198312239</v>
      </c>
      <c r="AT36">
        <f t="shared" si="25"/>
        <v>9.5238095238095237</v>
      </c>
      <c r="AU36">
        <f t="shared" si="25"/>
        <v>4.597701149425288</v>
      </c>
      <c r="AV36">
        <f t="shared" si="25"/>
        <v>4.5751633986928102</v>
      </c>
      <c r="AW36">
        <f t="shared" si="25"/>
        <v>3.4482758620689657</v>
      </c>
      <c r="AX36">
        <f t="shared" si="25"/>
        <v>2.8871391076115489</v>
      </c>
      <c r="AY36">
        <f t="shared" si="25"/>
        <v>2.3529411764705883</v>
      </c>
      <c r="AZ36">
        <f t="shared" si="25"/>
        <v>2.8112449799196786</v>
      </c>
      <c r="BA36">
        <f t="shared" si="25"/>
        <v>3.0555555555555558</v>
      </c>
      <c r="BB36">
        <f t="shared" si="25"/>
        <v>3.2258064516129035</v>
      </c>
      <c r="BC36">
        <f t="shared" si="25"/>
        <v>3.6842105263157898</v>
      </c>
      <c r="BD36" s="16">
        <f t="shared" si="5"/>
        <v>144.54999999999995</v>
      </c>
      <c r="BE36" s="257">
        <f t="shared" ref="BE36:BE40" si="26">AQ36/(AP36+AQ36)</f>
        <v>0.61595192911363505</v>
      </c>
      <c r="BF36" s="39">
        <f t="shared" si="11"/>
        <v>29.44</v>
      </c>
      <c r="BH36" s="333">
        <f t="shared" si="12"/>
        <v>2.0346739274700409</v>
      </c>
    </row>
    <row r="37" spans="1:60" ht="16" x14ac:dyDescent="0.2">
      <c r="A37" t="str">
        <f t="shared" si="13"/>
        <v xml:space="preserve">R2H1EA10 </v>
      </c>
      <c r="B37" s="25">
        <f t="shared" si="14"/>
        <v>97.5</v>
      </c>
      <c r="C37" s="25">
        <f t="shared" si="15"/>
        <v>82.570162481536201</v>
      </c>
      <c r="D37" s="25">
        <f t="shared" si="16"/>
        <v>2738.1587301587297</v>
      </c>
      <c r="E37" s="303">
        <f t="shared" si="17"/>
        <v>-0.21224048352292957</v>
      </c>
      <c r="F37" s="303">
        <f t="shared" si="17"/>
        <v>-0.14169715055833676</v>
      </c>
      <c r="G37" s="303">
        <f t="shared" si="17"/>
        <v>-2.3469387755102211E-2</v>
      </c>
      <c r="H37" s="303">
        <f t="shared" si="17"/>
        <v>-0.20736151603498554</v>
      </c>
      <c r="I37" s="303">
        <f t="shared" si="17"/>
        <v>0.44671201814058947</v>
      </c>
      <c r="J37" s="303">
        <f t="shared" si="17"/>
        <v>-0.26497695852534564</v>
      </c>
      <c r="K37" s="303">
        <f t="shared" si="17"/>
        <v>-0.6948341836734695</v>
      </c>
      <c r="L37" s="303">
        <f t="shared" si="17"/>
        <v>-0.35928054766210293</v>
      </c>
      <c r="M37" s="303">
        <f t="shared" si="17"/>
        <v>-1.1102230246251565E-16</v>
      </c>
      <c r="N37" s="303">
        <f t="shared" si="17"/>
        <v>1.4413265306122449</v>
      </c>
      <c r="O37" s="303">
        <f t="shared" si="17"/>
        <v>-2.6692261062841061E-2</v>
      </c>
      <c r="AE37">
        <f t="shared" si="2"/>
        <v>5.1282051282051277</v>
      </c>
      <c r="AG37">
        <f t="shared" si="7"/>
        <v>5.3956834532374103</v>
      </c>
      <c r="AM37">
        <f t="shared" si="8"/>
        <v>0.95042735042735027</v>
      </c>
      <c r="AO37">
        <f t="shared" si="3"/>
        <v>450</v>
      </c>
      <c r="AP37">
        <f t="shared" ref="AP37:BC37" si="27">AP17/AP$26</f>
        <v>64.305177111716631</v>
      </c>
      <c r="AQ37">
        <f t="shared" si="27"/>
        <v>64.472309299895514</v>
      </c>
      <c r="AR37">
        <f t="shared" si="27"/>
        <v>36.788321167883211</v>
      </c>
      <c r="AS37">
        <f t="shared" si="27"/>
        <v>24.894514767932488</v>
      </c>
      <c r="AT37">
        <f t="shared" si="27"/>
        <v>11.688311688311689</v>
      </c>
      <c r="AU37">
        <f t="shared" si="27"/>
        <v>5.7471264367816097</v>
      </c>
      <c r="AV37">
        <f t="shared" si="27"/>
        <v>5.882352941176471</v>
      </c>
      <c r="AW37">
        <f t="shared" si="27"/>
        <v>3.4482758620689657</v>
      </c>
      <c r="AX37">
        <f t="shared" si="27"/>
        <v>3.674540682414698</v>
      </c>
      <c r="AY37">
        <f t="shared" si="27"/>
        <v>3.5294117647058818</v>
      </c>
      <c r="AZ37">
        <f t="shared" si="27"/>
        <v>3.6144578313253013</v>
      </c>
      <c r="BA37">
        <f t="shared" si="27"/>
        <v>4.166666666666667</v>
      </c>
      <c r="BB37">
        <f t="shared" si="27"/>
        <v>4.435483870967742</v>
      </c>
      <c r="BC37">
        <f t="shared" si="27"/>
        <v>5</v>
      </c>
      <c r="BD37" s="16">
        <f t="shared" si="5"/>
        <v>117.28000000000003</v>
      </c>
      <c r="BE37" s="257">
        <f t="shared" si="26"/>
        <v>0.50064891850600612</v>
      </c>
      <c r="BF37" s="39">
        <f t="shared" si="11"/>
        <v>25.78</v>
      </c>
      <c r="BH37" s="333">
        <f t="shared" si="12"/>
        <v>1.2600051657681668</v>
      </c>
    </row>
    <row r="38" spans="1:60" ht="16" x14ac:dyDescent="0.2">
      <c r="A38" t="str">
        <f t="shared" si="13"/>
        <v xml:space="preserve">R2H1EA11 </v>
      </c>
      <c r="B38" s="25">
        <f t="shared" si="14"/>
        <v>98.726114649681506</v>
      </c>
      <c r="C38" s="25">
        <f t="shared" si="15"/>
        <v>85.937499999999986</v>
      </c>
      <c r="D38" s="25">
        <f t="shared" si="16"/>
        <v>2246.9523809523807</v>
      </c>
      <c r="E38" s="303">
        <f t="shared" si="17"/>
        <v>-0.34456331620749137</v>
      </c>
      <c r="F38" s="303">
        <f t="shared" si="17"/>
        <v>-0.26593921235187734</v>
      </c>
      <c r="G38" s="303">
        <f t="shared" si="17"/>
        <v>-4.5053648068669627E-2</v>
      </c>
      <c r="H38" s="303">
        <f t="shared" si="17"/>
        <v>-1.3182096873083915E-2</v>
      </c>
      <c r="I38" s="303">
        <f t="shared" si="17"/>
        <v>0.14091559370529327</v>
      </c>
      <c r="J38" s="303">
        <f t="shared" si="17"/>
        <v>-0.7350131524297383</v>
      </c>
      <c r="K38" s="303">
        <f t="shared" si="17"/>
        <v>-0.82886266094420602</v>
      </c>
      <c r="L38" s="303">
        <f t="shared" si="17"/>
        <v>-0.55460965936871853</v>
      </c>
      <c r="M38" s="303">
        <f t="shared" si="17"/>
        <v>0</v>
      </c>
      <c r="N38" s="303">
        <f t="shared" si="17"/>
        <v>-0.93154506437768236</v>
      </c>
      <c r="O38" s="303">
        <f t="shared" si="17"/>
        <v>-7.6875026558450021E-2</v>
      </c>
      <c r="AE38">
        <f t="shared" si="2"/>
        <v>7.0512820512820511</v>
      </c>
      <c r="AG38">
        <f t="shared" si="7"/>
        <v>7.1942446043165473</v>
      </c>
      <c r="AM38">
        <f t="shared" si="8"/>
        <v>0.98012820512820498</v>
      </c>
      <c r="AO38">
        <f t="shared" si="3"/>
        <v>550</v>
      </c>
      <c r="AP38">
        <f t="shared" ref="AP38:BC38" si="28">AP18/AP$26</f>
        <v>152.58855585831063</v>
      </c>
      <c r="AQ38">
        <f t="shared" si="28"/>
        <v>172.41379310344828</v>
      </c>
      <c r="AR38">
        <f t="shared" si="28"/>
        <v>86.861313868613138</v>
      </c>
      <c r="AS38">
        <f t="shared" si="28"/>
        <v>53.867791842475384</v>
      </c>
      <c r="AT38">
        <f t="shared" si="28"/>
        <v>22.943722943722943</v>
      </c>
      <c r="AU38">
        <f t="shared" si="28"/>
        <v>10.574712643678161</v>
      </c>
      <c r="AV38">
        <f t="shared" si="28"/>
        <v>9.8039215686274517</v>
      </c>
      <c r="AW38">
        <f t="shared" si="28"/>
        <v>6.8965517241379315</v>
      </c>
      <c r="AX38">
        <f t="shared" si="28"/>
        <v>5.2493438320209975</v>
      </c>
      <c r="AY38">
        <f t="shared" si="28"/>
        <v>4.7058823529411766</v>
      </c>
      <c r="AZ38">
        <f t="shared" si="28"/>
        <v>4.8192771084337345</v>
      </c>
      <c r="BA38">
        <f t="shared" si="28"/>
        <v>4.7222222222222232</v>
      </c>
      <c r="BB38">
        <f t="shared" si="28"/>
        <v>4.838709677419355</v>
      </c>
      <c r="BC38">
        <f t="shared" si="28"/>
        <v>5.5263157894736841</v>
      </c>
      <c r="BD38" s="16">
        <f t="shared" si="5"/>
        <v>285.99999999999994</v>
      </c>
      <c r="BE38" s="257">
        <f t="shared" si="26"/>
        <v>0.53050014455044814</v>
      </c>
      <c r="BF38" s="39">
        <f t="shared" si="11"/>
        <v>22.98</v>
      </c>
      <c r="BH38" s="333">
        <f t="shared" si="12"/>
        <v>1.4406035963276389</v>
      </c>
    </row>
    <row r="39" spans="1:60" ht="16" x14ac:dyDescent="0.2">
      <c r="A39" t="str">
        <f t="shared" si="13"/>
        <v xml:space="preserve">R2H1EA12 </v>
      </c>
      <c r="B39" s="25">
        <f t="shared" si="14"/>
        <v>97.432762836185816</v>
      </c>
      <c r="C39" s="25">
        <f t="shared" si="15"/>
        <v>77.604673807205458</v>
      </c>
      <c r="D39" s="25">
        <f t="shared" si="16"/>
        <v>3608.9206349206343</v>
      </c>
      <c r="E39" s="303">
        <f t="shared" si="17"/>
        <v>-0.21347167350724228</v>
      </c>
      <c r="F39" s="303">
        <f t="shared" si="17"/>
        <v>-0.20248749196191917</v>
      </c>
      <c r="G39" s="303">
        <f t="shared" si="17"/>
        <v>-9.7094763092269387E-2</v>
      </c>
      <c r="H39" s="303">
        <f t="shared" si="17"/>
        <v>-0.15283220520128249</v>
      </c>
      <c r="I39" s="303">
        <f t="shared" si="17"/>
        <v>0.11119027827257244</v>
      </c>
      <c r="J39" s="303">
        <f t="shared" si="17"/>
        <v>-0.5637519105462151</v>
      </c>
      <c r="K39" s="303">
        <f t="shared" si="17"/>
        <v>-0.50280548628428923</v>
      </c>
      <c r="L39" s="303">
        <f t="shared" si="17"/>
        <v>-0.15816787146058919</v>
      </c>
      <c r="M39" s="303">
        <f t="shared" si="17"/>
        <v>0</v>
      </c>
      <c r="N39" s="303">
        <f t="shared" si="17"/>
        <v>-0.20448877805486287</v>
      </c>
      <c r="O39" s="303">
        <f t="shared" si="17"/>
        <v>-0.16510703439421248</v>
      </c>
      <c r="AE39">
        <f t="shared" si="2"/>
        <v>5.1282051282051277</v>
      </c>
      <c r="AG39">
        <f t="shared" si="7"/>
        <v>5.3956834532374103</v>
      </c>
      <c r="AM39">
        <f t="shared" si="8"/>
        <v>0.95042735042735027</v>
      </c>
      <c r="AO39">
        <f t="shared" si="3"/>
        <v>650</v>
      </c>
      <c r="AP39">
        <f t="shared" ref="AP39:BC39" si="29">AP19/AP$26</f>
        <v>147.68392370572209</v>
      </c>
      <c r="AQ39">
        <f t="shared" si="29"/>
        <v>154.64994775339605</v>
      </c>
      <c r="AR39">
        <f t="shared" si="29"/>
        <v>81.751824817518241</v>
      </c>
      <c r="AS39">
        <f t="shared" si="29"/>
        <v>49.226441631504926</v>
      </c>
      <c r="AT39">
        <f t="shared" si="29"/>
        <v>19.913419913419911</v>
      </c>
      <c r="AU39">
        <f t="shared" si="29"/>
        <v>9.7701149425287355</v>
      </c>
      <c r="AV39">
        <f t="shared" si="29"/>
        <v>7.8431372549019605</v>
      </c>
      <c r="AW39">
        <f t="shared" si="29"/>
        <v>5.1724137931034475</v>
      </c>
      <c r="AX39">
        <f t="shared" si="29"/>
        <v>4.4619422572178475</v>
      </c>
      <c r="AY39">
        <f t="shared" si="29"/>
        <v>3.5294117647058818</v>
      </c>
      <c r="AZ39">
        <f t="shared" si="29"/>
        <v>4.0160642570281126</v>
      </c>
      <c r="BA39">
        <f t="shared" si="29"/>
        <v>4.4444444444444446</v>
      </c>
      <c r="BB39">
        <f t="shared" si="29"/>
        <v>4.032258064516129</v>
      </c>
      <c r="BC39">
        <f t="shared" si="29"/>
        <v>4.7368421052631575</v>
      </c>
      <c r="BD39" s="16">
        <f t="shared" si="5"/>
        <v>260.89</v>
      </c>
      <c r="BE39" s="257">
        <f t="shared" si="26"/>
        <v>0.51152041617774191</v>
      </c>
      <c r="BF39" s="39">
        <f t="shared" si="11"/>
        <v>24.95</v>
      </c>
      <c r="BH39" s="333">
        <f t="shared" si="12"/>
        <v>1.3463654448503146</v>
      </c>
    </row>
    <row r="40" spans="1:60" ht="16" x14ac:dyDescent="0.2">
      <c r="A40" t="str">
        <f t="shared" si="13"/>
        <v xml:space="preserve">R2H1EA13 </v>
      </c>
      <c r="B40" s="25">
        <f t="shared" si="14"/>
        <v>96.17021276595743</v>
      </c>
      <c r="C40" s="25">
        <f t="shared" si="15"/>
        <v>71.713508612873966</v>
      </c>
      <c r="D40" s="25">
        <f t="shared" si="16"/>
        <v>4832.126984126985</v>
      </c>
      <c r="E40" s="303">
        <f t="shared" si="17"/>
        <v>0.11402337934137186</v>
      </c>
      <c r="F40" s="303">
        <f t="shared" si="17"/>
        <v>7.5915147638844438E-2</v>
      </c>
      <c r="G40" s="303">
        <f t="shared" si="17"/>
        <v>-0.11058474576271182</v>
      </c>
      <c r="H40" s="303">
        <f t="shared" si="17"/>
        <v>-0.1854721549636803</v>
      </c>
      <c r="I40" s="303">
        <f t="shared" si="17"/>
        <v>1.2698412698412653E-2</v>
      </c>
      <c r="J40" s="303">
        <f t="shared" si="17"/>
        <v>-0.33723346090759976</v>
      </c>
      <c r="K40" s="303">
        <f t="shared" si="17"/>
        <v>0.18949152542372882</v>
      </c>
      <c r="L40" s="303">
        <f t="shared" si="17"/>
        <v>0.53579918472430821</v>
      </c>
      <c r="M40" s="303">
        <f t="shared" si="17"/>
        <v>0</v>
      </c>
      <c r="N40" s="303">
        <f t="shared" si="17"/>
        <v>8.135593220338988E-2</v>
      </c>
      <c r="O40" s="303">
        <f t="shared" si="17"/>
        <v>-0.1713173351233428</v>
      </c>
      <c r="AE40">
        <f t="shared" si="2"/>
        <v>7.6923076923076916</v>
      </c>
      <c r="AG40">
        <f t="shared" si="7"/>
        <v>7.1942446043165473</v>
      </c>
      <c r="AM40">
        <f t="shared" si="8"/>
        <v>1.069230769230769</v>
      </c>
      <c r="AO40">
        <f t="shared" si="3"/>
        <v>750</v>
      </c>
      <c r="AP40">
        <f t="shared" ref="AP40:BC40" si="30">AP20/AP$26</f>
        <v>149.31880108991825</v>
      </c>
      <c r="AQ40">
        <f t="shared" si="30"/>
        <v>119.12225705329153</v>
      </c>
      <c r="AR40">
        <f t="shared" si="30"/>
        <v>83.211678832116789</v>
      </c>
      <c r="AS40">
        <f t="shared" si="30"/>
        <v>51.336146272855139</v>
      </c>
      <c r="AT40">
        <f t="shared" si="30"/>
        <v>22.077922077922075</v>
      </c>
      <c r="AU40">
        <f t="shared" si="30"/>
        <v>11.03448275862069</v>
      </c>
      <c r="AV40">
        <f t="shared" si="30"/>
        <v>9.8039215686274517</v>
      </c>
      <c r="AW40">
        <f t="shared" si="30"/>
        <v>6.8965517241379315</v>
      </c>
      <c r="AX40">
        <f t="shared" si="30"/>
        <v>6.2992125984251963</v>
      </c>
      <c r="AY40">
        <f t="shared" si="30"/>
        <v>4.7058823529411766</v>
      </c>
      <c r="AZ40">
        <f t="shared" si="30"/>
        <v>5.2208835341365463</v>
      </c>
      <c r="BA40">
        <f t="shared" si="30"/>
        <v>5.5555555555555562</v>
      </c>
      <c r="BB40">
        <f t="shared" si="30"/>
        <v>5.6451612903225801</v>
      </c>
      <c r="BC40">
        <f t="shared" si="30"/>
        <v>6.3157894736842106</v>
      </c>
      <c r="BD40" s="16">
        <f t="shared" si="5"/>
        <v>232.10000000000005</v>
      </c>
      <c r="BE40" s="257">
        <f t="shared" si="26"/>
        <v>0.44375572752265557</v>
      </c>
      <c r="BF40" s="39">
        <f t="shared" si="11"/>
        <v>15.64</v>
      </c>
      <c r="BH40" s="333">
        <f t="shared" si="12"/>
        <v>1.0211245064518955</v>
      </c>
    </row>
    <row r="41" spans="1:60" ht="16" x14ac:dyDescent="0.2">
      <c r="A41" t="str">
        <f t="shared" si="13"/>
        <v xml:space="preserve">R2H1EA14 </v>
      </c>
      <c r="B41" s="25">
        <f t="shared" si="14"/>
        <v>95.725466586393736</v>
      </c>
      <c r="C41" s="25">
        <f t="shared" si="15"/>
        <v>77.334630350194558</v>
      </c>
      <c r="D41" s="25">
        <f t="shared" si="16"/>
        <v>3502.8571428571431</v>
      </c>
      <c r="E41" s="303">
        <f t="shared" si="17"/>
        <v>0</v>
      </c>
      <c r="F41" s="303">
        <f t="shared" si="17"/>
        <v>0</v>
      </c>
      <c r="G41" s="303">
        <f t="shared" si="17"/>
        <v>0</v>
      </c>
      <c r="H41" s="303">
        <f t="shared" si="17"/>
        <v>0</v>
      </c>
      <c r="I41" s="303">
        <f t="shared" si="17"/>
        <v>0</v>
      </c>
      <c r="J41" s="303">
        <f t="shared" si="17"/>
        <v>0</v>
      </c>
      <c r="K41" s="303">
        <f t="shared" si="17"/>
        <v>0</v>
      </c>
      <c r="L41" s="303">
        <f t="shared" si="17"/>
        <v>0</v>
      </c>
      <c r="M41" s="303">
        <f t="shared" si="17"/>
        <v>0</v>
      </c>
      <c r="N41" s="303">
        <f t="shared" si="17"/>
        <v>0</v>
      </c>
      <c r="O41" s="303">
        <f t="shared" si="17"/>
        <v>0</v>
      </c>
    </row>
    <row r="42" spans="1:60" x14ac:dyDescent="0.2">
      <c r="A42" t="str">
        <f t="shared" si="13"/>
        <v xml:space="preserve">CZO-GNEISS </v>
      </c>
      <c r="B42" s="25">
        <f t="shared" si="14"/>
        <v>65.366317792578499</v>
      </c>
      <c r="C42" s="25">
        <f t="shared" si="15"/>
        <v>62.625341841385591</v>
      </c>
      <c r="D42" s="25">
        <f t="shared" si="16"/>
        <v>3461.7142857142858</v>
      </c>
    </row>
    <row r="43" spans="1:60" x14ac:dyDescent="0.2">
      <c r="A43" t="str">
        <f t="shared" si="13"/>
        <v xml:space="preserve">_MLG </v>
      </c>
      <c r="B43" s="25">
        <f t="shared" ref="B43" si="31">100*G22/(G22+K22+L22)</f>
        <v>69.180470793374013</v>
      </c>
      <c r="C43" s="25">
        <f t="shared" ref="C43" si="32">100*G22/(G22+K22+M22+L22)</f>
        <v>60.781309842972036</v>
      </c>
      <c r="D43" s="25">
        <f t="shared" ref="D43" si="33">100*((2*L22/0.35)+(J22/0.9)+(2*M22/0.25)+(K22/0.7))</f>
        <v>5726.4761904761908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E38"/>
  <sheetViews>
    <sheetView topLeftCell="T1" zoomScale="80" zoomScaleNormal="80" workbookViewId="0">
      <selection activeCell="AF22" sqref="AF22"/>
    </sheetView>
  </sheetViews>
  <sheetFormatPr baseColWidth="10" defaultRowHeight="15" x14ac:dyDescent="0.2"/>
  <cols>
    <col min="1" max="1" width="12.5" customWidth="1"/>
    <col min="2" max="2" width="6.5" bestFit="1" customWidth="1"/>
    <col min="3" max="4" width="8.83203125" bestFit="1" customWidth="1"/>
    <col min="5" max="5" width="11.83203125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9.1640625" customWidth="1"/>
    <col min="42" max="42" width="8.1640625" bestFit="1" customWidth="1"/>
    <col min="43" max="55" width="7.1640625" bestFit="1" customWidth="1"/>
    <col min="56" max="62" width="7" bestFit="1" customWidth="1"/>
  </cols>
  <sheetData>
    <row r="1" spans="1:83" x14ac:dyDescent="0.2">
      <c r="A1" s="2" t="s">
        <v>416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83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83" x14ac:dyDescent="0.2">
      <c r="A3" s="2" t="s">
        <v>2</v>
      </c>
      <c r="B3" s="2"/>
      <c r="C3" s="2" t="s">
        <v>426</v>
      </c>
      <c r="D3" s="2" t="s">
        <v>426</v>
      </c>
      <c r="E3" s="2" t="s">
        <v>426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  <c r="BL3" t="str">
        <f>E3</f>
        <v>Depth</v>
      </c>
    </row>
    <row r="4" spans="1:83" x14ac:dyDescent="0.2">
      <c r="A4" s="2" t="s">
        <v>60</v>
      </c>
      <c r="B4" s="2"/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  <c r="BL4" t="str">
        <f t="shared" ref="BL4:BL15" si="0">E4</f>
        <v>cm</v>
      </c>
    </row>
    <row r="5" spans="1:83" x14ac:dyDescent="0.2">
      <c r="A5" s="2" t="s">
        <v>63</v>
      </c>
      <c r="B5" s="2"/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83" ht="16" thickBot="1" x14ac:dyDescent="0.25">
      <c r="A6" s="5" t="s">
        <v>64</v>
      </c>
      <c r="B6" s="5" t="s">
        <v>422</v>
      </c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  <c r="BK6" s="38" t="s">
        <v>467</v>
      </c>
      <c r="BL6" t="str">
        <f t="shared" si="0"/>
        <v>Average (cm)</v>
      </c>
      <c r="BM6" t="s">
        <v>548</v>
      </c>
      <c r="BN6" t="s">
        <v>549</v>
      </c>
      <c r="BO6" t="s">
        <v>551</v>
      </c>
      <c r="BP6" t="s">
        <v>550</v>
      </c>
      <c r="BQ6" t="s">
        <v>562</v>
      </c>
      <c r="BR6" t="s">
        <v>563</v>
      </c>
      <c r="BS6" t="s">
        <v>552</v>
      </c>
      <c r="BT6" t="s">
        <v>553</v>
      </c>
      <c r="BU6" t="s">
        <v>554</v>
      </c>
      <c r="BV6" t="s">
        <v>555</v>
      </c>
      <c r="BW6" t="s">
        <v>557</v>
      </c>
      <c r="BX6" t="s">
        <v>556</v>
      </c>
      <c r="BY6" t="s">
        <v>558</v>
      </c>
      <c r="BZ6" t="s">
        <v>559</v>
      </c>
      <c r="CA6" t="s">
        <v>560</v>
      </c>
      <c r="CB6" t="s">
        <v>568</v>
      </c>
      <c r="CC6" t="s">
        <v>561</v>
      </c>
      <c r="CD6" t="s">
        <v>605</v>
      </c>
      <c r="CE6" t="s">
        <v>608</v>
      </c>
    </row>
    <row r="7" spans="1:83" ht="16" thickTop="1" x14ac:dyDescent="0.2">
      <c r="A7" s="2" t="s">
        <v>67</v>
      </c>
      <c r="B7" s="7" t="s">
        <v>417</v>
      </c>
      <c r="C7" s="7">
        <v>0</v>
      </c>
      <c r="D7" s="7">
        <v>13</v>
      </c>
      <c r="E7" s="7">
        <f>AVERAGE(C7:D7)</f>
        <v>6.5</v>
      </c>
      <c r="F7" s="4">
        <v>77.02</v>
      </c>
      <c r="G7" s="4">
        <v>9.65</v>
      </c>
      <c r="H7" s="4">
        <v>4.25</v>
      </c>
      <c r="I7" s="4">
        <v>3.5999999999999997E-2</v>
      </c>
      <c r="J7" s="4">
        <v>0.1</v>
      </c>
      <c r="K7" s="4">
        <v>0.12</v>
      </c>
      <c r="L7" s="4">
        <v>0.06</v>
      </c>
      <c r="M7" s="4">
        <v>0.28000000000000003</v>
      </c>
      <c r="N7" s="4">
        <v>0.58799999999999997</v>
      </c>
      <c r="O7" s="4">
        <v>0.09</v>
      </c>
      <c r="P7" s="4">
        <v>7.26</v>
      </c>
      <c r="Q7" s="4">
        <v>99.46</v>
      </c>
      <c r="R7" s="4">
        <v>8</v>
      </c>
      <c r="S7" s="4" t="s">
        <v>68</v>
      </c>
      <c r="T7" s="4">
        <v>61</v>
      </c>
      <c r="U7" s="4">
        <v>40</v>
      </c>
      <c r="V7" s="4">
        <v>9</v>
      </c>
      <c r="W7" s="4" t="s">
        <v>69</v>
      </c>
      <c r="X7" s="4">
        <v>30</v>
      </c>
      <c r="Y7" s="4" t="s">
        <v>70</v>
      </c>
      <c r="Z7" s="4">
        <v>12</v>
      </c>
      <c r="AA7" s="4">
        <v>1</v>
      </c>
      <c r="AB7" s="4" t="s">
        <v>71</v>
      </c>
      <c r="AC7" s="4">
        <v>15</v>
      </c>
      <c r="AD7" s="4">
        <v>33</v>
      </c>
      <c r="AE7" s="4">
        <v>7</v>
      </c>
      <c r="AF7" s="4">
        <v>452</v>
      </c>
      <c r="AG7" s="4">
        <v>6</v>
      </c>
      <c r="AH7" s="4" t="s">
        <v>72</v>
      </c>
      <c r="AI7" s="4">
        <v>1.2</v>
      </c>
      <c r="AJ7" s="4" t="s">
        <v>73</v>
      </c>
      <c r="AK7" s="4">
        <v>12</v>
      </c>
      <c r="AL7" s="4" t="s">
        <v>74</v>
      </c>
      <c r="AM7" s="4">
        <v>1</v>
      </c>
      <c r="AN7" s="4">
        <v>131</v>
      </c>
      <c r="AO7" s="4" t="s">
        <v>75</v>
      </c>
      <c r="AP7" s="4">
        <v>7.9</v>
      </c>
      <c r="AQ7" s="4">
        <v>15.3</v>
      </c>
      <c r="AR7" s="4">
        <v>1.65</v>
      </c>
      <c r="AS7" s="4">
        <v>5.4</v>
      </c>
      <c r="AT7" s="4">
        <v>1.2</v>
      </c>
      <c r="AU7" s="4">
        <v>0.27</v>
      </c>
      <c r="AV7" s="4">
        <v>1.1000000000000001</v>
      </c>
      <c r="AW7" s="4">
        <v>0.2</v>
      </c>
      <c r="AX7" s="4">
        <v>1.2</v>
      </c>
      <c r="AY7" s="4">
        <v>0.3</v>
      </c>
      <c r="AZ7" s="4">
        <v>0.8</v>
      </c>
      <c r="BA7" s="4">
        <v>0.12</v>
      </c>
      <c r="BB7" s="4">
        <v>0.9</v>
      </c>
      <c r="BC7" s="4">
        <v>0.17</v>
      </c>
      <c r="BD7" s="4">
        <v>9.8000000000000007</v>
      </c>
      <c r="BE7" s="4">
        <v>0.7</v>
      </c>
      <c r="BF7" s="4" t="s">
        <v>68</v>
      </c>
      <c r="BG7" s="4">
        <v>0.2</v>
      </c>
      <c r="BH7" s="4">
        <v>12</v>
      </c>
      <c r="BI7" s="4">
        <v>4.8</v>
      </c>
      <c r="BJ7" s="4">
        <v>1.8</v>
      </c>
      <c r="BK7" s="25">
        <f>100*(G7/(G7+K7+L7+M7))</f>
        <v>95.450049455984185</v>
      </c>
      <c r="BL7">
        <f t="shared" si="0"/>
        <v>6.5</v>
      </c>
      <c r="BM7" s="257">
        <v>0.69573710214868423</v>
      </c>
      <c r="BN7" s="257">
        <v>1.2984028495920943E-2</v>
      </c>
      <c r="BO7" s="257">
        <v>0</v>
      </c>
      <c r="BP7" s="257">
        <v>0</v>
      </c>
      <c r="BQ7" s="257">
        <v>0</v>
      </c>
      <c r="BR7" s="257">
        <v>0</v>
      </c>
      <c r="BS7" s="257">
        <v>1.3788348845225781E-2</v>
      </c>
      <c r="BT7" s="257">
        <v>3.1023784901758012E-3</v>
      </c>
      <c r="BU7" s="257">
        <v>1.6086406986096746E-3</v>
      </c>
      <c r="BV7" s="257">
        <v>3.4470872113064456E-4</v>
      </c>
      <c r="BW7" s="257">
        <v>9.5254509939101437E-2</v>
      </c>
      <c r="BX7" s="257">
        <v>0.15833620590600939</v>
      </c>
      <c r="BY7" s="257">
        <v>1.8614270941054806E-2</v>
      </c>
      <c r="BZ7" s="257">
        <v>0</v>
      </c>
      <c r="CA7" s="257">
        <v>2.2980581408709637E-4</v>
      </c>
      <c r="CB7" s="257">
        <v>0</v>
      </c>
      <c r="CC7" s="257">
        <v>0</v>
      </c>
      <c r="CD7" s="257">
        <v>0</v>
      </c>
      <c r="CE7" s="257">
        <v>0</v>
      </c>
    </row>
    <row r="8" spans="1:83" x14ac:dyDescent="0.2">
      <c r="A8" s="2" t="s">
        <v>76</v>
      </c>
      <c r="B8" s="7" t="s">
        <v>418</v>
      </c>
      <c r="C8" s="7">
        <v>13</v>
      </c>
      <c r="D8" s="7">
        <v>80</v>
      </c>
      <c r="E8" s="7">
        <f t="shared" ref="E8:E15" si="1">AVERAGE(C8:D8)</f>
        <v>46.5</v>
      </c>
      <c r="F8" s="4">
        <v>52.35</v>
      </c>
      <c r="G8" s="4">
        <v>24.28</v>
      </c>
      <c r="H8" s="4">
        <v>9.65</v>
      </c>
      <c r="I8" s="4">
        <v>2.5000000000000001E-2</v>
      </c>
      <c r="J8" s="4">
        <v>0.16</v>
      </c>
      <c r="K8" s="4">
        <v>0.05</v>
      </c>
      <c r="L8" s="4">
        <v>0.03</v>
      </c>
      <c r="M8" s="4">
        <v>0.14000000000000001</v>
      </c>
      <c r="N8" s="4">
        <v>0.85199999999999998</v>
      </c>
      <c r="O8" s="4">
        <v>0.04</v>
      </c>
      <c r="P8" s="4">
        <v>11.96</v>
      </c>
      <c r="Q8" s="4">
        <v>99.52</v>
      </c>
      <c r="R8" s="4">
        <v>22</v>
      </c>
      <c r="S8" s="4">
        <v>2</v>
      </c>
      <c r="T8" s="4">
        <v>141</v>
      </c>
      <c r="U8" s="4">
        <v>40</v>
      </c>
      <c r="V8" s="4">
        <v>6</v>
      </c>
      <c r="W8" s="4">
        <v>20</v>
      </c>
      <c r="X8" s="4">
        <v>60</v>
      </c>
      <c r="Y8" s="4">
        <v>50</v>
      </c>
      <c r="Z8" s="4">
        <v>31</v>
      </c>
      <c r="AA8" s="4">
        <v>2</v>
      </c>
      <c r="AB8" s="4">
        <v>5</v>
      </c>
      <c r="AC8" s="4">
        <v>17</v>
      </c>
      <c r="AD8" s="4">
        <v>16</v>
      </c>
      <c r="AE8" s="4">
        <v>7</v>
      </c>
      <c r="AF8" s="4">
        <v>138</v>
      </c>
      <c r="AG8" s="4">
        <v>11</v>
      </c>
      <c r="AH8" s="4" t="s">
        <v>72</v>
      </c>
      <c r="AI8" s="4" t="s">
        <v>74</v>
      </c>
      <c r="AJ8" s="4" t="s">
        <v>73</v>
      </c>
      <c r="AK8" s="4">
        <v>23</v>
      </c>
      <c r="AL8" s="4" t="s">
        <v>74</v>
      </c>
      <c r="AM8" s="4">
        <v>1.4</v>
      </c>
      <c r="AN8" s="4">
        <v>54</v>
      </c>
      <c r="AO8" s="4">
        <v>0.7</v>
      </c>
      <c r="AP8" s="4">
        <v>11.4</v>
      </c>
      <c r="AQ8" s="4">
        <v>24.9</v>
      </c>
      <c r="AR8" s="4">
        <v>2.4900000000000002</v>
      </c>
      <c r="AS8" s="4">
        <v>8.9</v>
      </c>
      <c r="AT8" s="4">
        <v>1.7</v>
      </c>
      <c r="AU8" s="4">
        <v>0.44</v>
      </c>
      <c r="AV8" s="4">
        <v>1.4</v>
      </c>
      <c r="AW8" s="4">
        <v>0.2</v>
      </c>
      <c r="AX8" s="4">
        <v>1.4</v>
      </c>
      <c r="AY8" s="4">
        <v>0.3</v>
      </c>
      <c r="AZ8" s="4">
        <v>0.9</v>
      </c>
      <c r="BA8" s="4">
        <v>0.14000000000000001</v>
      </c>
      <c r="BB8" s="4">
        <v>0.9</v>
      </c>
      <c r="BC8" s="4">
        <v>0.16</v>
      </c>
      <c r="BD8" s="4">
        <v>3.2</v>
      </c>
      <c r="BE8" s="4">
        <v>0.7</v>
      </c>
      <c r="BF8" s="4">
        <v>2</v>
      </c>
      <c r="BG8" s="4">
        <v>0.2</v>
      </c>
      <c r="BH8" s="4">
        <v>12</v>
      </c>
      <c r="BI8" s="4">
        <v>9</v>
      </c>
      <c r="BJ8" s="4">
        <v>1.6</v>
      </c>
      <c r="BK8" s="25">
        <f t="shared" ref="BK8:BK17" si="2">100*(G8/(G8+K8+L8+M8))</f>
        <v>99.102040816326522</v>
      </c>
      <c r="BL8">
        <f t="shared" si="0"/>
        <v>46.5</v>
      </c>
      <c r="BM8" s="257">
        <v>0.21973785659213568</v>
      </c>
      <c r="BN8" s="257">
        <v>1.4869479017512942E-2</v>
      </c>
      <c r="BO8" s="257">
        <v>0</v>
      </c>
      <c r="BP8" s="257">
        <v>0</v>
      </c>
      <c r="BQ8" s="257">
        <v>0</v>
      </c>
      <c r="BR8" s="257">
        <v>0</v>
      </c>
      <c r="BS8" s="257">
        <v>2.4011455006057936E-2</v>
      </c>
      <c r="BT8" s="257">
        <v>5.2869258728934897E-3</v>
      </c>
      <c r="BU8" s="257">
        <v>1.6521643352792157E-3</v>
      </c>
      <c r="BV8" s="257">
        <v>0</v>
      </c>
      <c r="BW8" s="257">
        <v>0.28593457429232294</v>
      </c>
      <c r="BX8" s="257">
        <v>0.42042075118405109</v>
      </c>
      <c r="BY8" s="257">
        <v>2.6985350809560524E-2</v>
      </c>
      <c r="BZ8" s="257">
        <v>0</v>
      </c>
      <c r="CA8" s="257">
        <v>1.1014428901861438E-3</v>
      </c>
      <c r="CB8" s="257">
        <v>0</v>
      </c>
      <c r="CC8" s="257">
        <v>0</v>
      </c>
      <c r="CD8" s="257">
        <v>0</v>
      </c>
      <c r="CE8" s="257">
        <v>0</v>
      </c>
    </row>
    <row r="9" spans="1:83" x14ac:dyDescent="0.2">
      <c r="A9" s="2" t="s">
        <v>77</v>
      </c>
      <c r="B9" s="7" t="s">
        <v>419</v>
      </c>
      <c r="C9" s="7">
        <v>80</v>
      </c>
      <c r="D9" s="7">
        <v>113</v>
      </c>
      <c r="E9" s="7">
        <f t="shared" si="1"/>
        <v>96.5</v>
      </c>
      <c r="F9" s="4">
        <v>48.23</v>
      </c>
      <c r="G9" s="4">
        <v>25.46</v>
      </c>
      <c r="H9" s="4">
        <v>11.92</v>
      </c>
      <c r="I9" s="4">
        <v>3.2000000000000001E-2</v>
      </c>
      <c r="J9" s="4">
        <v>0.19</v>
      </c>
      <c r="K9" s="4">
        <v>0.03</v>
      </c>
      <c r="L9" s="4">
        <v>0.04</v>
      </c>
      <c r="M9" s="4">
        <v>0.13</v>
      </c>
      <c r="N9" s="4">
        <v>1.079</v>
      </c>
      <c r="O9" s="4">
        <v>7.0000000000000007E-2</v>
      </c>
      <c r="P9" s="4">
        <v>12.44</v>
      </c>
      <c r="Q9" s="4">
        <v>99.62</v>
      </c>
      <c r="R9" s="4">
        <v>35</v>
      </c>
      <c r="S9" s="4">
        <v>2</v>
      </c>
      <c r="T9" s="4">
        <v>163</v>
      </c>
      <c r="U9" s="4">
        <v>40</v>
      </c>
      <c r="V9" s="4">
        <v>5</v>
      </c>
      <c r="W9" s="4" t="s">
        <v>69</v>
      </c>
      <c r="X9" s="4">
        <v>60</v>
      </c>
      <c r="Y9" s="4">
        <v>40</v>
      </c>
      <c r="Z9" s="4">
        <v>30</v>
      </c>
      <c r="AA9" s="4">
        <v>2</v>
      </c>
      <c r="AB9" s="4" t="s">
        <v>71</v>
      </c>
      <c r="AC9" s="4">
        <v>14</v>
      </c>
      <c r="AD9" s="4">
        <v>10</v>
      </c>
      <c r="AE9" s="4">
        <v>10</v>
      </c>
      <c r="AF9" s="4">
        <v>144</v>
      </c>
      <c r="AG9" s="4">
        <v>8</v>
      </c>
      <c r="AH9" s="4" t="s">
        <v>72</v>
      </c>
      <c r="AI9" s="4" t="s">
        <v>74</v>
      </c>
      <c r="AJ9" s="4" t="s">
        <v>73</v>
      </c>
      <c r="AK9" s="4">
        <v>15</v>
      </c>
      <c r="AL9" s="4">
        <v>1.4</v>
      </c>
      <c r="AM9" s="4">
        <v>1.2</v>
      </c>
      <c r="AN9" s="4">
        <v>45</v>
      </c>
      <c r="AO9" s="4" t="s">
        <v>75</v>
      </c>
      <c r="AP9" s="4">
        <v>12.2</v>
      </c>
      <c r="AQ9" s="4">
        <v>31.7</v>
      </c>
      <c r="AR9" s="4">
        <v>3.31</v>
      </c>
      <c r="AS9" s="4">
        <v>12.8</v>
      </c>
      <c r="AT9" s="4">
        <v>2.5</v>
      </c>
      <c r="AU9" s="4">
        <v>0.65</v>
      </c>
      <c r="AV9" s="4">
        <v>2.1</v>
      </c>
      <c r="AW9" s="4">
        <v>0.3</v>
      </c>
      <c r="AX9" s="4">
        <v>1.9</v>
      </c>
      <c r="AY9" s="4">
        <v>0.4</v>
      </c>
      <c r="AZ9" s="4">
        <v>1.1000000000000001</v>
      </c>
      <c r="BA9" s="4">
        <v>0.18</v>
      </c>
      <c r="BB9" s="4">
        <v>1.3</v>
      </c>
      <c r="BC9" s="4">
        <v>0.2</v>
      </c>
      <c r="BD9" s="4">
        <v>3.6</v>
      </c>
      <c r="BE9" s="4">
        <v>0.5</v>
      </c>
      <c r="BF9" s="4">
        <v>2</v>
      </c>
      <c r="BG9" s="4">
        <v>0.2</v>
      </c>
      <c r="BH9" s="4">
        <v>15</v>
      </c>
      <c r="BI9" s="4">
        <v>6.6</v>
      </c>
      <c r="BJ9" s="4">
        <v>1.7</v>
      </c>
      <c r="BK9" s="25">
        <f t="shared" si="2"/>
        <v>99.220576773187844</v>
      </c>
      <c r="BL9">
        <f t="shared" si="0"/>
        <v>96.5</v>
      </c>
      <c r="BM9" s="257">
        <v>0.14260328742780984</v>
      </c>
      <c r="BN9" s="257">
        <v>1.1106175033318524E-2</v>
      </c>
      <c r="BO9" s="257">
        <v>0</v>
      </c>
      <c r="BP9" s="257">
        <v>0</v>
      </c>
      <c r="BQ9" s="257">
        <v>0</v>
      </c>
      <c r="BR9" s="257">
        <v>0</v>
      </c>
      <c r="BS9" s="257">
        <v>2.0546423811639271E-2</v>
      </c>
      <c r="BT9" s="257">
        <v>2.2545535317636603E-2</v>
      </c>
      <c r="BU9" s="257">
        <v>0</v>
      </c>
      <c r="BV9" s="257">
        <v>0</v>
      </c>
      <c r="BW9" s="257">
        <v>0.30142159040426475</v>
      </c>
      <c r="BX9" s="257">
        <v>0.47245668591737</v>
      </c>
      <c r="BY9" s="257">
        <v>2.754331408262994E-2</v>
      </c>
      <c r="BZ9" s="257">
        <v>0</v>
      </c>
      <c r="CA9" s="257">
        <v>1.7769880053309639E-3</v>
      </c>
      <c r="CB9" s="257">
        <v>0</v>
      </c>
      <c r="CC9" s="257">
        <v>0</v>
      </c>
      <c r="CD9" s="257">
        <v>0</v>
      </c>
      <c r="CE9" s="257">
        <v>0</v>
      </c>
    </row>
    <row r="10" spans="1:83" x14ac:dyDescent="0.2">
      <c r="A10" s="2" t="s">
        <v>78</v>
      </c>
      <c r="B10" s="7" t="s">
        <v>420</v>
      </c>
      <c r="C10" s="7">
        <v>113</v>
      </c>
      <c r="D10" s="7">
        <v>180</v>
      </c>
      <c r="E10" s="7">
        <f t="shared" si="1"/>
        <v>146.5</v>
      </c>
      <c r="F10" s="4">
        <v>49.28</v>
      </c>
      <c r="G10" s="4">
        <v>23.68</v>
      </c>
      <c r="H10" s="4">
        <v>12.09</v>
      </c>
      <c r="I10" s="4">
        <v>3.5000000000000003E-2</v>
      </c>
      <c r="J10" s="4">
        <v>0.16</v>
      </c>
      <c r="K10" s="4">
        <v>0.02</v>
      </c>
      <c r="L10" s="4">
        <v>0.04</v>
      </c>
      <c r="M10" s="4">
        <v>0.11</v>
      </c>
      <c r="N10" s="4">
        <v>1.0820000000000001</v>
      </c>
      <c r="O10" s="4">
        <v>7.0000000000000007E-2</v>
      </c>
      <c r="P10" s="4">
        <v>12.79</v>
      </c>
      <c r="Q10" s="4">
        <v>99.35</v>
      </c>
      <c r="R10" s="4">
        <v>37</v>
      </c>
      <c r="S10" s="4">
        <v>2</v>
      </c>
      <c r="T10" s="4">
        <v>171</v>
      </c>
      <c r="U10" s="4">
        <v>30</v>
      </c>
      <c r="V10" s="4">
        <v>6</v>
      </c>
      <c r="W10" s="4" t="s">
        <v>69</v>
      </c>
      <c r="X10" s="4">
        <v>50</v>
      </c>
      <c r="Y10" s="4">
        <v>40</v>
      </c>
      <c r="Z10" s="4">
        <v>29</v>
      </c>
      <c r="AA10" s="4">
        <v>2</v>
      </c>
      <c r="AB10" s="4" t="s">
        <v>71</v>
      </c>
      <c r="AC10" s="4">
        <v>11</v>
      </c>
      <c r="AD10" s="4">
        <v>3</v>
      </c>
      <c r="AE10" s="4">
        <v>9</v>
      </c>
      <c r="AF10" s="4">
        <v>117</v>
      </c>
      <c r="AG10" s="4">
        <v>6</v>
      </c>
      <c r="AH10" s="4" t="s">
        <v>72</v>
      </c>
      <c r="AI10" s="4" t="s">
        <v>74</v>
      </c>
      <c r="AJ10" s="4" t="s">
        <v>73</v>
      </c>
      <c r="AK10" s="4">
        <v>11</v>
      </c>
      <c r="AL10" s="4">
        <v>0.6</v>
      </c>
      <c r="AM10" s="4">
        <v>0.7</v>
      </c>
      <c r="AN10" s="4">
        <v>32</v>
      </c>
      <c r="AO10" s="4" t="s">
        <v>75</v>
      </c>
      <c r="AP10" s="4">
        <v>12.1</v>
      </c>
      <c r="AQ10" s="4">
        <v>40</v>
      </c>
      <c r="AR10" s="4">
        <v>3.65</v>
      </c>
      <c r="AS10" s="4">
        <v>14.5</v>
      </c>
      <c r="AT10" s="4">
        <v>3.1</v>
      </c>
      <c r="AU10" s="4">
        <v>0.8</v>
      </c>
      <c r="AV10" s="4">
        <v>2.5</v>
      </c>
      <c r="AW10" s="4">
        <v>0.4</v>
      </c>
      <c r="AX10" s="4">
        <v>2.4</v>
      </c>
      <c r="AY10" s="4">
        <v>0.5</v>
      </c>
      <c r="AZ10" s="4">
        <v>1.4</v>
      </c>
      <c r="BA10" s="4">
        <v>0.22</v>
      </c>
      <c r="BB10" s="4">
        <v>1.5</v>
      </c>
      <c r="BC10" s="4">
        <v>0.24</v>
      </c>
      <c r="BD10" s="4">
        <v>3</v>
      </c>
      <c r="BE10" s="4">
        <v>0.4</v>
      </c>
      <c r="BF10" s="4">
        <v>1</v>
      </c>
      <c r="BG10" s="4" t="s">
        <v>79</v>
      </c>
      <c r="BH10" s="4">
        <v>11</v>
      </c>
      <c r="BI10" s="4">
        <v>4.3</v>
      </c>
      <c r="BJ10" s="4">
        <v>1.5</v>
      </c>
      <c r="BK10" s="25">
        <f t="shared" si="2"/>
        <v>99.28721174004194</v>
      </c>
      <c r="BL10">
        <f t="shared" si="0"/>
        <v>146.5</v>
      </c>
      <c r="BM10" s="257">
        <v>0.18351390595331174</v>
      </c>
      <c r="BN10" s="257">
        <v>0</v>
      </c>
      <c r="BO10" s="257">
        <v>0</v>
      </c>
      <c r="BP10" s="257">
        <v>0</v>
      </c>
      <c r="BQ10" s="257">
        <v>0</v>
      </c>
      <c r="BR10" s="257">
        <v>0</v>
      </c>
      <c r="BS10" s="257">
        <v>2.434938009605719E-2</v>
      </c>
      <c r="BT10" s="257">
        <v>7.1261029822405897E-2</v>
      </c>
      <c r="BU10" s="257">
        <v>4.4677761644141629E-4</v>
      </c>
      <c r="BV10" s="257">
        <v>0</v>
      </c>
      <c r="BW10" s="257">
        <v>1.4855355746677092E-2</v>
      </c>
      <c r="BX10" s="257">
        <v>0.62291969172344464</v>
      </c>
      <c r="BY10" s="257">
        <v>5.9979895007260135E-2</v>
      </c>
      <c r="BZ10" s="257">
        <v>0</v>
      </c>
      <c r="CA10" s="257">
        <v>2.2673964034401875E-2</v>
      </c>
      <c r="CB10" s="257">
        <v>0</v>
      </c>
      <c r="CC10" s="257">
        <v>0</v>
      </c>
      <c r="CD10" s="257">
        <v>0</v>
      </c>
      <c r="CE10" s="257">
        <v>0</v>
      </c>
    </row>
    <row r="11" spans="1:83" x14ac:dyDescent="0.2">
      <c r="A11" s="2" t="s">
        <v>80</v>
      </c>
      <c r="B11" s="2" t="s">
        <v>421</v>
      </c>
      <c r="C11" s="7">
        <v>200</v>
      </c>
      <c r="D11" s="7">
        <v>400</v>
      </c>
      <c r="E11" s="7">
        <f t="shared" si="1"/>
        <v>300</v>
      </c>
      <c r="F11" s="4">
        <v>58.34</v>
      </c>
      <c r="G11" s="4">
        <v>19.72</v>
      </c>
      <c r="H11" s="4">
        <v>7.78</v>
      </c>
      <c r="I11" s="4">
        <v>0.17100000000000001</v>
      </c>
      <c r="J11" s="4">
        <v>1.8</v>
      </c>
      <c r="K11" s="4">
        <v>0.03</v>
      </c>
      <c r="L11" s="4">
        <v>0.05</v>
      </c>
      <c r="M11" s="4">
        <v>1.45</v>
      </c>
      <c r="N11" s="4">
        <v>0.89700000000000002</v>
      </c>
      <c r="O11" s="4">
        <v>0.09</v>
      </c>
      <c r="P11" s="4">
        <v>8.86</v>
      </c>
      <c r="Q11" s="4">
        <v>99.19</v>
      </c>
      <c r="R11" s="4">
        <v>20</v>
      </c>
      <c r="S11" s="4">
        <v>3</v>
      </c>
      <c r="T11" s="4">
        <v>123</v>
      </c>
      <c r="U11" s="4">
        <v>50</v>
      </c>
      <c r="V11" s="4">
        <v>45</v>
      </c>
      <c r="W11" s="4">
        <v>60</v>
      </c>
      <c r="X11" s="4">
        <v>50</v>
      </c>
      <c r="Y11" s="4">
        <v>110</v>
      </c>
      <c r="Z11" s="4">
        <v>26</v>
      </c>
      <c r="AA11" s="4">
        <v>2</v>
      </c>
      <c r="AB11" s="4" t="s">
        <v>71</v>
      </c>
      <c r="AC11" s="4">
        <v>116</v>
      </c>
      <c r="AD11" s="4">
        <v>31</v>
      </c>
      <c r="AE11" s="4">
        <v>31</v>
      </c>
      <c r="AF11" s="4">
        <v>270</v>
      </c>
      <c r="AG11" s="4">
        <v>12</v>
      </c>
      <c r="AH11" s="4" t="s">
        <v>72</v>
      </c>
      <c r="AI11" s="4">
        <v>0.5</v>
      </c>
      <c r="AJ11" s="4" t="s">
        <v>73</v>
      </c>
      <c r="AK11" s="4">
        <v>17</v>
      </c>
      <c r="AL11" s="4">
        <v>1.9</v>
      </c>
      <c r="AM11" s="4">
        <v>2.5</v>
      </c>
      <c r="AN11" s="4">
        <v>449</v>
      </c>
      <c r="AO11" s="4">
        <v>0.4</v>
      </c>
      <c r="AP11" s="4">
        <v>39.5</v>
      </c>
      <c r="AQ11" s="4">
        <v>87.6</v>
      </c>
      <c r="AR11" s="4">
        <v>10.8</v>
      </c>
      <c r="AS11" s="4">
        <v>43.7</v>
      </c>
      <c r="AT11" s="4">
        <v>8.9</v>
      </c>
      <c r="AU11" s="4">
        <v>2.16</v>
      </c>
      <c r="AV11" s="4">
        <v>7.2</v>
      </c>
      <c r="AW11" s="4">
        <v>1</v>
      </c>
      <c r="AX11" s="4">
        <v>5.9</v>
      </c>
      <c r="AY11" s="4">
        <v>1.1000000000000001</v>
      </c>
      <c r="AZ11" s="4">
        <v>3.3</v>
      </c>
      <c r="BA11" s="4">
        <v>0.49</v>
      </c>
      <c r="BB11" s="4">
        <v>3.4</v>
      </c>
      <c r="BC11" s="4">
        <v>0.54</v>
      </c>
      <c r="BD11" s="4">
        <v>6.4</v>
      </c>
      <c r="BE11" s="4">
        <v>0.7</v>
      </c>
      <c r="BF11" s="4">
        <v>3</v>
      </c>
      <c r="BG11" s="4">
        <v>0.6</v>
      </c>
      <c r="BH11" s="4">
        <v>12</v>
      </c>
      <c r="BI11" s="4">
        <v>10.199999999999999</v>
      </c>
      <c r="BJ11" s="4">
        <v>2.4</v>
      </c>
      <c r="BK11" s="25">
        <f t="shared" si="2"/>
        <v>92.8</v>
      </c>
      <c r="BL11">
        <f t="shared" si="0"/>
        <v>300</v>
      </c>
      <c r="BM11" s="257">
        <v>0.36754568333515708</v>
      </c>
      <c r="BN11" s="257">
        <v>4.3768464821096406E-3</v>
      </c>
      <c r="BO11" s="257">
        <v>0</v>
      </c>
      <c r="BP11" s="257">
        <v>0</v>
      </c>
      <c r="BQ11" s="257">
        <v>0</v>
      </c>
      <c r="BR11" s="257">
        <v>0</v>
      </c>
      <c r="BS11" s="257">
        <v>0</v>
      </c>
      <c r="BT11" s="257">
        <v>6.3464273990589777E-3</v>
      </c>
      <c r="BU11" s="257">
        <v>1.531896268738374E-3</v>
      </c>
      <c r="BV11" s="257">
        <v>0</v>
      </c>
      <c r="BW11" s="257">
        <v>0.26654995076047705</v>
      </c>
      <c r="BX11" s="257">
        <v>0.14542072436809278</v>
      </c>
      <c r="BY11" s="257">
        <v>0</v>
      </c>
      <c r="BZ11" s="257">
        <v>0</v>
      </c>
      <c r="CA11" s="257">
        <v>0.20822847138636613</v>
      </c>
      <c r="CB11" s="257">
        <v>0</v>
      </c>
      <c r="CC11" s="257">
        <v>0</v>
      </c>
      <c r="CD11" s="257">
        <v>0</v>
      </c>
      <c r="CE11" s="257">
        <v>0</v>
      </c>
    </row>
    <row r="12" spans="1:83" x14ac:dyDescent="0.2">
      <c r="A12" s="2" t="s">
        <v>81</v>
      </c>
      <c r="B12" s="2" t="s">
        <v>421</v>
      </c>
      <c r="C12" s="7">
        <v>400</v>
      </c>
      <c r="D12" s="7">
        <v>500</v>
      </c>
      <c r="E12" s="7">
        <f t="shared" si="1"/>
        <v>450</v>
      </c>
      <c r="F12" s="4">
        <v>60.74</v>
      </c>
      <c r="G12" s="4">
        <v>18.87</v>
      </c>
      <c r="H12" s="4">
        <v>6.65</v>
      </c>
      <c r="I12" s="4">
        <v>0.17</v>
      </c>
      <c r="J12" s="4">
        <v>1.9</v>
      </c>
      <c r="K12" s="4">
        <v>0.05</v>
      </c>
      <c r="L12" s="4">
        <v>0.04</v>
      </c>
      <c r="M12" s="4">
        <v>1.57</v>
      </c>
      <c r="N12" s="4">
        <v>0.77700000000000002</v>
      </c>
      <c r="O12" s="4">
        <v>0.05</v>
      </c>
      <c r="P12" s="4">
        <v>8.94</v>
      </c>
      <c r="Q12" s="4">
        <v>99.76</v>
      </c>
      <c r="R12" s="4">
        <v>13</v>
      </c>
      <c r="S12" s="4">
        <v>2</v>
      </c>
      <c r="T12" s="4">
        <v>121</v>
      </c>
      <c r="U12" s="4">
        <v>30</v>
      </c>
      <c r="V12" s="4">
        <v>46</v>
      </c>
      <c r="W12" s="4">
        <v>40</v>
      </c>
      <c r="X12" s="4">
        <v>40</v>
      </c>
      <c r="Y12" s="4">
        <v>100</v>
      </c>
      <c r="Z12" s="4">
        <v>26</v>
      </c>
      <c r="AA12" s="4">
        <v>2</v>
      </c>
      <c r="AB12" s="4" t="s">
        <v>71</v>
      </c>
      <c r="AC12" s="4">
        <v>139</v>
      </c>
      <c r="AD12" s="4">
        <v>8</v>
      </c>
      <c r="AE12" s="4">
        <v>48</v>
      </c>
      <c r="AF12" s="4">
        <v>210</v>
      </c>
      <c r="AG12" s="4">
        <v>13</v>
      </c>
      <c r="AH12" s="4" t="s">
        <v>72</v>
      </c>
      <c r="AI12" s="4" t="s">
        <v>74</v>
      </c>
      <c r="AJ12" s="4" t="s">
        <v>73</v>
      </c>
      <c r="AK12" s="4">
        <v>6</v>
      </c>
      <c r="AL12" s="4">
        <v>0.9</v>
      </c>
      <c r="AM12" s="4">
        <v>3.4</v>
      </c>
      <c r="AN12" s="4">
        <v>348</v>
      </c>
      <c r="AO12" s="4" t="s">
        <v>75</v>
      </c>
      <c r="AP12" s="4">
        <v>54.4</v>
      </c>
      <c r="AQ12" s="4">
        <v>61.6</v>
      </c>
      <c r="AR12" s="4">
        <v>13</v>
      </c>
      <c r="AS12" s="4">
        <v>49.3</v>
      </c>
      <c r="AT12" s="4">
        <v>9.9</v>
      </c>
      <c r="AU12" s="4">
        <v>2.46</v>
      </c>
      <c r="AV12" s="4">
        <v>9.1</v>
      </c>
      <c r="AW12" s="4">
        <v>1.3</v>
      </c>
      <c r="AX12" s="4">
        <v>8.1</v>
      </c>
      <c r="AY12" s="4">
        <v>1.6</v>
      </c>
      <c r="AZ12" s="4">
        <v>4.5999999999999996</v>
      </c>
      <c r="BA12" s="4">
        <v>0.7</v>
      </c>
      <c r="BB12" s="4">
        <v>4.7</v>
      </c>
      <c r="BC12" s="4">
        <v>0.72</v>
      </c>
      <c r="BD12" s="4">
        <v>5</v>
      </c>
      <c r="BE12" s="4">
        <v>0.7</v>
      </c>
      <c r="BF12" s="4">
        <v>1</v>
      </c>
      <c r="BG12" s="4">
        <v>0.8</v>
      </c>
      <c r="BH12" s="4">
        <v>15</v>
      </c>
      <c r="BI12" s="4">
        <v>15.8</v>
      </c>
      <c r="BJ12" s="4">
        <v>1.3</v>
      </c>
      <c r="BK12" s="25">
        <f t="shared" si="2"/>
        <v>91.914271797369707</v>
      </c>
      <c r="BL12">
        <f t="shared" si="0"/>
        <v>450</v>
      </c>
      <c r="BM12" s="257">
        <v>0.27849627356422618</v>
      </c>
      <c r="BN12" s="257">
        <v>9.2064883822884688E-3</v>
      </c>
      <c r="BO12" s="257">
        <v>0</v>
      </c>
      <c r="BP12" s="257">
        <v>0</v>
      </c>
      <c r="BQ12" s="257">
        <v>0</v>
      </c>
      <c r="BR12" s="257">
        <v>0</v>
      </c>
      <c r="BS12" s="257">
        <v>1.0960105217010083E-3</v>
      </c>
      <c r="BT12" s="257">
        <v>2.3016220955721172E-3</v>
      </c>
      <c r="BU12" s="257">
        <v>0</v>
      </c>
      <c r="BV12" s="257">
        <v>0</v>
      </c>
      <c r="BW12" s="257">
        <v>0.33768084173608059</v>
      </c>
      <c r="BX12" s="257">
        <v>0.16385357299430073</v>
      </c>
      <c r="BY12" s="257">
        <v>3.7264357737834281E-3</v>
      </c>
      <c r="BZ12" s="257">
        <v>0</v>
      </c>
      <c r="CA12" s="257">
        <v>0.20363875493204731</v>
      </c>
      <c r="CB12" s="257">
        <v>0</v>
      </c>
      <c r="CC12" s="257">
        <v>0</v>
      </c>
      <c r="CD12" s="257">
        <v>0</v>
      </c>
      <c r="CE12" s="257">
        <v>0</v>
      </c>
    </row>
    <row r="13" spans="1:83" x14ac:dyDescent="0.2">
      <c r="A13" s="2" t="s">
        <v>82</v>
      </c>
      <c r="B13" s="2" t="s">
        <v>421</v>
      </c>
      <c r="C13" s="7">
        <v>500</v>
      </c>
      <c r="D13" s="7">
        <v>600</v>
      </c>
      <c r="E13" s="7">
        <f t="shared" si="1"/>
        <v>550</v>
      </c>
      <c r="F13" s="4">
        <v>59.67</v>
      </c>
      <c r="G13" s="4">
        <v>19</v>
      </c>
      <c r="H13" s="4">
        <v>7.72</v>
      </c>
      <c r="I13" s="4">
        <v>0.17199999999999999</v>
      </c>
      <c r="J13" s="4">
        <v>1.81</v>
      </c>
      <c r="K13" s="4">
        <v>0.04</v>
      </c>
      <c r="L13" s="4">
        <v>0.05</v>
      </c>
      <c r="M13" s="4">
        <v>1.32</v>
      </c>
      <c r="N13" s="4">
        <v>0.81</v>
      </c>
      <c r="O13" s="4">
        <v>0.06</v>
      </c>
      <c r="P13" s="4">
        <v>9.01</v>
      </c>
      <c r="Q13" s="4">
        <v>99.65</v>
      </c>
      <c r="R13" s="4">
        <v>21</v>
      </c>
      <c r="S13" s="4">
        <v>2</v>
      </c>
      <c r="T13" s="4">
        <v>128</v>
      </c>
      <c r="U13" s="4">
        <v>30</v>
      </c>
      <c r="V13" s="4">
        <v>33</v>
      </c>
      <c r="W13" s="4">
        <v>40</v>
      </c>
      <c r="X13" s="4">
        <v>40</v>
      </c>
      <c r="Y13" s="4">
        <v>110</v>
      </c>
      <c r="Z13" s="4">
        <v>25</v>
      </c>
      <c r="AA13" s="4">
        <v>2</v>
      </c>
      <c r="AB13" s="4" t="s">
        <v>71</v>
      </c>
      <c r="AC13" s="4">
        <v>110</v>
      </c>
      <c r="AD13" s="4">
        <v>4</v>
      </c>
      <c r="AE13" s="4">
        <v>48</v>
      </c>
      <c r="AF13" s="4">
        <v>124</v>
      </c>
      <c r="AG13" s="4">
        <v>10</v>
      </c>
      <c r="AH13" s="4" t="s">
        <v>72</v>
      </c>
      <c r="AI13" s="4" t="s">
        <v>74</v>
      </c>
      <c r="AJ13" s="4" t="s">
        <v>73</v>
      </c>
      <c r="AK13" s="4">
        <v>5</v>
      </c>
      <c r="AL13" s="4" t="s">
        <v>74</v>
      </c>
      <c r="AM13" s="4">
        <v>2.6</v>
      </c>
      <c r="AN13" s="4">
        <v>249</v>
      </c>
      <c r="AO13" s="4" t="s">
        <v>75</v>
      </c>
      <c r="AP13" s="4">
        <v>42.4</v>
      </c>
      <c r="AQ13" s="4">
        <v>54.2</v>
      </c>
      <c r="AR13" s="4">
        <v>10</v>
      </c>
      <c r="AS13" s="4">
        <v>38.299999999999997</v>
      </c>
      <c r="AT13" s="4">
        <v>7.9</v>
      </c>
      <c r="AU13" s="4">
        <v>2.17</v>
      </c>
      <c r="AV13" s="4">
        <v>8.1</v>
      </c>
      <c r="AW13" s="4">
        <v>1.3</v>
      </c>
      <c r="AX13" s="4">
        <v>8.1999999999999993</v>
      </c>
      <c r="AY13" s="4">
        <v>1.6</v>
      </c>
      <c r="AZ13" s="4">
        <v>4.7</v>
      </c>
      <c r="BA13" s="4">
        <v>0.69</v>
      </c>
      <c r="BB13" s="4">
        <v>4.5999999999999996</v>
      </c>
      <c r="BC13" s="4">
        <v>0.74</v>
      </c>
      <c r="BD13" s="4">
        <v>3.1</v>
      </c>
      <c r="BE13" s="4">
        <v>0.5</v>
      </c>
      <c r="BF13" s="4" t="s">
        <v>68</v>
      </c>
      <c r="BG13" s="4">
        <v>0.7</v>
      </c>
      <c r="BH13" s="4">
        <v>11</v>
      </c>
      <c r="BI13" s="4">
        <v>7.3</v>
      </c>
      <c r="BJ13" s="4">
        <v>0.8</v>
      </c>
      <c r="BK13" s="25">
        <f t="shared" si="2"/>
        <v>93.091621754042137</v>
      </c>
      <c r="BL13">
        <f t="shared" si="0"/>
        <v>550</v>
      </c>
      <c r="BM13" s="257">
        <v>0.32558911384002653</v>
      </c>
      <c r="BN13" s="257">
        <v>3.7614780396061512E-3</v>
      </c>
      <c r="BO13" s="257">
        <v>0</v>
      </c>
      <c r="BP13" s="257">
        <v>0</v>
      </c>
      <c r="BQ13" s="257">
        <v>0</v>
      </c>
      <c r="BR13" s="257">
        <v>0</v>
      </c>
      <c r="BS13" s="257">
        <v>0</v>
      </c>
      <c r="BT13" s="257">
        <v>3.4295829184644317E-3</v>
      </c>
      <c r="BU13" s="257">
        <v>0</v>
      </c>
      <c r="BV13" s="257">
        <v>0</v>
      </c>
      <c r="BW13" s="257">
        <v>0.29649297488660253</v>
      </c>
      <c r="BX13" s="257">
        <v>0.15831397278460008</v>
      </c>
      <c r="BY13" s="257">
        <v>3.7614780396061512E-3</v>
      </c>
      <c r="BZ13" s="257">
        <v>0</v>
      </c>
      <c r="CA13" s="257">
        <v>0.20865139949109415</v>
      </c>
      <c r="CB13" s="257">
        <v>0</v>
      </c>
      <c r="CC13" s="257">
        <v>0</v>
      </c>
      <c r="CD13" s="257">
        <v>0</v>
      </c>
      <c r="CE13" s="257">
        <v>0</v>
      </c>
    </row>
    <row r="14" spans="1:83" x14ac:dyDescent="0.2">
      <c r="A14" s="2" t="s">
        <v>83</v>
      </c>
      <c r="B14" s="2" t="s">
        <v>421</v>
      </c>
      <c r="C14" s="7">
        <v>600</v>
      </c>
      <c r="D14" s="7">
        <v>700</v>
      </c>
      <c r="E14" s="7">
        <f t="shared" si="1"/>
        <v>650</v>
      </c>
      <c r="F14" s="4">
        <v>58.26</v>
      </c>
      <c r="G14" s="4">
        <v>19.8</v>
      </c>
      <c r="H14" s="4">
        <v>8.69</v>
      </c>
      <c r="I14" s="4">
        <v>0.19600000000000001</v>
      </c>
      <c r="J14" s="4">
        <v>1.74</v>
      </c>
      <c r="K14" s="4">
        <v>0.1</v>
      </c>
      <c r="L14" s="4">
        <v>0.06</v>
      </c>
      <c r="M14" s="4">
        <v>1.35</v>
      </c>
      <c r="N14" s="4">
        <v>0.82399999999999995</v>
      </c>
      <c r="O14" s="4">
        <v>0.06</v>
      </c>
      <c r="P14" s="4">
        <v>9.25</v>
      </c>
      <c r="Q14" s="4">
        <v>100.3</v>
      </c>
      <c r="R14" s="4">
        <v>23</v>
      </c>
      <c r="S14" s="4">
        <v>3</v>
      </c>
      <c r="T14" s="4">
        <v>146</v>
      </c>
      <c r="U14" s="4">
        <v>30</v>
      </c>
      <c r="V14" s="4">
        <v>37</v>
      </c>
      <c r="W14" s="4">
        <v>40</v>
      </c>
      <c r="X14" s="4">
        <v>30</v>
      </c>
      <c r="Y14" s="4">
        <v>130</v>
      </c>
      <c r="Z14" s="4">
        <v>25</v>
      </c>
      <c r="AA14" s="4">
        <v>2</v>
      </c>
      <c r="AB14" s="4" t="s">
        <v>71</v>
      </c>
      <c r="AC14" s="4">
        <v>130</v>
      </c>
      <c r="AD14" s="4">
        <v>10</v>
      </c>
      <c r="AE14" s="4">
        <v>30</v>
      </c>
      <c r="AF14" s="4">
        <v>141</v>
      </c>
      <c r="AG14" s="4">
        <v>9</v>
      </c>
      <c r="AH14" s="4" t="s">
        <v>72</v>
      </c>
      <c r="AI14" s="4" t="s">
        <v>74</v>
      </c>
      <c r="AJ14" s="4" t="s">
        <v>73</v>
      </c>
      <c r="AK14" s="4">
        <v>5</v>
      </c>
      <c r="AL14" s="4" t="s">
        <v>74</v>
      </c>
      <c r="AM14" s="4">
        <v>2.5</v>
      </c>
      <c r="AN14" s="4">
        <v>266</v>
      </c>
      <c r="AO14" s="4" t="s">
        <v>75</v>
      </c>
      <c r="AP14" s="4">
        <v>27.1</v>
      </c>
      <c r="AQ14" s="4">
        <v>68.400000000000006</v>
      </c>
      <c r="AR14" s="4">
        <v>6.68</v>
      </c>
      <c r="AS14" s="4">
        <v>25.8</v>
      </c>
      <c r="AT14" s="4">
        <v>5.3</v>
      </c>
      <c r="AU14" s="4">
        <v>1.42</v>
      </c>
      <c r="AV14" s="4">
        <v>5.5</v>
      </c>
      <c r="AW14" s="4">
        <v>0.9</v>
      </c>
      <c r="AX14" s="4">
        <v>5.3</v>
      </c>
      <c r="AY14" s="4">
        <v>1.1000000000000001</v>
      </c>
      <c r="AZ14" s="4">
        <v>3.1</v>
      </c>
      <c r="BA14" s="4">
        <v>0.46</v>
      </c>
      <c r="BB14" s="4">
        <v>3.1</v>
      </c>
      <c r="BC14" s="4">
        <v>0.49</v>
      </c>
      <c r="BD14" s="4">
        <v>3.6</v>
      </c>
      <c r="BE14" s="4">
        <v>0.5</v>
      </c>
      <c r="BF14" s="4" t="s">
        <v>68</v>
      </c>
      <c r="BG14" s="4">
        <v>0.7</v>
      </c>
      <c r="BH14" s="4">
        <v>14</v>
      </c>
      <c r="BI14" s="4">
        <v>10.6</v>
      </c>
      <c r="BJ14" s="4">
        <v>1</v>
      </c>
      <c r="BK14" s="25">
        <f t="shared" si="2"/>
        <v>92.914124824026274</v>
      </c>
      <c r="BL14">
        <f t="shared" si="0"/>
        <v>650</v>
      </c>
      <c r="BM14" s="257">
        <v>0.3422543031649084</v>
      </c>
      <c r="BN14" s="257">
        <v>8.8839533592448641E-4</v>
      </c>
      <c r="BO14" s="257">
        <v>0</v>
      </c>
      <c r="BP14" s="257">
        <v>0</v>
      </c>
      <c r="BQ14" s="257">
        <v>0</v>
      </c>
      <c r="BR14" s="257">
        <v>0</v>
      </c>
      <c r="BS14" s="257">
        <v>0</v>
      </c>
      <c r="BT14" s="257">
        <v>1.4880621876735148E-2</v>
      </c>
      <c r="BU14" s="257">
        <v>0</v>
      </c>
      <c r="BV14" s="257">
        <v>0</v>
      </c>
      <c r="BW14" s="257">
        <v>0.27018323153803442</v>
      </c>
      <c r="BX14" s="257">
        <v>0.17245974458634092</v>
      </c>
      <c r="BY14" s="257">
        <v>2.7762354247640201E-3</v>
      </c>
      <c r="BZ14" s="257">
        <v>0</v>
      </c>
      <c r="CA14" s="257">
        <v>0.19655746807329261</v>
      </c>
      <c r="CB14" s="257">
        <v>0</v>
      </c>
      <c r="CC14" s="257">
        <v>0</v>
      </c>
      <c r="CD14" s="257">
        <v>0</v>
      </c>
      <c r="CE14" s="257">
        <v>0</v>
      </c>
    </row>
    <row r="15" spans="1:83" x14ac:dyDescent="0.2">
      <c r="A15" s="2" t="s">
        <v>84</v>
      </c>
      <c r="B15" s="2" t="s">
        <v>421</v>
      </c>
      <c r="C15" s="7">
        <v>700</v>
      </c>
      <c r="D15" s="7">
        <v>800</v>
      </c>
      <c r="E15" s="7">
        <f t="shared" si="1"/>
        <v>750</v>
      </c>
      <c r="F15" s="4">
        <v>65.959999999999994</v>
      </c>
      <c r="G15" s="4">
        <v>17.55</v>
      </c>
      <c r="H15" s="4">
        <v>4.63</v>
      </c>
      <c r="I15" s="4">
        <v>0.1</v>
      </c>
      <c r="J15" s="4">
        <v>1.43</v>
      </c>
      <c r="K15" s="4">
        <v>0.15</v>
      </c>
      <c r="L15" s="4">
        <v>0.12</v>
      </c>
      <c r="M15" s="4">
        <v>1.26</v>
      </c>
      <c r="N15" s="4">
        <v>0.49399999999999999</v>
      </c>
      <c r="O15" s="4">
        <v>0.04</v>
      </c>
      <c r="P15" s="4">
        <v>7.7</v>
      </c>
      <c r="Q15" s="4">
        <v>99.43</v>
      </c>
      <c r="R15" s="4">
        <v>9</v>
      </c>
      <c r="S15" s="4">
        <v>3</v>
      </c>
      <c r="T15" s="4">
        <v>80</v>
      </c>
      <c r="U15" s="4" t="s">
        <v>69</v>
      </c>
      <c r="V15" s="4">
        <v>23</v>
      </c>
      <c r="W15" s="4">
        <v>30</v>
      </c>
      <c r="X15" s="4">
        <v>20</v>
      </c>
      <c r="Y15" s="4">
        <v>120</v>
      </c>
      <c r="Z15" s="4">
        <v>22</v>
      </c>
      <c r="AA15" s="4">
        <v>2</v>
      </c>
      <c r="AB15" s="4" t="s">
        <v>71</v>
      </c>
      <c r="AC15" s="4">
        <v>166</v>
      </c>
      <c r="AD15" s="4">
        <v>19</v>
      </c>
      <c r="AE15" s="4">
        <v>23</v>
      </c>
      <c r="AF15" s="4">
        <v>169</v>
      </c>
      <c r="AG15" s="4">
        <v>6</v>
      </c>
      <c r="AH15" s="4" t="s">
        <v>72</v>
      </c>
      <c r="AI15" s="4" t="s">
        <v>74</v>
      </c>
      <c r="AJ15" s="4" t="s">
        <v>73</v>
      </c>
      <c r="AK15" s="4">
        <v>3</v>
      </c>
      <c r="AL15" s="4" t="s">
        <v>74</v>
      </c>
      <c r="AM15" s="4">
        <v>1.5</v>
      </c>
      <c r="AN15" s="4">
        <v>295</v>
      </c>
      <c r="AO15" s="4" t="s">
        <v>75</v>
      </c>
      <c r="AP15" s="4">
        <v>29.8</v>
      </c>
      <c r="AQ15" s="4">
        <v>69.900000000000006</v>
      </c>
      <c r="AR15" s="4">
        <v>6.77</v>
      </c>
      <c r="AS15" s="4">
        <v>25.1</v>
      </c>
      <c r="AT15" s="4">
        <v>4.8</v>
      </c>
      <c r="AU15" s="4">
        <v>1.2</v>
      </c>
      <c r="AV15" s="4">
        <v>4.5999999999999996</v>
      </c>
      <c r="AW15" s="4">
        <v>0.7</v>
      </c>
      <c r="AX15" s="4">
        <v>4.2</v>
      </c>
      <c r="AY15" s="4">
        <v>0.8</v>
      </c>
      <c r="AZ15" s="4">
        <v>2.4</v>
      </c>
      <c r="BA15" s="4">
        <v>0.34</v>
      </c>
      <c r="BB15" s="4">
        <v>2.4</v>
      </c>
      <c r="BC15" s="4">
        <v>0.38</v>
      </c>
      <c r="BD15" s="4">
        <v>4.0999999999999996</v>
      </c>
      <c r="BE15" s="4">
        <v>0.3</v>
      </c>
      <c r="BF15" s="4" t="s">
        <v>68</v>
      </c>
      <c r="BG15" s="4">
        <v>0.6</v>
      </c>
      <c r="BH15" s="4">
        <v>10</v>
      </c>
      <c r="BI15" s="4">
        <v>17.2</v>
      </c>
      <c r="BJ15" s="4">
        <v>0.7</v>
      </c>
      <c r="BK15" s="25">
        <f t="shared" si="2"/>
        <v>91.981132075471692</v>
      </c>
      <c r="BL15">
        <f t="shared" si="0"/>
        <v>750</v>
      </c>
      <c r="BM15" s="257">
        <v>0.3706490006737031</v>
      </c>
      <c r="BN15" s="257">
        <v>3.3685156074556477E-4</v>
      </c>
      <c r="BO15" s="257">
        <v>0</v>
      </c>
      <c r="BP15" s="257">
        <v>0</v>
      </c>
      <c r="BQ15" s="257">
        <v>0</v>
      </c>
      <c r="BR15" s="257">
        <v>0</v>
      </c>
      <c r="BS15" s="257">
        <v>0</v>
      </c>
      <c r="BT15" s="257">
        <v>5.6141926790927469E-4</v>
      </c>
      <c r="BU15" s="257">
        <v>0</v>
      </c>
      <c r="BV15" s="257">
        <v>0</v>
      </c>
      <c r="BW15" s="257">
        <v>0.25870199865259375</v>
      </c>
      <c r="BX15" s="257">
        <v>0.14406018414551988</v>
      </c>
      <c r="BY15" s="257">
        <v>2.0211093644733886E-3</v>
      </c>
      <c r="BZ15" s="257">
        <v>0</v>
      </c>
      <c r="CA15" s="257">
        <v>0.22366943633505504</v>
      </c>
      <c r="CB15" s="257">
        <v>0</v>
      </c>
      <c r="CC15" s="257">
        <v>0</v>
      </c>
      <c r="CD15" s="257">
        <v>0</v>
      </c>
      <c r="CE15" s="257">
        <v>0</v>
      </c>
    </row>
    <row r="16" spans="1:83" x14ac:dyDescent="0.2">
      <c r="A16" s="2" t="s">
        <v>454</v>
      </c>
      <c r="B16" s="2"/>
      <c r="C16" s="2"/>
      <c r="D16" s="2"/>
      <c r="E16" s="2">
        <v>1000</v>
      </c>
      <c r="F16" s="4">
        <v>76.819999999999993</v>
      </c>
      <c r="G16" s="4">
        <v>13.74</v>
      </c>
      <c r="H16" s="4">
        <v>1.01</v>
      </c>
      <c r="I16" s="4">
        <v>1.6E-2</v>
      </c>
      <c r="J16" s="4">
        <v>0.09</v>
      </c>
      <c r="K16" s="4">
        <v>3.37</v>
      </c>
      <c r="L16" s="4">
        <v>3.91</v>
      </c>
      <c r="M16" s="4">
        <v>0.92</v>
      </c>
      <c r="N16" s="4">
        <v>2.7E-2</v>
      </c>
      <c r="O16" s="4" t="s">
        <v>94</v>
      </c>
      <c r="P16" s="4">
        <v>0.89</v>
      </c>
      <c r="Q16" s="4">
        <v>100.8</v>
      </c>
      <c r="R16" s="4" t="s">
        <v>68</v>
      </c>
      <c r="S16" s="4">
        <v>1</v>
      </c>
      <c r="T16" s="4">
        <v>7</v>
      </c>
      <c r="U16" s="4" t="s">
        <v>69</v>
      </c>
      <c r="V16" s="4">
        <v>3</v>
      </c>
      <c r="W16" s="4" t="s">
        <v>69</v>
      </c>
      <c r="X16" s="4">
        <v>60</v>
      </c>
      <c r="Y16" s="4" t="s">
        <v>70</v>
      </c>
      <c r="Z16" s="4">
        <v>11</v>
      </c>
      <c r="AA16" s="4" t="s">
        <v>68</v>
      </c>
      <c r="AB16" s="4" t="s">
        <v>71</v>
      </c>
      <c r="AC16" s="4">
        <v>25</v>
      </c>
      <c r="AD16" s="4">
        <v>431</v>
      </c>
      <c r="AE16" s="4">
        <v>2</v>
      </c>
      <c r="AF16" s="4">
        <v>59</v>
      </c>
      <c r="AG16" s="4" t="s">
        <v>68</v>
      </c>
      <c r="AH16" s="4" t="s">
        <v>72</v>
      </c>
      <c r="AI16" s="4" t="s">
        <v>74</v>
      </c>
      <c r="AJ16" s="4" t="s">
        <v>73</v>
      </c>
      <c r="AK16" s="4" t="s">
        <v>68</v>
      </c>
      <c r="AL16" s="4" t="s">
        <v>74</v>
      </c>
      <c r="AM16" s="4" t="s">
        <v>74</v>
      </c>
      <c r="AN16" s="4">
        <v>113</v>
      </c>
      <c r="AO16" s="4" t="s">
        <v>75</v>
      </c>
      <c r="AP16" s="4">
        <v>2.5</v>
      </c>
      <c r="AQ16" s="4">
        <v>4.0999999999999996</v>
      </c>
      <c r="AR16" s="4">
        <v>0.4</v>
      </c>
      <c r="AS16" s="4">
        <v>1.4</v>
      </c>
      <c r="AT16" s="4">
        <v>0.2</v>
      </c>
      <c r="AU16" s="4">
        <v>0.37</v>
      </c>
      <c r="AV16" s="4">
        <v>0.2</v>
      </c>
      <c r="AW16" s="4">
        <v>0</v>
      </c>
      <c r="AX16" s="4">
        <v>0.2</v>
      </c>
      <c r="AY16" s="4">
        <v>0</v>
      </c>
      <c r="AZ16" s="4">
        <v>0.1</v>
      </c>
      <c r="BA16" s="4">
        <v>0</v>
      </c>
      <c r="BB16" s="4">
        <v>0.3</v>
      </c>
      <c r="BC16" s="4">
        <v>0.05</v>
      </c>
      <c r="BD16" s="4">
        <v>2</v>
      </c>
      <c r="BE16" s="4" t="s">
        <v>79</v>
      </c>
      <c r="BF16" s="4" t="s">
        <v>68</v>
      </c>
      <c r="BG16" s="4">
        <v>0.1</v>
      </c>
      <c r="BH16" s="4">
        <v>6</v>
      </c>
      <c r="BI16" s="4">
        <v>0.7</v>
      </c>
      <c r="BJ16" s="4">
        <v>0.3</v>
      </c>
      <c r="BK16" s="25">
        <f t="shared" si="2"/>
        <v>62.625341841385598</v>
      </c>
    </row>
    <row r="17" spans="1:63" s="21" customFormat="1" x14ac:dyDescent="0.2">
      <c r="A17" s="19" t="s">
        <v>455</v>
      </c>
      <c r="B17" s="19"/>
      <c r="C17" s="19"/>
      <c r="D17" s="19"/>
      <c r="E17" s="19">
        <v>1000</v>
      </c>
      <c r="F17" s="20">
        <v>69.12</v>
      </c>
      <c r="G17" s="20">
        <v>15.87</v>
      </c>
      <c r="H17" s="20">
        <v>2.4500000000000002</v>
      </c>
      <c r="I17" s="20">
        <v>6.2E-2</v>
      </c>
      <c r="J17" s="20">
        <v>1.1100000000000001</v>
      </c>
      <c r="K17" s="20">
        <v>2.27</v>
      </c>
      <c r="L17" s="20">
        <v>4.8</v>
      </c>
      <c r="M17" s="20">
        <v>3.17</v>
      </c>
      <c r="N17" s="20">
        <v>0.25700000000000001</v>
      </c>
      <c r="O17" s="20">
        <v>0.06</v>
      </c>
      <c r="P17" s="20">
        <v>0.37</v>
      </c>
      <c r="Q17" s="20">
        <v>99.53</v>
      </c>
      <c r="R17" s="20">
        <v>4</v>
      </c>
      <c r="S17" s="20">
        <v>2</v>
      </c>
      <c r="T17" s="20">
        <v>25</v>
      </c>
      <c r="U17" s="20">
        <v>190</v>
      </c>
      <c r="V17" s="20">
        <v>4</v>
      </c>
      <c r="W17" s="20">
        <v>40</v>
      </c>
      <c r="X17" s="20">
        <v>30</v>
      </c>
      <c r="Y17" s="20">
        <v>50</v>
      </c>
      <c r="Z17" s="20">
        <v>16</v>
      </c>
      <c r="AA17" s="20">
        <v>1</v>
      </c>
      <c r="AB17" s="20" t="s">
        <v>71</v>
      </c>
      <c r="AC17" s="20">
        <v>95</v>
      </c>
      <c r="AD17" s="20">
        <v>452</v>
      </c>
      <c r="AE17" s="20">
        <v>14</v>
      </c>
      <c r="AF17" s="20">
        <v>157</v>
      </c>
      <c r="AG17" s="20">
        <v>4</v>
      </c>
      <c r="AH17" s="20">
        <v>4</v>
      </c>
      <c r="AI17" s="20" t="s">
        <v>74</v>
      </c>
      <c r="AJ17" s="20" t="s">
        <v>73</v>
      </c>
      <c r="AK17" s="20">
        <v>1</v>
      </c>
      <c r="AL17" s="20" t="s">
        <v>74</v>
      </c>
      <c r="AM17" s="20">
        <v>1.8</v>
      </c>
      <c r="AN17" s="20">
        <v>667</v>
      </c>
      <c r="AO17" s="20" t="s">
        <v>75</v>
      </c>
      <c r="AP17" s="20">
        <v>15.6</v>
      </c>
      <c r="AQ17" s="20">
        <v>32.700000000000003</v>
      </c>
      <c r="AR17" s="20">
        <v>3.6</v>
      </c>
      <c r="AS17" s="20">
        <v>13.5</v>
      </c>
      <c r="AT17" s="20">
        <v>2.5</v>
      </c>
      <c r="AU17" s="20">
        <v>0.63</v>
      </c>
      <c r="AV17" s="20">
        <v>2.2999999999999998</v>
      </c>
      <c r="AW17" s="20">
        <v>0.4</v>
      </c>
      <c r="AX17" s="20">
        <v>2.4</v>
      </c>
      <c r="AY17" s="20">
        <v>0.5</v>
      </c>
      <c r="AZ17" s="20">
        <v>1.6</v>
      </c>
      <c r="BA17" s="20">
        <v>0.28000000000000003</v>
      </c>
      <c r="BB17" s="20">
        <v>2</v>
      </c>
      <c r="BC17" s="20">
        <v>0.33</v>
      </c>
      <c r="BD17" s="20">
        <v>4.7</v>
      </c>
      <c r="BE17" s="20">
        <v>0.6</v>
      </c>
      <c r="BF17" s="20" t="s">
        <v>68</v>
      </c>
      <c r="BG17" s="20">
        <v>0.3</v>
      </c>
      <c r="BH17" s="20">
        <v>15</v>
      </c>
      <c r="BI17" s="20">
        <v>5.9</v>
      </c>
      <c r="BJ17" s="20">
        <v>1.6</v>
      </c>
      <c r="BK17" s="25">
        <f t="shared" si="2"/>
        <v>60.781309842972043</v>
      </c>
    </row>
    <row r="19" spans="1:63" x14ac:dyDescent="0.2">
      <c r="A19" s="7" t="s">
        <v>503</v>
      </c>
    </row>
    <row r="20" spans="1:63" x14ac:dyDescent="0.2">
      <c r="AE20" s="260" t="s">
        <v>660</v>
      </c>
      <c r="AG20" s="260" t="s">
        <v>661</v>
      </c>
      <c r="AM20" s="260" t="s">
        <v>657</v>
      </c>
      <c r="AP20" s="4" t="s">
        <v>39</v>
      </c>
      <c r="AQ20" s="4" t="s">
        <v>40</v>
      </c>
      <c r="AR20" s="4" t="s">
        <v>41</v>
      </c>
      <c r="AS20" s="4" t="s">
        <v>42</v>
      </c>
      <c r="AT20" s="4" t="s">
        <v>43</v>
      </c>
      <c r="AU20" s="4" t="s">
        <v>44</v>
      </c>
      <c r="AV20" s="4" t="s">
        <v>45</v>
      </c>
      <c r="AW20" s="4" t="s">
        <v>46</v>
      </c>
      <c r="AX20" s="4" t="s">
        <v>47</v>
      </c>
      <c r="AY20" s="4" t="s">
        <v>48</v>
      </c>
      <c r="AZ20" s="4" t="s">
        <v>49</v>
      </c>
      <c r="BA20" s="4" t="s">
        <v>50</v>
      </c>
      <c r="BB20" s="4" t="s">
        <v>51</v>
      </c>
      <c r="BC20" s="4" t="s">
        <v>52</v>
      </c>
      <c r="BE20" s="4" t="s">
        <v>625</v>
      </c>
      <c r="BF20" s="38" t="s">
        <v>626</v>
      </c>
      <c r="BH20" s="260" t="s">
        <v>648</v>
      </c>
      <c r="BJ20" s="260" t="s">
        <v>657</v>
      </c>
    </row>
    <row r="21" spans="1:63" x14ac:dyDescent="0.2">
      <c r="AE21" s="352">
        <v>1.56</v>
      </c>
      <c r="AG21" s="351">
        <v>5.5599999999999997E-2</v>
      </c>
      <c r="AO21" s="11" t="s">
        <v>440</v>
      </c>
      <c r="AP21" s="12">
        <v>0.36699999999999999</v>
      </c>
      <c r="AQ21" s="12">
        <v>0.95699999999999996</v>
      </c>
      <c r="AR21" s="12">
        <v>0.13700000000000001</v>
      </c>
      <c r="AS21" s="12">
        <v>0.71099999999999997</v>
      </c>
      <c r="AT21" s="12">
        <v>0.23100000000000001</v>
      </c>
      <c r="AU21" s="12">
        <v>8.6999999999999994E-2</v>
      </c>
      <c r="AV21" s="12">
        <v>0.30599999999999999</v>
      </c>
      <c r="AW21" s="12">
        <v>5.8000000000000003E-2</v>
      </c>
      <c r="AX21" s="12">
        <v>0.38100000000000001</v>
      </c>
      <c r="AY21" s="12">
        <v>8.5000000000000006E-2</v>
      </c>
      <c r="AZ21" s="12">
        <v>0.249</v>
      </c>
      <c r="BA21" s="12">
        <v>3.5999999999999997E-2</v>
      </c>
      <c r="BB21" s="12">
        <v>0.248</v>
      </c>
      <c r="BC21" s="12">
        <v>3.7999999999999999E-2</v>
      </c>
      <c r="BD21" s="16" t="s">
        <v>441</v>
      </c>
      <c r="BE21" s="257"/>
    </row>
    <row r="22" spans="1:63" x14ac:dyDescent="0.2">
      <c r="AE22" s="39">
        <f t="shared" ref="AE22:AE30" si="3">AE7/AE$21</f>
        <v>4.4871794871794872</v>
      </c>
      <c r="AG22">
        <f>AY7/AG$21</f>
        <v>5.3956834532374103</v>
      </c>
      <c r="AM22">
        <f>AE22/AG22</f>
        <v>0.83162393162393156</v>
      </c>
      <c r="AO22">
        <f t="shared" ref="AO22:AO30" si="4">E7</f>
        <v>6.5</v>
      </c>
      <c r="AP22" s="39">
        <f>AP7/AP$21</f>
        <v>21.525885558583109</v>
      </c>
      <c r="AQ22" s="39">
        <f t="shared" ref="AQ22:BC22" si="5">AQ7/AQ$21</f>
        <v>15.987460815047024</v>
      </c>
      <c r="AR22" s="39">
        <f t="shared" si="5"/>
        <v>12.043795620437955</v>
      </c>
      <c r="AS22" s="39">
        <f t="shared" si="5"/>
        <v>7.59493670886076</v>
      </c>
      <c r="AT22" s="39">
        <f t="shared" si="5"/>
        <v>5.1948051948051948</v>
      </c>
      <c r="AU22" s="39">
        <f t="shared" si="5"/>
        <v>3.1034482758620694</v>
      </c>
      <c r="AV22" s="39">
        <f t="shared" si="5"/>
        <v>3.5947712418300659</v>
      </c>
      <c r="AW22" s="39">
        <f t="shared" si="5"/>
        <v>3.4482758620689657</v>
      </c>
      <c r="AX22" s="39">
        <f t="shared" si="5"/>
        <v>3.1496062992125982</v>
      </c>
      <c r="AY22" s="39">
        <f t="shared" si="5"/>
        <v>3.5294117647058818</v>
      </c>
      <c r="AZ22" s="39">
        <f t="shared" si="5"/>
        <v>3.2128514056224899</v>
      </c>
      <c r="BA22" s="39">
        <f t="shared" si="5"/>
        <v>3.3333333333333335</v>
      </c>
      <c r="BB22" s="39">
        <f t="shared" si="5"/>
        <v>3.6290322580645165</v>
      </c>
      <c r="BC22" s="39">
        <f t="shared" si="5"/>
        <v>4.4736842105263159</v>
      </c>
      <c r="BD22" s="16">
        <f t="shared" ref="BD22:BD30" si="6">SUM(AP7:BC7)</f>
        <v>36.51</v>
      </c>
      <c r="BE22" s="257">
        <f>AQ7/(AQ7+AP7)</f>
        <v>0.65948275862068961</v>
      </c>
      <c r="BF22">
        <f>G7+H7+P7</f>
        <v>21.16</v>
      </c>
      <c r="BH22" s="333">
        <f>3*AQ22/(2*AP22+AS22)</f>
        <v>0.94699901541267706</v>
      </c>
    </row>
    <row r="23" spans="1:63" x14ac:dyDescent="0.2">
      <c r="AE23" s="39">
        <f t="shared" si="3"/>
        <v>4.4871794871794872</v>
      </c>
      <c r="AG23">
        <f t="shared" ref="AG23:AG30" si="7">AY8/AG$21</f>
        <v>5.3956834532374103</v>
      </c>
      <c r="AM23">
        <f t="shared" ref="AM23:AM30" si="8">AE23/AG23</f>
        <v>0.83162393162393156</v>
      </c>
      <c r="AO23">
        <f t="shared" si="4"/>
        <v>46.5</v>
      </c>
      <c r="AP23" s="39">
        <f t="shared" ref="AP23:BC23" si="9">AP8/AP$21</f>
        <v>31.062670299727522</v>
      </c>
      <c r="AQ23" s="39">
        <f t="shared" si="9"/>
        <v>26.018808777429467</v>
      </c>
      <c r="AR23" s="39">
        <f t="shared" si="9"/>
        <v>18.175182481751825</v>
      </c>
      <c r="AS23" s="39">
        <f t="shared" si="9"/>
        <v>12.517580872011253</v>
      </c>
      <c r="AT23" s="39">
        <f t="shared" si="9"/>
        <v>7.3593073593073584</v>
      </c>
      <c r="AU23" s="39">
        <f t="shared" si="9"/>
        <v>5.0574712643678161</v>
      </c>
      <c r="AV23" s="39">
        <f t="shared" si="9"/>
        <v>4.5751633986928102</v>
      </c>
      <c r="AW23" s="39">
        <f t="shared" si="9"/>
        <v>3.4482758620689657</v>
      </c>
      <c r="AX23" s="39">
        <f t="shared" si="9"/>
        <v>3.674540682414698</v>
      </c>
      <c r="AY23" s="39">
        <f t="shared" si="9"/>
        <v>3.5294117647058818</v>
      </c>
      <c r="AZ23" s="39">
        <f t="shared" si="9"/>
        <v>3.6144578313253013</v>
      </c>
      <c r="BA23" s="39">
        <f t="shared" si="9"/>
        <v>3.8888888888888897</v>
      </c>
      <c r="BB23" s="39">
        <f t="shared" si="9"/>
        <v>3.6290322580645165</v>
      </c>
      <c r="BC23" s="39">
        <f t="shared" si="9"/>
        <v>4.2105263157894735</v>
      </c>
      <c r="BD23" s="16">
        <f t="shared" si="6"/>
        <v>55.22999999999999</v>
      </c>
      <c r="BE23" s="257">
        <f t="shared" ref="BE23:BE30" si="10">AQ8/(AQ8+AP8)</f>
        <v>0.68595041322314054</v>
      </c>
      <c r="BF23">
        <f t="shared" ref="BF23:BF30" si="11">G8+H8+P8</f>
        <v>45.89</v>
      </c>
      <c r="BH23" s="333">
        <f t="shared" ref="BH23:BH30" si="12">3*AQ23/(2*AP23+AS23)</f>
        <v>1.0457311261875915</v>
      </c>
    </row>
    <row r="24" spans="1:63" x14ac:dyDescent="0.2">
      <c r="AE24" s="39">
        <f t="shared" si="3"/>
        <v>6.4102564102564097</v>
      </c>
      <c r="AG24">
        <f t="shared" si="7"/>
        <v>7.1942446043165473</v>
      </c>
      <c r="AM24">
        <f t="shared" si="8"/>
        <v>0.89102564102564086</v>
      </c>
      <c r="AO24">
        <f t="shared" si="4"/>
        <v>96.5</v>
      </c>
      <c r="AP24" s="39">
        <f t="shared" ref="AP24:BC24" si="13">AP9/AP$21</f>
        <v>33.242506811989102</v>
      </c>
      <c r="AQ24" s="39">
        <f t="shared" si="13"/>
        <v>33.124346917450367</v>
      </c>
      <c r="AR24" s="39">
        <f t="shared" si="13"/>
        <v>24.160583941605839</v>
      </c>
      <c r="AS24" s="39">
        <f t="shared" si="13"/>
        <v>18.002812939521803</v>
      </c>
      <c r="AT24" s="39">
        <f t="shared" si="13"/>
        <v>10.822510822510822</v>
      </c>
      <c r="AU24" s="39">
        <f t="shared" si="13"/>
        <v>7.4712643678160928</v>
      </c>
      <c r="AV24" s="39">
        <f t="shared" si="13"/>
        <v>6.8627450980392162</v>
      </c>
      <c r="AW24" s="39">
        <f t="shared" si="13"/>
        <v>5.1724137931034475</v>
      </c>
      <c r="AX24" s="39">
        <f t="shared" si="13"/>
        <v>4.9868766404199469</v>
      </c>
      <c r="AY24" s="39">
        <f t="shared" si="13"/>
        <v>4.7058823529411766</v>
      </c>
      <c r="AZ24" s="39">
        <f t="shared" si="13"/>
        <v>4.4176706827309244</v>
      </c>
      <c r="BA24" s="39">
        <f t="shared" si="13"/>
        <v>5</v>
      </c>
      <c r="BB24" s="39">
        <f t="shared" si="13"/>
        <v>5.241935483870968</v>
      </c>
      <c r="BC24" s="39">
        <f t="shared" si="13"/>
        <v>5.2631578947368425</v>
      </c>
      <c r="BD24" s="16">
        <f t="shared" si="6"/>
        <v>70.640000000000015</v>
      </c>
      <c r="BE24" s="257">
        <f t="shared" si="10"/>
        <v>0.72209567198177682</v>
      </c>
      <c r="BF24">
        <f t="shared" si="11"/>
        <v>49.82</v>
      </c>
      <c r="BH24" s="333">
        <f t="shared" si="12"/>
        <v>1.1761817624419957</v>
      </c>
    </row>
    <row r="25" spans="1:63" x14ac:dyDescent="0.2">
      <c r="AE25" s="39">
        <f t="shared" si="3"/>
        <v>5.7692307692307692</v>
      </c>
      <c r="AG25">
        <f t="shared" si="7"/>
        <v>8.9928057553956844</v>
      </c>
      <c r="AM25">
        <f t="shared" si="8"/>
        <v>0.6415384615384615</v>
      </c>
      <c r="AO25">
        <f t="shared" si="4"/>
        <v>146.5</v>
      </c>
      <c r="AP25" s="39">
        <f t="shared" ref="AP25:BC25" si="14">AP10/AP$21</f>
        <v>32.970027247956402</v>
      </c>
      <c r="AQ25" s="39">
        <f t="shared" si="14"/>
        <v>41.797283176593524</v>
      </c>
      <c r="AR25" s="39">
        <f t="shared" si="14"/>
        <v>26.642335766423354</v>
      </c>
      <c r="AS25" s="39">
        <f t="shared" si="14"/>
        <v>20.393811533052041</v>
      </c>
      <c r="AT25" s="39">
        <f t="shared" si="14"/>
        <v>13.419913419913419</v>
      </c>
      <c r="AU25" s="39">
        <f t="shared" si="14"/>
        <v>9.1954022988505759</v>
      </c>
      <c r="AV25" s="39">
        <f t="shared" si="14"/>
        <v>8.1699346405228752</v>
      </c>
      <c r="AW25" s="39">
        <f t="shared" si="14"/>
        <v>6.8965517241379315</v>
      </c>
      <c r="AX25" s="39">
        <f t="shared" si="14"/>
        <v>6.2992125984251963</v>
      </c>
      <c r="AY25" s="39">
        <f t="shared" si="14"/>
        <v>5.8823529411764701</v>
      </c>
      <c r="AZ25" s="39">
        <f t="shared" si="14"/>
        <v>5.6224899598393572</v>
      </c>
      <c r="BA25" s="39">
        <f t="shared" si="14"/>
        <v>6.1111111111111116</v>
      </c>
      <c r="BB25" s="39">
        <f t="shared" si="14"/>
        <v>6.0483870967741939</v>
      </c>
      <c r="BC25" s="39">
        <f t="shared" si="14"/>
        <v>6.3157894736842106</v>
      </c>
      <c r="BD25" s="16">
        <f t="shared" si="6"/>
        <v>83.31</v>
      </c>
      <c r="BE25" s="257">
        <f t="shared" si="10"/>
        <v>0.76775431861804222</v>
      </c>
      <c r="BF25">
        <f t="shared" si="11"/>
        <v>48.559999999999995</v>
      </c>
      <c r="BH25" s="333">
        <f t="shared" si="12"/>
        <v>1.4524062838528724</v>
      </c>
    </row>
    <row r="26" spans="1:63" x14ac:dyDescent="0.2">
      <c r="AE26" s="39">
        <f t="shared" si="3"/>
        <v>19.871794871794872</v>
      </c>
      <c r="AG26">
        <f t="shared" si="7"/>
        <v>19.784172661870507</v>
      </c>
      <c r="AM26">
        <f t="shared" si="8"/>
        <v>1.0044289044289043</v>
      </c>
      <c r="AO26">
        <f t="shared" si="4"/>
        <v>300</v>
      </c>
      <c r="AP26" s="39">
        <f t="shared" ref="AP26:BC26" si="15">AP11/AP$21</f>
        <v>107.62942779291554</v>
      </c>
      <c r="AQ26" s="39">
        <f t="shared" si="15"/>
        <v>91.536050156739805</v>
      </c>
      <c r="AR26" s="39">
        <f t="shared" si="15"/>
        <v>78.832116788321173</v>
      </c>
      <c r="AS26" s="39">
        <f t="shared" si="15"/>
        <v>61.462728551336156</v>
      </c>
      <c r="AT26" s="39">
        <f t="shared" si="15"/>
        <v>38.528138528138527</v>
      </c>
      <c r="AU26" s="39">
        <f t="shared" si="15"/>
        <v>24.827586206896555</v>
      </c>
      <c r="AV26" s="39">
        <f t="shared" si="15"/>
        <v>23.529411764705884</v>
      </c>
      <c r="AW26" s="39">
        <f t="shared" si="15"/>
        <v>17.241379310344826</v>
      </c>
      <c r="AX26" s="39">
        <f t="shared" si="15"/>
        <v>15.485564304461944</v>
      </c>
      <c r="AY26" s="39">
        <f t="shared" si="15"/>
        <v>12.941176470588236</v>
      </c>
      <c r="AZ26" s="39">
        <f t="shared" si="15"/>
        <v>13.253012048192771</v>
      </c>
      <c r="BA26" s="39">
        <f t="shared" si="15"/>
        <v>13.611111111111112</v>
      </c>
      <c r="BB26" s="39">
        <f t="shared" si="15"/>
        <v>13.709677419354838</v>
      </c>
      <c r="BC26" s="39">
        <f t="shared" si="15"/>
        <v>14.210526315789474</v>
      </c>
      <c r="BD26" s="16">
        <f t="shared" si="6"/>
        <v>215.59000000000003</v>
      </c>
      <c r="BE26" s="257">
        <f t="shared" si="10"/>
        <v>0.68922108575924468</v>
      </c>
      <c r="BF26">
        <f t="shared" si="11"/>
        <v>36.36</v>
      </c>
      <c r="BH26" s="333">
        <f t="shared" si="12"/>
        <v>0.99236259913176772</v>
      </c>
    </row>
    <row r="27" spans="1:63" ht="17" x14ac:dyDescent="0.25">
      <c r="A27" t="s">
        <v>469</v>
      </c>
      <c r="B27" t="s">
        <v>466</v>
      </c>
      <c r="C27" t="s">
        <v>467</v>
      </c>
      <c r="D27" t="s">
        <v>468</v>
      </c>
      <c r="E27" s="260" t="s">
        <v>622</v>
      </c>
      <c r="F27" s="260" t="s">
        <v>623</v>
      </c>
      <c r="G27" s="260" t="s">
        <v>5</v>
      </c>
      <c r="H27" s="293" t="s">
        <v>620</v>
      </c>
      <c r="I27" s="260" t="s">
        <v>7</v>
      </c>
      <c r="J27" s="260" t="s">
        <v>8</v>
      </c>
      <c r="K27" s="260" t="s">
        <v>9</v>
      </c>
      <c r="L27" s="260" t="s">
        <v>10</v>
      </c>
      <c r="M27" s="260" t="s">
        <v>11</v>
      </c>
      <c r="N27" s="293" t="s">
        <v>621</v>
      </c>
      <c r="O27" s="260" t="s">
        <v>624</v>
      </c>
      <c r="AE27" s="39">
        <f t="shared" si="3"/>
        <v>30.769230769230766</v>
      </c>
      <c r="AG27">
        <f t="shared" si="7"/>
        <v>28.776978417266189</v>
      </c>
      <c r="AM27">
        <f t="shared" si="8"/>
        <v>1.069230769230769</v>
      </c>
      <c r="AO27">
        <f t="shared" si="4"/>
        <v>450</v>
      </c>
      <c r="AP27" s="39">
        <f t="shared" ref="AP27:BC27" si="16">AP12/AP$21</f>
        <v>148.22888283378745</v>
      </c>
      <c r="AQ27" s="39">
        <f t="shared" si="16"/>
        <v>64.367816091954026</v>
      </c>
      <c r="AR27" s="39">
        <f t="shared" si="16"/>
        <v>94.890510948905103</v>
      </c>
      <c r="AS27" s="39">
        <f t="shared" si="16"/>
        <v>69.338959212376935</v>
      </c>
      <c r="AT27" s="39">
        <f t="shared" si="16"/>
        <v>42.857142857142854</v>
      </c>
      <c r="AU27" s="39">
        <f t="shared" si="16"/>
        <v>28.27586206896552</v>
      </c>
      <c r="AV27" s="39">
        <f t="shared" si="16"/>
        <v>29.738562091503269</v>
      </c>
      <c r="AW27" s="39">
        <f t="shared" si="16"/>
        <v>22.413793103448274</v>
      </c>
      <c r="AX27" s="39">
        <f t="shared" si="16"/>
        <v>21.259842519685037</v>
      </c>
      <c r="AY27" s="39">
        <f t="shared" si="16"/>
        <v>18.823529411764707</v>
      </c>
      <c r="AZ27" s="39">
        <f t="shared" si="16"/>
        <v>18.473895582329316</v>
      </c>
      <c r="BA27" s="39">
        <f t="shared" si="16"/>
        <v>19.444444444444446</v>
      </c>
      <c r="BB27" s="39">
        <f t="shared" si="16"/>
        <v>18.951612903225808</v>
      </c>
      <c r="BC27" s="39">
        <f t="shared" si="16"/>
        <v>18.94736842105263</v>
      </c>
      <c r="BD27" s="16">
        <f t="shared" si="6"/>
        <v>221.48</v>
      </c>
      <c r="BE27" s="257">
        <f t="shared" si="10"/>
        <v>0.53103448275862075</v>
      </c>
      <c r="BF27">
        <f t="shared" si="11"/>
        <v>34.46</v>
      </c>
      <c r="BH27" s="333">
        <f t="shared" si="12"/>
        <v>0.52789824277195296</v>
      </c>
    </row>
    <row r="28" spans="1:63" ht="16" x14ac:dyDescent="0.2">
      <c r="A28" t="str">
        <f>A7</f>
        <v xml:space="preserve">R1C2EA01 </v>
      </c>
      <c r="B28" s="25">
        <f>100*G7/(G7+K7+L7)</f>
        <v>98.168870803662259</v>
      </c>
      <c r="C28" s="25">
        <f>100*G7/(G7+K7+M7+L7)</f>
        <v>95.450049455984185</v>
      </c>
      <c r="D28" s="25">
        <f>100*((2*L7/0.35)+(J7/0.9)+(2*M7/0.25)+(K7/0.7))</f>
        <v>286.53968253968259</v>
      </c>
      <c r="E28" s="303">
        <f>((F7/F$15)*($N$15/$N7))-1</f>
        <v>-1.8992132935648387E-2</v>
      </c>
      <c r="F28" s="303">
        <f t="shared" ref="F28:O28" si="17">((G7/G$15)*($N$15/$N7))-1</f>
        <v>-0.538044847568657</v>
      </c>
      <c r="G28" s="303">
        <f t="shared" si="17"/>
        <v>-0.22881679669708044</v>
      </c>
      <c r="H28" s="303">
        <f t="shared" si="17"/>
        <v>-0.6975510204081633</v>
      </c>
      <c r="I28" s="303">
        <f t="shared" si="17"/>
        <v>-0.94124922696351265</v>
      </c>
      <c r="J28" s="303">
        <f t="shared" si="17"/>
        <v>-0.32789115646258493</v>
      </c>
      <c r="K28" s="303">
        <f t="shared" si="17"/>
        <v>-0.57993197278911568</v>
      </c>
      <c r="L28" s="303">
        <f t="shared" si="17"/>
        <v>-0.81330309901738473</v>
      </c>
      <c r="M28" s="303">
        <f t="shared" si="17"/>
        <v>0</v>
      </c>
      <c r="N28" s="303">
        <f t="shared" si="17"/>
        <v>0.89030612244897966</v>
      </c>
      <c r="O28" s="303">
        <f t="shared" si="17"/>
        <v>-0.20787172011661803</v>
      </c>
      <c r="AE28" s="39">
        <f t="shared" si="3"/>
        <v>30.769230769230766</v>
      </c>
      <c r="AG28">
        <f t="shared" si="7"/>
        <v>28.776978417266189</v>
      </c>
      <c r="AM28">
        <f t="shared" si="8"/>
        <v>1.069230769230769</v>
      </c>
      <c r="AO28">
        <f t="shared" si="4"/>
        <v>550</v>
      </c>
      <c r="AP28" s="39">
        <f t="shared" ref="AP28:BC28" si="18">AP13/AP$21</f>
        <v>115.53133514986376</v>
      </c>
      <c r="AQ28" s="39">
        <f t="shared" si="18"/>
        <v>56.635318704284224</v>
      </c>
      <c r="AR28" s="39">
        <f t="shared" si="18"/>
        <v>72.992700729926995</v>
      </c>
      <c r="AS28" s="39">
        <f t="shared" si="18"/>
        <v>53.867791842475384</v>
      </c>
      <c r="AT28" s="39">
        <f t="shared" si="18"/>
        <v>34.1991341991342</v>
      </c>
      <c r="AU28" s="39">
        <f t="shared" si="18"/>
        <v>24.942528735632184</v>
      </c>
      <c r="AV28" s="39">
        <f t="shared" si="18"/>
        <v>26.470588235294116</v>
      </c>
      <c r="AW28" s="39">
        <f t="shared" si="18"/>
        <v>22.413793103448274</v>
      </c>
      <c r="AX28" s="39">
        <f t="shared" si="18"/>
        <v>21.522309711286088</v>
      </c>
      <c r="AY28" s="39">
        <f t="shared" si="18"/>
        <v>18.823529411764707</v>
      </c>
      <c r="AZ28" s="39">
        <f t="shared" si="18"/>
        <v>18.875502008032129</v>
      </c>
      <c r="BA28" s="39">
        <f t="shared" si="18"/>
        <v>19.166666666666668</v>
      </c>
      <c r="BB28" s="39">
        <f t="shared" si="18"/>
        <v>18.548387096774192</v>
      </c>
      <c r="BC28" s="39">
        <f t="shared" si="18"/>
        <v>19.473684210526315</v>
      </c>
      <c r="BD28" s="16">
        <f t="shared" si="6"/>
        <v>184.89999999999995</v>
      </c>
      <c r="BE28" s="257">
        <f t="shared" si="10"/>
        <v>0.56107660455486552</v>
      </c>
      <c r="BF28">
        <f t="shared" si="11"/>
        <v>35.729999999999997</v>
      </c>
      <c r="BH28" s="333">
        <f t="shared" si="12"/>
        <v>0.59630674388214799</v>
      </c>
    </row>
    <row r="29" spans="1:63" ht="16" x14ac:dyDescent="0.2">
      <c r="A29" t="str">
        <f t="shared" ref="A29:A38" si="19">A8</f>
        <v xml:space="preserve">R1C2EA02 </v>
      </c>
      <c r="B29" s="25">
        <f t="shared" ref="B29:B38" si="20">100*G8/(G8+K8+L8)</f>
        <v>99.671592775041034</v>
      </c>
      <c r="C29" s="25">
        <f t="shared" ref="C29:C38" si="21">100*G8/(G8+K8+M8+L8)</f>
        <v>99.102040816326522</v>
      </c>
      <c r="D29" s="25">
        <f t="shared" ref="D29:D38" si="22">100*((2*L8/0.35)+(J8/0.9)+(2*M8/0.25)+(K8/0.7))</f>
        <v>154.06349206349208</v>
      </c>
      <c r="E29" s="303">
        <f t="shared" ref="E29:O36" si="23">((F8/F$15)*($N$15/$N8))-1</f>
        <v>-0.53982460560817902</v>
      </c>
      <c r="F29" s="303">
        <f t="shared" si="23"/>
        <v>-0.1978438532429142</v>
      </c>
      <c r="G29" s="303">
        <f t="shared" si="23"/>
        <v>0.20846388626938017</v>
      </c>
      <c r="H29" s="303">
        <f t="shared" si="23"/>
        <v>-0.8550469483568075</v>
      </c>
      <c r="I29" s="303">
        <f t="shared" si="23"/>
        <v>-0.9351259069568929</v>
      </c>
      <c r="J29" s="303">
        <f t="shared" si="23"/>
        <v>-0.80672926447574334</v>
      </c>
      <c r="K29" s="303">
        <f t="shared" si="23"/>
        <v>-0.8550469483568075</v>
      </c>
      <c r="L29" s="303">
        <f t="shared" si="23"/>
        <v>-0.93557642149191445</v>
      </c>
      <c r="M29" s="303">
        <f t="shared" si="23"/>
        <v>0</v>
      </c>
      <c r="N29" s="303">
        <f t="shared" si="23"/>
        <v>-0.42018779342723001</v>
      </c>
      <c r="O29" s="303">
        <f t="shared" si="23"/>
        <v>-9.9408572648009175E-2</v>
      </c>
      <c r="AE29" s="39">
        <f t="shared" si="3"/>
        <v>19.23076923076923</v>
      </c>
      <c r="AG29">
        <f t="shared" si="7"/>
        <v>19.784172661870507</v>
      </c>
      <c r="AM29">
        <f t="shared" si="8"/>
        <v>0.97202797202797186</v>
      </c>
      <c r="AO29">
        <f t="shared" si="4"/>
        <v>650</v>
      </c>
      <c r="AP29" s="39">
        <f t="shared" ref="AP29:BC29" si="24">AP14/AP$21</f>
        <v>73.841961852861047</v>
      </c>
      <c r="AQ29" s="39">
        <f t="shared" si="24"/>
        <v>71.473354231974923</v>
      </c>
      <c r="AR29" s="39">
        <f t="shared" si="24"/>
        <v>48.759124087591232</v>
      </c>
      <c r="AS29" s="39">
        <f t="shared" si="24"/>
        <v>36.286919831223635</v>
      </c>
      <c r="AT29" s="39">
        <f t="shared" si="24"/>
        <v>22.943722943722943</v>
      </c>
      <c r="AU29" s="39">
        <f t="shared" si="24"/>
        <v>16.321839080459771</v>
      </c>
      <c r="AV29" s="39">
        <f t="shared" si="24"/>
        <v>17.973856209150327</v>
      </c>
      <c r="AW29" s="39">
        <f t="shared" si="24"/>
        <v>15.517241379310345</v>
      </c>
      <c r="AX29" s="39">
        <f t="shared" si="24"/>
        <v>13.910761154855642</v>
      </c>
      <c r="AY29" s="39">
        <f t="shared" si="24"/>
        <v>12.941176470588236</v>
      </c>
      <c r="AZ29" s="39">
        <f t="shared" si="24"/>
        <v>12.449799196787149</v>
      </c>
      <c r="BA29" s="39">
        <f t="shared" si="24"/>
        <v>12.777777777777779</v>
      </c>
      <c r="BB29" s="39">
        <f t="shared" si="24"/>
        <v>12.5</v>
      </c>
      <c r="BC29" s="39">
        <f t="shared" si="24"/>
        <v>12.894736842105264</v>
      </c>
      <c r="BD29" s="16">
        <f t="shared" si="6"/>
        <v>154.65</v>
      </c>
      <c r="BE29" s="257">
        <f t="shared" si="10"/>
        <v>0.71623036649214666</v>
      </c>
      <c r="BF29">
        <f t="shared" si="11"/>
        <v>37.74</v>
      </c>
      <c r="BH29" s="333">
        <f t="shared" si="12"/>
        <v>1.1655111134654559</v>
      </c>
    </row>
    <row r="30" spans="1:63" ht="16" x14ac:dyDescent="0.2">
      <c r="A30" t="str">
        <f t="shared" si="19"/>
        <v xml:space="preserve">R1C2EA03 </v>
      </c>
      <c r="B30" s="25">
        <f t="shared" si="20"/>
        <v>99.725812769291025</v>
      </c>
      <c r="C30" s="25">
        <f t="shared" si="21"/>
        <v>99.220576773187844</v>
      </c>
      <c r="D30" s="25">
        <f t="shared" si="22"/>
        <v>152.25396825396825</v>
      </c>
      <c r="E30" s="303">
        <f t="shared" si="23"/>
        <v>-0.66523340176960111</v>
      </c>
      <c r="F30" s="303">
        <f t="shared" si="23"/>
        <v>-0.33581848762571653</v>
      </c>
      <c r="G30" s="303">
        <f t="shared" si="23"/>
        <v>0.17869317442556421</v>
      </c>
      <c r="H30" s="303">
        <f t="shared" si="23"/>
        <v>-0.85349397590361442</v>
      </c>
      <c r="I30" s="303">
        <f t="shared" si="23"/>
        <v>-0.93916926447046933</v>
      </c>
      <c r="J30" s="303">
        <f t="shared" si="23"/>
        <v>-0.90843373493975899</v>
      </c>
      <c r="K30" s="303">
        <f t="shared" si="23"/>
        <v>-0.84738955823293172</v>
      </c>
      <c r="L30" s="303">
        <f t="shared" si="23"/>
        <v>-0.95276343469114555</v>
      </c>
      <c r="M30" s="303">
        <f t="shared" si="23"/>
        <v>0</v>
      </c>
      <c r="N30" s="303">
        <f t="shared" si="23"/>
        <v>-0.19879518072289137</v>
      </c>
      <c r="O30" s="303">
        <f t="shared" si="23"/>
        <v>-0.26033484587701461</v>
      </c>
      <c r="AE30" s="39">
        <f t="shared" si="3"/>
        <v>14.743589743589743</v>
      </c>
      <c r="AG30">
        <f t="shared" si="7"/>
        <v>14.388489208633095</v>
      </c>
      <c r="AM30">
        <f t="shared" si="8"/>
        <v>1.0246794871794871</v>
      </c>
      <c r="AO30">
        <f t="shared" si="4"/>
        <v>750</v>
      </c>
      <c r="AP30" s="39">
        <f t="shared" ref="AP30:BC30" si="25">AP15/AP$21</f>
        <v>81.198910081743875</v>
      </c>
      <c r="AQ30" s="39">
        <f t="shared" si="25"/>
        <v>73.040752351097183</v>
      </c>
      <c r="AR30" s="39">
        <f t="shared" si="25"/>
        <v>49.416058394160579</v>
      </c>
      <c r="AS30" s="39">
        <f t="shared" si="25"/>
        <v>35.30239099859353</v>
      </c>
      <c r="AT30" s="39">
        <f t="shared" si="25"/>
        <v>20.779220779220779</v>
      </c>
      <c r="AU30" s="39">
        <f t="shared" si="25"/>
        <v>13.793103448275863</v>
      </c>
      <c r="AV30" s="39">
        <f t="shared" si="25"/>
        <v>15.032679738562091</v>
      </c>
      <c r="AW30" s="39">
        <f t="shared" si="25"/>
        <v>12.068965517241377</v>
      </c>
      <c r="AX30" s="39">
        <f t="shared" si="25"/>
        <v>11.023622047244094</v>
      </c>
      <c r="AY30" s="39">
        <f t="shared" si="25"/>
        <v>9.4117647058823533</v>
      </c>
      <c r="AZ30" s="39">
        <f t="shared" si="25"/>
        <v>9.6385542168674689</v>
      </c>
      <c r="BA30" s="39">
        <f t="shared" si="25"/>
        <v>9.4444444444444464</v>
      </c>
      <c r="BB30" s="39">
        <f t="shared" si="25"/>
        <v>9.67741935483871</v>
      </c>
      <c r="BC30" s="39">
        <f t="shared" si="25"/>
        <v>10</v>
      </c>
      <c r="BD30" s="16">
        <f t="shared" si="6"/>
        <v>153.38999999999999</v>
      </c>
      <c r="BE30" s="257">
        <f t="shared" si="10"/>
        <v>0.70110330992978942</v>
      </c>
      <c r="BF30">
        <f t="shared" si="11"/>
        <v>29.88</v>
      </c>
      <c r="BH30" s="333">
        <f t="shared" si="12"/>
        <v>1.1083562114845076</v>
      </c>
    </row>
    <row r="31" spans="1:63" ht="16" x14ac:dyDescent="0.2">
      <c r="A31" t="str">
        <f t="shared" si="19"/>
        <v xml:space="preserve">R1C2EA04 </v>
      </c>
      <c r="B31" s="25">
        <f t="shared" si="20"/>
        <v>99.747262005054765</v>
      </c>
      <c r="C31" s="25">
        <f t="shared" si="21"/>
        <v>99.28721174004194</v>
      </c>
      <c r="D31" s="25">
        <f t="shared" si="22"/>
        <v>131.49206349206349</v>
      </c>
      <c r="E31" s="303">
        <f t="shared" si="23"/>
        <v>-0.6588937002092794</v>
      </c>
      <c r="F31" s="303">
        <f t="shared" si="23"/>
        <v>-0.38396659136030675</v>
      </c>
      <c r="G31" s="303">
        <f t="shared" si="23"/>
        <v>0.19218869144812212</v>
      </c>
      <c r="H31" s="303">
        <f t="shared" si="23"/>
        <v>-0.84020332717190382</v>
      </c>
      <c r="I31" s="303">
        <f t="shared" si="23"/>
        <v>-0.94891614854646278</v>
      </c>
      <c r="J31" s="303">
        <f t="shared" si="23"/>
        <v>-0.93912507701786818</v>
      </c>
      <c r="K31" s="303">
        <f t="shared" si="23"/>
        <v>-0.8478126925446704</v>
      </c>
      <c r="L31" s="303">
        <f t="shared" si="23"/>
        <v>-0.96014141947598508</v>
      </c>
      <c r="M31" s="303">
        <f t="shared" si="23"/>
        <v>0</v>
      </c>
      <c r="N31" s="303">
        <f t="shared" si="23"/>
        <v>-0.20101663585951934</v>
      </c>
      <c r="O31" s="303">
        <f t="shared" si="23"/>
        <v>-0.24163285882324714</v>
      </c>
      <c r="AE31" s="39"/>
      <c r="BH31" s="333"/>
    </row>
    <row r="32" spans="1:63" ht="16" x14ac:dyDescent="0.2">
      <c r="A32" t="str">
        <f t="shared" si="19"/>
        <v xml:space="preserve">R1C2EA05 </v>
      </c>
      <c r="B32" s="25">
        <f t="shared" si="20"/>
        <v>99.595959595959599</v>
      </c>
      <c r="C32" s="25">
        <f t="shared" si="21"/>
        <v>92.8</v>
      </c>
      <c r="D32" s="25">
        <f t="shared" si="22"/>
        <v>1392.8571428571429</v>
      </c>
      <c r="E32" s="303">
        <f t="shared" si="23"/>
        <v>-0.51289758395514173</v>
      </c>
      <c r="F32" s="303">
        <f t="shared" si="23"/>
        <v>-0.38118006523803627</v>
      </c>
      <c r="G32" s="303">
        <f t="shared" si="23"/>
        <v>-7.4592293486086314E-2</v>
      </c>
      <c r="H32" s="303">
        <f t="shared" si="23"/>
        <v>-5.8260869565217366E-2</v>
      </c>
      <c r="I32" s="303">
        <f t="shared" si="23"/>
        <v>-0.30678017634539367</v>
      </c>
      <c r="J32" s="303">
        <f t="shared" si="23"/>
        <v>-0.88985507246376816</v>
      </c>
      <c r="K32" s="303">
        <f t="shared" si="23"/>
        <v>-0.77053140096618356</v>
      </c>
      <c r="L32" s="303">
        <f t="shared" si="23"/>
        <v>-0.36622958362088798</v>
      </c>
      <c r="M32" s="303">
        <f t="shared" si="23"/>
        <v>0</v>
      </c>
      <c r="N32" s="303">
        <f t="shared" si="23"/>
        <v>0.23913043478260865</v>
      </c>
      <c r="O32" s="303">
        <f t="shared" si="23"/>
        <v>-0.36630905326557506</v>
      </c>
      <c r="AE32" s="39"/>
      <c r="BH32" s="333"/>
    </row>
    <row r="33" spans="1:60" ht="16" x14ac:dyDescent="0.2">
      <c r="A33" t="str">
        <f t="shared" si="19"/>
        <v xml:space="preserve">R1C2EA06 </v>
      </c>
      <c r="B33" s="25">
        <f t="shared" si="20"/>
        <v>99.525316455696199</v>
      </c>
      <c r="C33" s="25">
        <f t="shared" si="21"/>
        <v>91.914271797369693</v>
      </c>
      <c r="D33" s="25">
        <f t="shared" si="22"/>
        <v>1497.1111111111111</v>
      </c>
      <c r="E33" s="303">
        <f t="shared" si="23"/>
        <v>-0.4145361683263441</v>
      </c>
      <c r="F33" s="303">
        <f t="shared" si="23"/>
        <v>-0.31640211640211635</v>
      </c>
      <c r="G33" s="303">
        <f t="shared" si="23"/>
        <v>-8.6840620317942041E-2</v>
      </c>
      <c r="H33" s="303">
        <f t="shared" si="23"/>
        <v>8.0823680823680855E-2</v>
      </c>
      <c r="I33" s="303">
        <f t="shared" si="23"/>
        <v>-0.15525915525915512</v>
      </c>
      <c r="J33" s="303">
        <f t="shared" si="23"/>
        <v>-0.78807378807378803</v>
      </c>
      <c r="K33" s="303">
        <f t="shared" si="23"/>
        <v>-0.78807378807378803</v>
      </c>
      <c r="L33" s="303">
        <f t="shared" si="23"/>
        <v>-0.20779963637106491</v>
      </c>
      <c r="M33" s="303">
        <f t="shared" si="23"/>
        <v>0</v>
      </c>
      <c r="N33" s="303">
        <f t="shared" si="23"/>
        <v>-0.20527670527670527</v>
      </c>
      <c r="O33" s="303">
        <f t="shared" si="23"/>
        <v>-0.26183623326480476</v>
      </c>
      <c r="AE33" s="39"/>
      <c r="BH33" s="333"/>
    </row>
    <row r="34" spans="1:60" ht="16" x14ac:dyDescent="0.2">
      <c r="A34" t="str">
        <f t="shared" si="19"/>
        <v xml:space="preserve">R1C2EA07 </v>
      </c>
      <c r="B34" s="25">
        <f t="shared" si="20"/>
        <v>99.528548978522792</v>
      </c>
      <c r="C34" s="25">
        <f t="shared" si="21"/>
        <v>93.091621754042137</v>
      </c>
      <c r="D34" s="25">
        <f t="shared" si="22"/>
        <v>1291.3968253968253</v>
      </c>
      <c r="E34" s="303">
        <f t="shared" si="23"/>
        <v>-0.44828178694158072</v>
      </c>
      <c r="F34" s="303">
        <f t="shared" si="23"/>
        <v>-0.33973479652492011</v>
      </c>
      <c r="G34" s="303">
        <f t="shared" si="23"/>
        <v>1.6899981334826508E-2</v>
      </c>
      <c r="H34" s="303">
        <f t="shared" si="23"/>
        <v>4.8987654320987506E-2</v>
      </c>
      <c r="I34" s="303">
        <f t="shared" si="23"/>
        <v>-0.22805836139169466</v>
      </c>
      <c r="J34" s="303">
        <f t="shared" si="23"/>
        <v>-0.83736625514403296</v>
      </c>
      <c r="K34" s="303">
        <f t="shared" si="23"/>
        <v>-0.74588477366255146</v>
      </c>
      <c r="L34" s="303">
        <f t="shared" si="23"/>
        <v>-0.36108171663727218</v>
      </c>
      <c r="M34" s="303">
        <f t="shared" si="23"/>
        <v>0</v>
      </c>
      <c r="N34" s="303">
        <f t="shared" si="23"/>
        <v>-8.5185185185185253E-2</v>
      </c>
      <c r="O34" s="303">
        <f t="shared" si="23"/>
        <v>-0.28636523969857308</v>
      </c>
      <c r="AE34" s="39"/>
      <c r="BH34" s="333"/>
    </row>
    <row r="35" spans="1:60" ht="16" x14ac:dyDescent="0.2">
      <c r="A35" t="str">
        <f t="shared" si="19"/>
        <v xml:space="preserve">R1C2EA08 </v>
      </c>
      <c r="B35" s="25">
        <f t="shared" si="20"/>
        <v>99.198396793587165</v>
      </c>
      <c r="C35" s="25">
        <f t="shared" si="21"/>
        <v>92.914124824026274</v>
      </c>
      <c r="D35" s="25">
        <f t="shared" si="22"/>
        <v>1321.9047619047619</v>
      </c>
      <c r="E35" s="303">
        <f t="shared" si="23"/>
        <v>-0.47047121821403959</v>
      </c>
      <c r="F35" s="303">
        <f t="shared" si="23"/>
        <v>-0.32362459546925559</v>
      </c>
      <c r="G35" s="303">
        <f t="shared" si="23"/>
        <v>0.12522279771016387</v>
      </c>
      <c r="H35" s="303">
        <f t="shared" si="23"/>
        <v>0.17504854368932055</v>
      </c>
      <c r="I35" s="303">
        <f t="shared" si="23"/>
        <v>-0.27052074139452764</v>
      </c>
      <c r="J35" s="303">
        <f t="shared" si="23"/>
        <v>-0.60032362459546917</v>
      </c>
      <c r="K35" s="303">
        <f t="shared" si="23"/>
        <v>-0.70024271844660191</v>
      </c>
      <c r="L35" s="303">
        <f t="shared" si="23"/>
        <v>-0.3576629680998612</v>
      </c>
      <c r="M35" s="303">
        <f t="shared" si="23"/>
        <v>0</v>
      </c>
      <c r="N35" s="303">
        <f t="shared" si="23"/>
        <v>-0.10072815533980572</v>
      </c>
      <c r="O35" s="303">
        <f t="shared" si="23"/>
        <v>-0.27980393393014746</v>
      </c>
      <c r="AE35" s="39"/>
      <c r="BH35" s="333"/>
    </row>
    <row r="36" spans="1:60" ht="16" x14ac:dyDescent="0.2">
      <c r="A36" t="str">
        <f t="shared" si="19"/>
        <v xml:space="preserve">R1C2EA09 </v>
      </c>
      <c r="B36" s="25">
        <f t="shared" si="20"/>
        <v>98.484848484848484</v>
      </c>
      <c r="C36" s="25">
        <f t="shared" si="21"/>
        <v>91.981132075471692</v>
      </c>
      <c r="D36" s="25">
        <f t="shared" si="22"/>
        <v>1256.8888888888887</v>
      </c>
      <c r="E36" s="303">
        <f t="shared" si="23"/>
        <v>0</v>
      </c>
      <c r="F36" s="303">
        <f t="shared" si="23"/>
        <v>0</v>
      </c>
      <c r="G36" s="303">
        <f t="shared" si="23"/>
        <v>0</v>
      </c>
      <c r="H36" s="303">
        <f t="shared" si="23"/>
        <v>0</v>
      </c>
      <c r="I36" s="303">
        <f t="shared" si="23"/>
        <v>0</v>
      </c>
      <c r="J36" s="303">
        <f t="shared" si="23"/>
        <v>0</v>
      </c>
      <c r="K36" s="303">
        <f t="shared" si="23"/>
        <v>0</v>
      </c>
      <c r="L36" s="303">
        <f t="shared" si="23"/>
        <v>0</v>
      </c>
      <c r="M36" s="303">
        <f t="shared" si="23"/>
        <v>0</v>
      </c>
      <c r="N36" s="303">
        <f t="shared" si="23"/>
        <v>0</v>
      </c>
      <c r="O36" s="303">
        <f t="shared" si="23"/>
        <v>0</v>
      </c>
    </row>
    <row r="37" spans="1:60" x14ac:dyDescent="0.2">
      <c r="A37" t="str">
        <f t="shared" si="19"/>
        <v xml:space="preserve">CZO-GNEISS </v>
      </c>
      <c r="B37" s="25">
        <f t="shared" si="20"/>
        <v>65.366317792578499</v>
      </c>
      <c r="C37" s="25">
        <f t="shared" si="21"/>
        <v>62.625341841385591</v>
      </c>
      <c r="D37" s="25">
        <f t="shared" si="22"/>
        <v>3461.7142857142858</v>
      </c>
    </row>
    <row r="38" spans="1:60" x14ac:dyDescent="0.2">
      <c r="A38" t="str">
        <f t="shared" si="19"/>
        <v xml:space="preserve">_MLG </v>
      </c>
      <c r="B38" s="25">
        <f t="shared" si="20"/>
        <v>69.180470793374013</v>
      </c>
      <c r="C38" s="25">
        <f t="shared" si="21"/>
        <v>60.781309842972036</v>
      </c>
      <c r="D38" s="25">
        <f t="shared" si="22"/>
        <v>5726.4761904761908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38"/>
  <sheetViews>
    <sheetView topLeftCell="A30" zoomScale="80" zoomScaleNormal="80" workbookViewId="0">
      <selection activeCell="AU35" sqref="AU35"/>
    </sheetView>
  </sheetViews>
  <sheetFormatPr baseColWidth="10" defaultRowHeight="15" x14ac:dyDescent="0.2"/>
  <cols>
    <col min="1" max="1" width="14.5" customWidth="1"/>
    <col min="2" max="5" width="9.1640625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1" width="8.5" customWidth="1"/>
    <col min="42" max="62" width="7" bestFit="1" customWidth="1"/>
  </cols>
  <sheetData>
    <row r="1" spans="1:63" x14ac:dyDescent="0.2">
      <c r="A1" s="2" t="s">
        <v>416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3" x14ac:dyDescent="0.2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3" x14ac:dyDescent="0.2">
      <c r="A3" s="2" t="s">
        <v>2</v>
      </c>
      <c r="B3" s="2" t="s">
        <v>422</v>
      </c>
      <c r="C3" s="2" t="s">
        <v>426</v>
      </c>
      <c r="D3" s="2" t="s">
        <v>426</v>
      </c>
      <c r="E3" s="2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63" x14ac:dyDescent="0.2">
      <c r="A4" s="2" t="s">
        <v>60</v>
      </c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63" x14ac:dyDescent="0.2">
      <c r="A5" s="2" t="s">
        <v>63</v>
      </c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63" ht="16" thickBot="1" x14ac:dyDescent="0.25">
      <c r="A6" s="5" t="s">
        <v>64</v>
      </c>
      <c r="B6" s="10"/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  <c r="BK6" s="38" t="s">
        <v>467</v>
      </c>
    </row>
    <row r="7" spans="1:63" ht="16" thickTop="1" x14ac:dyDescent="0.2">
      <c r="A7" s="2" t="s">
        <v>140</v>
      </c>
      <c r="B7" s="7" t="s">
        <v>417</v>
      </c>
      <c r="C7" s="7">
        <v>0</v>
      </c>
      <c r="D7" s="7">
        <v>10</v>
      </c>
      <c r="E7" s="7">
        <f>AVERAGE(C7:D7)</f>
        <v>5</v>
      </c>
      <c r="F7" s="4">
        <v>81.3</v>
      </c>
      <c r="G7" s="4">
        <v>7.84</v>
      </c>
      <c r="H7" s="4">
        <v>2.64</v>
      </c>
      <c r="I7" s="4">
        <v>4.7E-2</v>
      </c>
      <c r="J7" s="4">
        <v>0.13</v>
      </c>
      <c r="K7" s="4">
        <v>0.15</v>
      </c>
      <c r="L7" s="4">
        <v>7.0000000000000007E-2</v>
      </c>
      <c r="M7" s="4">
        <v>0.61</v>
      </c>
      <c r="N7" s="4">
        <v>0.38100000000000001</v>
      </c>
      <c r="O7" s="4">
        <v>0.13</v>
      </c>
      <c r="P7" s="4">
        <v>6.34</v>
      </c>
      <c r="Q7" s="4">
        <v>99.64</v>
      </c>
      <c r="R7" s="4">
        <v>4</v>
      </c>
      <c r="S7" s="4" t="s">
        <v>68</v>
      </c>
      <c r="T7" s="4">
        <v>41</v>
      </c>
      <c r="U7" s="4">
        <v>20</v>
      </c>
      <c r="V7" s="4">
        <v>4</v>
      </c>
      <c r="W7" s="4" t="s">
        <v>69</v>
      </c>
      <c r="X7" s="4">
        <v>20</v>
      </c>
      <c r="Y7" s="4" t="s">
        <v>70</v>
      </c>
      <c r="Z7" s="4">
        <v>9</v>
      </c>
      <c r="AA7" s="4" t="s">
        <v>68</v>
      </c>
      <c r="AB7" s="4" t="s">
        <v>71</v>
      </c>
      <c r="AC7" s="4">
        <v>29</v>
      </c>
      <c r="AD7" s="4">
        <v>26</v>
      </c>
      <c r="AE7" s="4">
        <v>10</v>
      </c>
      <c r="AF7" s="4">
        <v>326</v>
      </c>
      <c r="AG7" s="4">
        <v>5</v>
      </c>
      <c r="AH7" s="4" t="s">
        <v>72</v>
      </c>
      <c r="AI7" s="4">
        <v>1.1000000000000001</v>
      </c>
      <c r="AJ7" s="4" t="s">
        <v>73</v>
      </c>
      <c r="AK7" s="4">
        <v>1</v>
      </c>
      <c r="AL7" s="4">
        <v>0.5</v>
      </c>
      <c r="AM7" s="4">
        <v>1.2</v>
      </c>
      <c r="AN7" s="4">
        <v>181</v>
      </c>
      <c r="AO7" s="4" t="s">
        <v>75</v>
      </c>
      <c r="AP7" s="4">
        <v>12.3</v>
      </c>
      <c r="AQ7" s="4">
        <v>33.700000000000003</v>
      </c>
      <c r="AR7" s="4">
        <v>3.07</v>
      </c>
      <c r="AS7" s="4">
        <v>11.6</v>
      </c>
      <c r="AT7" s="4">
        <v>2.2000000000000002</v>
      </c>
      <c r="AU7" s="4">
        <v>0.55000000000000004</v>
      </c>
      <c r="AV7" s="4">
        <v>2</v>
      </c>
      <c r="AW7" s="4">
        <v>0.3</v>
      </c>
      <c r="AX7" s="4">
        <v>1.9</v>
      </c>
      <c r="AY7" s="4">
        <v>0.4</v>
      </c>
      <c r="AZ7" s="4">
        <v>1.1000000000000001</v>
      </c>
      <c r="BA7" s="4">
        <v>0.17</v>
      </c>
      <c r="BB7" s="4">
        <v>1.2</v>
      </c>
      <c r="BC7" s="4">
        <v>0.2</v>
      </c>
      <c r="BD7" s="4">
        <v>7.3</v>
      </c>
      <c r="BE7" s="4">
        <v>0.4</v>
      </c>
      <c r="BF7" s="4" t="s">
        <v>68</v>
      </c>
      <c r="BG7" s="4" t="s">
        <v>79</v>
      </c>
      <c r="BH7" s="4">
        <v>787</v>
      </c>
      <c r="BI7" s="4">
        <v>5.8</v>
      </c>
      <c r="BJ7" s="4">
        <v>2</v>
      </c>
      <c r="BK7" s="25">
        <f>100*(G7/(G7+K7+L7+M7))</f>
        <v>90.426758938869668</v>
      </c>
    </row>
    <row r="8" spans="1:63" x14ac:dyDescent="0.2">
      <c r="A8" s="2" t="s">
        <v>141</v>
      </c>
      <c r="B8" s="7" t="s">
        <v>428</v>
      </c>
      <c r="C8" s="7">
        <v>10</v>
      </c>
      <c r="D8" s="7">
        <v>18</v>
      </c>
      <c r="E8" s="7">
        <f t="shared" ref="E8:E17" si="0">AVERAGE(C8:D8)</f>
        <v>14</v>
      </c>
      <c r="F8" s="4">
        <v>81.63</v>
      </c>
      <c r="G8" s="4">
        <v>7.87</v>
      </c>
      <c r="H8" s="4">
        <v>2.64</v>
      </c>
      <c r="I8" s="4">
        <v>5.5E-2</v>
      </c>
      <c r="J8" s="4">
        <v>0.13</v>
      </c>
      <c r="K8" s="4">
        <v>0.12</v>
      </c>
      <c r="L8" s="4">
        <v>0.12</v>
      </c>
      <c r="M8" s="4">
        <v>0.62</v>
      </c>
      <c r="N8" s="4">
        <v>0.36499999999999999</v>
      </c>
      <c r="O8" s="4">
        <v>0.1</v>
      </c>
      <c r="P8" s="4">
        <v>5.75</v>
      </c>
      <c r="Q8" s="4">
        <v>99.4</v>
      </c>
      <c r="R8" s="4">
        <v>4</v>
      </c>
      <c r="S8" s="4" t="s">
        <v>68</v>
      </c>
      <c r="T8" s="4">
        <v>43</v>
      </c>
      <c r="U8" s="4">
        <v>30</v>
      </c>
      <c r="V8" s="4">
        <v>5</v>
      </c>
      <c r="W8" s="4" t="s">
        <v>69</v>
      </c>
      <c r="X8" s="4">
        <v>40</v>
      </c>
      <c r="Y8" s="4" t="s">
        <v>70</v>
      </c>
      <c r="Z8" s="4">
        <v>10</v>
      </c>
      <c r="AA8" s="4" t="s">
        <v>68</v>
      </c>
      <c r="AB8" s="4" t="s">
        <v>71</v>
      </c>
      <c r="AC8" s="4">
        <v>31</v>
      </c>
      <c r="AD8" s="4">
        <v>26</v>
      </c>
      <c r="AE8" s="4">
        <v>10</v>
      </c>
      <c r="AF8" s="4">
        <v>368</v>
      </c>
      <c r="AG8" s="4">
        <v>5</v>
      </c>
      <c r="AH8" s="4" t="s">
        <v>72</v>
      </c>
      <c r="AI8" s="4">
        <v>1.5</v>
      </c>
      <c r="AJ8" s="4" t="s">
        <v>73</v>
      </c>
      <c r="AK8" s="4">
        <v>1</v>
      </c>
      <c r="AL8" s="4">
        <v>1.5</v>
      </c>
      <c r="AM8" s="4">
        <v>1.2</v>
      </c>
      <c r="AN8" s="4">
        <v>180</v>
      </c>
      <c r="AO8" s="4" t="s">
        <v>75</v>
      </c>
      <c r="AP8" s="4">
        <v>13.6</v>
      </c>
      <c r="AQ8" s="4">
        <v>37.200000000000003</v>
      </c>
      <c r="AR8" s="4">
        <v>3.34</v>
      </c>
      <c r="AS8" s="4">
        <v>12.4</v>
      </c>
      <c r="AT8" s="4">
        <v>2.5</v>
      </c>
      <c r="AU8" s="4">
        <v>0.56000000000000005</v>
      </c>
      <c r="AV8" s="4">
        <v>2.2000000000000002</v>
      </c>
      <c r="AW8" s="4">
        <v>0.3</v>
      </c>
      <c r="AX8" s="4">
        <v>1.9</v>
      </c>
      <c r="AY8" s="4">
        <v>0.4</v>
      </c>
      <c r="AZ8" s="4">
        <v>1.2</v>
      </c>
      <c r="BA8" s="4">
        <v>0.19</v>
      </c>
      <c r="BB8" s="4">
        <v>1.3</v>
      </c>
      <c r="BC8" s="4">
        <v>0.21</v>
      </c>
      <c r="BD8" s="4">
        <v>8.6</v>
      </c>
      <c r="BE8" s="4">
        <v>0.4</v>
      </c>
      <c r="BF8" s="4" t="s">
        <v>68</v>
      </c>
      <c r="BG8" s="4" t="s">
        <v>79</v>
      </c>
      <c r="BH8" s="4">
        <v>2110</v>
      </c>
      <c r="BI8" s="4">
        <v>6</v>
      </c>
      <c r="BJ8" s="4">
        <v>2.1</v>
      </c>
      <c r="BK8" s="25">
        <f t="shared" ref="BK8:BK19" si="1">100*(G8/(G8+K8+L8+M8))</f>
        <v>90.148911798396341</v>
      </c>
    </row>
    <row r="9" spans="1:63" x14ac:dyDescent="0.2">
      <c r="A9" s="2" t="s">
        <v>142</v>
      </c>
      <c r="B9" s="7" t="s">
        <v>418</v>
      </c>
      <c r="C9" s="7">
        <v>18</v>
      </c>
      <c r="D9" s="7">
        <v>58</v>
      </c>
      <c r="E9" s="7">
        <f t="shared" si="0"/>
        <v>38</v>
      </c>
      <c r="F9" s="4">
        <v>66.11</v>
      </c>
      <c r="G9" s="4">
        <v>17.010000000000002</v>
      </c>
      <c r="H9" s="4">
        <v>5.59</v>
      </c>
      <c r="I9" s="4">
        <v>2.8000000000000001E-2</v>
      </c>
      <c r="J9" s="4">
        <v>0.15</v>
      </c>
      <c r="K9" s="4">
        <v>0.06</v>
      </c>
      <c r="L9" s="4">
        <v>0.06</v>
      </c>
      <c r="M9" s="4">
        <v>0.51</v>
      </c>
      <c r="N9" s="4">
        <v>0.629</v>
      </c>
      <c r="O9" s="4">
        <v>0.05</v>
      </c>
      <c r="P9" s="4">
        <v>8.7100000000000009</v>
      </c>
      <c r="Q9" s="4">
        <v>98.91</v>
      </c>
      <c r="R9" s="4">
        <v>11</v>
      </c>
      <c r="S9" s="4">
        <v>1</v>
      </c>
      <c r="T9" s="4">
        <v>94</v>
      </c>
      <c r="U9" s="4">
        <v>30</v>
      </c>
      <c r="V9" s="4">
        <v>5</v>
      </c>
      <c r="W9" s="4" t="s">
        <v>69</v>
      </c>
      <c r="X9" s="4">
        <v>30</v>
      </c>
      <c r="Y9" s="4">
        <v>40</v>
      </c>
      <c r="Z9" s="4">
        <v>20</v>
      </c>
      <c r="AA9" s="4" t="s">
        <v>68</v>
      </c>
      <c r="AB9" s="4" t="s">
        <v>71</v>
      </c>
      <c r="AC9" s="4">
        <v>38</v>
      </c>
      <c r="AD9" s="4">
        <v>21</v>
      </c>
      <c r="AE9" s="4">
        <v>7</v>
      </c>
      <c r="AF9" s="4">
        <v>303</v>
      </c>
      <c r="AG9" s="4">
        <v>9</v>
      </c>
      <c r="AH9" s="4" t="s">
        <v>72</v>
      </c>
      <c r="AI9" s="4">
        <v>0.9</v>
      </c>
      <c r="AJ9" s="4" t="s">
        <v>73</v>
      </c>
      <c r="AK9" s="4">
        <v>2</v>
      </c>
      <c r="AL9" s="4" t="s">
        <v>74</v>
      </c>
      <c r="AM9" s="4">
        <v>2.2000000000000002</v>
      </c>
      <c r="AN9" s="4">
        <v>153</v>
      </c>
      <c r="AO9" s="4" t="s">
        <v>75</v>
      </c>
      <c r="AP9" s="4">
        <v>10.3</v>
      </c>
      <c r="AQ9" s="4">
        <v>26.1</v>
      </c>
      <c r="AR9" s="4">
        <v>2.42</v>
      </c>
      <c r="AS9" s="4">
        <v>9.3000000000000007</v>
      </c>
      <c r="AT9" s="4">
        <v>1.8</v>
      </c>
      <c r="AU9" s="4">
        <v>0.39</v>
      </c>
      <c r="AV9" s="4">
        <v>1.6</v>
      </c>
      <c r="AW9" s="4">
        <v>0.2</v>
      </c>
      <c r="AX9" s="4">
        <v>1.5</v>
      </c>
      <c r="AY9" s="4">
        <v>0.3</v>
      </c>
      <c r="AZ9" s="4">
        <v>1</v>
      </c>
      <c r="BA9" s="4">
        <v>0.15</v>
      </c>
      <c r="BB9" s="4">
        <v>1.1000000000000001</v>
      </c>
      <c r="BC9" s="4">
        <v>0.17</v>
      </c>
      <c r="BD9" s="4">
        <v>6.9</v>
      </c>
      <c r="BE9" s="4">
        <v>0.6</v>
      </c>
      <c r="BF9" s="4" t="s">
        <v>68</v>
      </c>
      <c r="BG9" s="4">
        <v>0.1</v>
      </c>
      <c r="BH9" s="4">
        <v>36</v>
      </c>
      <c r="BI9" s="4">
        <v>9.9</v>
      </c>
      <c r="BJ9" s="4">
        <v>2.1</v>
      </c>
      <c r="BK9" s="25">
        <f t="shared" si="1"/>
        <v>96.428571428571431</v>
      </c>
    </row>
    <row r="10" spans="1:63" x14ac:dyDescent="0.2">
      <c r="A10" s="2" t="s">
        <v>143</v>
      </c>
      <c r="B10" s="7" t="s">
        <v>419</v>
      </c>
      <c r="C10" s="7">
        <v>58</v>
      </c>
      <c r="D10" s="7">
        <v>86</v>
      </c>
      <c r="E10" s="7">
        <f t="shared" si="0"/>
        <v>72</v>
      </c>
      <c r="F10" s="4">
        <v>51.28</v>
      </c>
      <c r="G10" s="4">
        <v>25</v>
      </c>
      <c r="H10" s="4">
        <v>9.64</v>
      </c>
      <c r="I10" s="4">
        <v>1.7999999999999999E-2</v>
      </c>
      <c r="J10" s="4">
        <v>0.13</v>
      </c>
      <c r="K10" s="4">
        <v>7.0000000000000007E-2</v>
      </c>
      <c r="L10" s="4">
        <v>0.04</v>
      </c>
      <c r="M10" s="4">
        <v>0.19</v>
      </c>
      <c r="N10" s="4">
        <v>0.91200000000000003</v>
      </c>
      <c r="O10" s="4">
        <v>0.05</v>
      </c>
      <c r="P10" s="4">
        <v>12.17</v>
      </c>
      <c r="Q10" s="4">
        <v>99.49</v>
      </c>
      <c r="R10" s="4">
        <v>21</v>
      </c>
      <c r="S10" s="4">
        <v>2</v>
      </c>
      <c r="T10" s="4">
        <v>158</v>
      </c>
      <c r="U10" s="4">
        <v>30</v>
      </c>
      <c r="V10" s="4">
        <v>4</v>
      </c>
      <c r="W10" s="4" t="s">
        <v>69</v>
      </c>
      <c r="X10" s="4">
        <v>40</v>
      </c>
      <c r="Y10" s="4">
        <v>40</v>
      </c>
      <c r="Z10" s="4">
        <v>28</v>
      </c>
      <c r="AA10" s="4">
        <v>1</v>
      </c>
      <c r="AB10" s="4" t="s">
        <v>71</v>
      </c>
      <c r="AC10" s="4">
        <v>25</v>
      </c>
      <c r="AD10" s="4">
        <v>10</v>
      </c>
      <c r="AE10" s="4">
        <v>3</v>
      </c>
      <c r="AF10" s="4">
        <v>165</v>
      </c>
      <c r="AG10" s="4">
        <v>9</v>
      </c>
      <c r="AH10" s="4" t="s">
        <v>72</v>
      </c>
      <c r="AI10" s="4" t="s">
        <v>74</v>
      </c>
      <c r="AJ10" s="4" t="s">
        <v>73</v>
      </c>
      <c r="AK10" s="4">
        <v>2</v>
      </c>
      <c r="AL10" s="4" t="s">
        <v>74</v>
      </c>
      <c r="AM10" s="4">
        <v>1.8</v>
      </c>
      <c r="AN10" s="4">
        <v>48</v>
      </c>
      <c r="AO10" s="4" t="s">
        <v>75</v>
      </c>
      <c r="AP10" s="4">
        <v>6.3</v>
      </c>
      <c r="AQ10" s="4">
        <v>13.6</v>
      </c>
      <c r="AR10" s="4">
        <v>1.35</v>
      </c>
      <c r="AS10" s="4">
        <v>4.8</v>
      </c>
      <c r="AT10" s="4">
        <v>1</v>
      </c>
      <c r="AU10" s="4">
        <v>0.23</v>
      </c>
      <c r="AV10" s="4">
        <v>0.7</v>
      </c>
      <c r="AW10" s="4">
        <v>0.1</v>
      </c>
      <c r="AX10" s="4">
        <v>0.8</v>
      </c>
      <c r="AY10" s="4">
        <v>0.2</v>
      </c>
      <c r="AZ10" s="4">
        <v>0.5</v>
      </c>
      <c r="BA10" s="4">
        <v>0.09</v>
      </c>
      <c r="BB10" s="4">
        <v>0.7</v>
      </c>
      <c r="BC10" s="4">
        <v>0.11</v>
      </c>
      <c r="BD10" s="4">
        <v>4</v>
      </c>
      <c r="BE10" s="4">
        <v>0.6</v>
      </c>
      <c r="BF10" s="4" t="s">
        <v>68</v>
      </c>
      <c r="BG10" s="4" t="s">
        <v>79</v>
      </c>
      <c r="BH10" s="4">
        <v>247</v>
      </c>
      <c r="BI10" s="4">
        <v>9.3000000000000007</v>
      </c>
      <c r="BJ10" s="4">
        <v>1.7</v>
      </c>
      <c r="BK10" s="25">
        <f t="shared" si="1"/>
        <v>98.814229249011859</v>
      </c>
    </row>
    <row r="11" spans="1:63" x14ac:dyDescent="0.2">
      <c r="A11" s="2" t="s">
        <v>144</v>
      </c>
      <c r="B11" s="7" t="s">
        <v>429</v>
      </c>
      <c r="C11" s="7">
        <v>86</v>
      </c>
      <c r="D11" s="7">
        <v>135</v>
      </c>
      <c r="E11" s="7">
        <f t="shared" si="0"/>
        <v>110.5</v>
      </c>
      <c r="F11" s="4">
        <v>51.66</v>
      </c>
      <c r="G11" s="4">
        <v>24.13</v>
      </c>
      <c r="H11" s="4">
        <v>10.25</v>
      </c>
      <c r="I11" s="4">
        <v>2.1000000000000001E-2</v>
      </c>
      <c r="J11" s="4">
        <v>0.09</v>
      </c>
      <c r="K11" s="4">
        <v>0.01</v>
      </c>
      <c r="L11" s="4">
        <v>0.03</v>
      </c>
      <c r="M11" s="4">
        <v>0.1</v>
      </c>
      <c r="N11" s="4">
        <v>0.95899999999999996</v>
      </c>
      <c r="O11" s="4">
        <v>0.06</v>
      </c>
      <c r="P11" s="4">
        <v>12</v>
      </c>
      <c r="Q11" s="4">
        <v>99.31</v>
      </c>
      <c r="R11" s="4">
        <v>27</v>
      </c>
      <c r="S11" s="4">
        <v>2</v>
      </c>
      <c r="T11" s="4">
        <v>175</v>
      </c>
      <c r="U11" s="4">
        <v>30</v>
      </c>
      <c r="V11" s="4">
        <v>3</v>
      </c>
      <c r="W11" s="4" t="s">
        <v>69</v>
      </c>
      <c r="X11" s="4">
        <v>40</v>
      </c>
      <c r="Y11" s="4">
        <v>40</v>
      </c>
      <c r="Z11" s="4">
        <v>27</v>
      </c>
      <c r="AA11" s="4">
        <v>1</v>
      </c>
      <c r="AB11" s="4" t="s">
        <v>71</v>
      </c>
      <c r="AC11" s="4">
        <v>14</v>
      </c>
      <c r="AD11" s="4">
        <v>4</v>
      </c>
      <c r="AE11" s="4" t="s">
        <v>72</v>
      </c>
      <c r="AF11" s="4">
        <v>182</v>
      </c>
      <c r="AG11" s="4">
        <v>9</v>
      </c>
      <c r="AH11" s="4" t="s">
        <v>72</v>
      </c>
      <c r="AI11" s="4">
        <v>0.5</v>
      </c>
      <c r="AJ11" s="4" t="s">
        <v>73</v>
      </c>
      <c r="AK11" s="4">
        <v>2</v>
      </c>
      <c r="AL11" s="4" t="s">
        <v>74</v>
      </c>
      <c r="AM11" s="4">
        <v>1.1000000000000001</v>
      </c>
      <c r="AN11" s="4">
        <v>23</v>
      </c>
      <c r="AO11" s="4" t="s">
        <v>75</v>
      </c>
      <c r="AP11" s="4">
        <v>6</v>
      </c>
      <c r="AQ11" s="4">
        <v>15.8</v>
      </c>
      <c r="AR11" s="4">
        <v>1.52</v>
      </c>
      <c r="AS11" s="4">
        <v>5.8</v>
      </c>
      <c r="AT11" s="4">
        <v>1.2</v>
      </c>
      <c r="AU11" s="4">
        <v>0.32</v>
      </c>
      <c r="AV11" s="4">
        <v>0.9</v>
      </c>
      <c r="AW11" s="4">
        <v>0.2</v>
      </c>
      <c r="AX11" s="4">
        <v>1</v>
      </c>
      <c r="AY11" s="4">
        <v>0.2</v>
      </c>
      <c r="AZ11" s="4">
        <v>0.6</v>
      </c>
      <c r="BA11" s="4">
        <v>0.11</v>
      </c>
      <c r="BB11" s="4">
        <v>0.9</v>
      </c>
      <c r="BC11" s="4">
        <v>0.14000000000000001</v>
      </c>
      <c r="BD11" s="4">
        <v>4.4000000000000004</v>
      </c>
      <c r="BE11" s="4">
        <v>0.6</v>
      </c>
      <c r="BF11" s="4" t="s">
        <v>68</v>
      </c>
      <c r="BG11" s="4" t="s">
        <v>79</v>
      </c>
      <c r="BH11" s="4">
        <v>28</v>
      </c>
      <c r="BI11" s="4">
        <v>6.5</v>
      </c>
      <c r="BJ11" s="4">
        <v>1.4</v>
      </c>
      <c r="BK11" s="25">
        <f t="shared" si="1"/>
        <v>99.423156159868128</v>
      </c>
    </row>
    <row r="12" spans="1:63" x14ac:dyDescent="0.2">
      <c r="A12" s="2" t="s">
        <v>145</v>
      </c>
      <c r="B12" s="7" t="s">
        <v>430</v>
      </c>
      <c r="C12" s="7">
        <v>135</v>
      </c>
      <c r="D12" s="7">
        <v>200</v>
      </c>
      <c r="E12" s="7">
        <f t="shared" si="0"/>
        <v>167.5</v>
      </c>
      <c r="F12" s="4">
        <v>49.72</v>
      </c>
      <c r="G12" s="4">
        <v>25.85</v>
      </c>
      <c r="H12" s="4">
        <v>11.14</v>
      </c>
      <c r="I12" s="4">
        <v>0.02</v>
      </c>
      <c r="J12" s="4">
        <v>0.09</v>
      </c>
      <c r="K12" s="4">
        <v>0</v>
      </c>
      <c r="L12" s="4">
        <v>0.05</v>
      </c>
      <c r="M12" s="4">
        <v>0.09</v>
      </c>
      <c r="N12" s="4">
        <v>1.083</v>
      </c>
      <c r="O12" s="4">
        <v>7.0000000000000007E-2</v>
      </c>
      <c r="P12" s="4">
        <v>12.31</v>
      </c>
      <c r="Q12" s="4">
        <v>100.4</v>
      </c>
      <c r="R12" s="4">
        <v>31</v>
      </c>
      <c r="S12" s="4">
        <v>2</v>
      </c>
      <c r="T12" s="4">
        <v>192</v>
      </c>
      <c r="U12" s="4">
        <v>30</v>
      </c>
      <c r="V12" s="4">
        <v>3</v>
      </c>
      <c r="W12" s="4" t="s">
        <v>69</v>
      </c>
      <c r="X12" s="4">
        <v>50</v>
      </c>
      <c r="Y12" s="4">
        <v>40</v>
      </c>
      <c r="Z12" s="4">
        <v>27</v>
      </c>
      <c r="AA12" s="4">
        <v>1</v>
      </c>
      <c r="AB12" s="4" t="s">
        <v>71</v>
      </c>
      <c r="AC12" s="4">
        <v>13</v>
      </c>
      <c r="AD12" s="4">
        <v>3</v>
      </c>
      <c r="AE12" s="4">
        <v>3</v>
      </c>
      <c r="AF12" s="4">
        <v>162</v>
      </c>
      <c r="AG12" s="4">
        <v>6</v>
      </c>
      <c r="AH12" s="4" t="s">
        <v>72</v>
      </c>
      <c r="AI12" s="4" t="s">
        <v>74</v>
      </c>
      <c r="AJ12" s="4" t="s">
        <v>73</v>
      </c>
      <c r="AK12" s="4">
        <v>2</v>
      </c>
      <c r="AL12" s="4" t="s">
        <v>74</v>
      </c>
      <c r="AM12" s="4">
        <v>1</v>
      </c>
      <c r="AN12" s="4">
        <v>21</v>
      </c>
      <c r="AO12" s="4" t="s">
        <v>75</v>
      </c>
      <c r="AP12" s="4">
        <v>6.5</v>
      </c>
      <c r="AQ12" s="4">
        <v>17.399999999999999</v>
      </c>
      <c r="AR12" s="4">
        <v>1.77</v>
      </c>
      <c r="AS12" s="4">
        <v>6.7</v>
      </c>
      <c r="AT12" s="4">
        <v>1.4</v>
      </c>
      <c r="AU12" s="4">
        <v>0.36</v>
      </c>
      <c r="AV12" s="4">
        <v>1.1000000000000001</v>
      </c>
      <c r="AW12" s="4">
        <v>0.2</v>
      </c>
      <c r="AX12" s="4">
        <v>1.2</v>
      </c>
      <c r="AY12" s="4">
        <v>0.2</v>
      </c>
      <c r="AZ12" s="4">
        <v>0.7</v>
      </c>
      <c r="BA12" s="4">
        <v>0.13</v>
      </c>
      <c r="BB12" s="4">
        <v>1</v>
      </c>
      <c r="BC12" s="4">
        <v>0.14000000000000001</v>
      </c>
      <c r="BD12" s="4">
        <v>4</v>
      </c>
      <c r="BE12" s="4">
        <v>0.4</v>
      </c>
      <c r="BF12" s="4" t="s">
        <v>68</v>
      </c>
      <c r="BG12" s="4" t="s">
        <v>79</v>
      </c>
      <c r="BH12" s="4">
        <v>149</v>
      </c>
      <c r="BI12" s="4">
        <v>5.2</v>
      </c>
      <c r="BJ12" s="4">
        <v>1.2</v>
      </c>
      <c r="BK12" s="25">
        <f t="shared" si="1"/>
        <v>99.461331281262019</v>
      </c>
    </row>
    <row r="13" spans="1:63" x14ac:dyDescent="0.2">
      <c r="A13" s="2" t="s">
        <v>146</v>
      </c>
      <c r="B13" s="2" t="s">
        <v>421</v>
      </c>
      <c r="C13" s="7">
        <v>200</v>
      </c>
      <c r="D13" s="7">
        <v>300</v>
      </c>
      <c r="E13" s="7">
        <f t="shared" si="0"/>
        <v>250</v>
      </c>
      <c r="F13" s="4">
        <v>51.22</v>
      </c>
      <c r="G13" s="4">
        <v>24.26</v>
      </c>
      <c r="H13" s="4">
        <v>10.65</v>
      </c>
      <c r="I13" s="4">
        <v>3.6999999999999998E-2</v>
      </c>
      <c r="J13" s="4">
        <v>0.26</v>
      </c>
      <c r="K13" s="4">
        <v>0</v>
      </c>
      <c r="L13" s="4">
        <v>0.04</v>
      </c>
      <c r="M13" s="4">
        <v>0.17</v>
      </c>
      <c r="N13" s="4">
        <v>1.0509999999999999</v>
      </c>
      <c r="O13" s="4">
        <v>0.13</v>
      </c>
      <c r="P13" s="4">
        <v>11.94</v>
      </c>
      <c r="Q13" s="4">
        <v>99.76</v>
      </c>
      <c r="R13" s="4">
        <v>34</v>
      </c>
      <c r="S13" s="4">
        <v>4</v>
      </c>
      <c r="T13" s="4">
        <v>185</v>
      </c>
      <c r="U13" s="4">
        <v>20</v>
      </c>
      <c r="V13" s="4">
        <v>5</v>
      </c>
      <c r="W13" s="4" t="s">
        <v>69</v>
      </c>
      <c r="X13" s="4">
        <v>50</v>
      </c>
      <c r="Y13" s="4">
        <v>50</v>
      </c>
      <c r="Z13" s="4">
        <v>24</v>
      </c>
      <c r="AA13" s="4">
        <v>1</v>
      </c>
      <c r="AB13" s="4" t="s">
        <v>71</v>
      </c>
      <c r="AC13" s="4">
        <v>14</v>
      </c>
      <c r="AD13" s="4" t="s">
        <v>72</v>
      </c>
      <c r="AE13" s="4">
        <v>5</v>
      </c>
      <c r="AF13" s="4">
        <v>191</v>
      </c>
      <c r="AG13" s="4">
        <v>6</v>
      </c>
      <c r="AH13" s="4" t="s">
        <v>72</v>
      </c>
      <c r="AI13" s="4" t="s">
        <v>74</v>
      </c>
      <c r="AJ13" s="4" t="s">
        <v>73</v>
      </c>
      <c r="AK13" s="4">
        <v>1</v>
      </c>
      <c r="AL13" s="4" t="s">
        <v>74</v>
      </c>
      <c r="AM13" s="4">
        <v>0.7</v>
      </c>
      <c r="AN13" s="4">
        <v>49</v>
      </c>
      <c r="AO13" s="4" t="s">
        <v>75</v>
      </c>
      <c r="AP13" s="4">
        <v>8.1</v>
      </c>
      <c r="AQ13" s="4">
        <v>28.9</v>
      </c>
      <c r="AR13" s="4">
        <v>2.68</v>
      </c>
      <c r="AS13" s="4">
        <v>10.9</v>
      </c>
      <c r="AT13" s="4">
        <v>2.5</v>
      </c>
      <c r="AU13" s="4">
        <v>0.62</v>
      </c>
      <c r="AV13" s="4">
        <v>1.9</v>
      </c>
      <c r="AW13" s="4">
        <v>0.3</v>
      </c>
      <c r="AX13" s="4">
        <v>2</v>
      </c>
      <c r="AY13" s="4">
        <v>0.4</v>
      </c>
      <c r="AZ13" s="4">
        <v>1.2</v>
      </c>
      <c r="BA13" s="4">
        <v>0.21</v>
      </c>
      <c r="BB13" s="4">
        <v>1.5</v>
      </c>
      <c r="BC13" s="4">
        <v>0.24</v>
      </c>
      <c r="BD13" s="4">
        <v>4.7</v>
      </c>
      <c r="BE13" s="4">
        <v>0.5</v>
      </c>
      <c r="BF13" s="4" t="s">
        <v>68</v>
      </c>
      <c r="BG13" s="4" t="s">
        <v>79</v>
      </c>
      <c r="BH13" s="4">
        <v>18</v>
      </c>
      <c r="BI13" s="4">
        <v>3.4</v>
      </c>
      <c r="BJ13" s="4">
        <v>1</v>
      </c>
      <c r="BK13" s="25">
        <f t="shared" si="1"/>
        <v>99.141806293420515</v>
      </c>
    </row>
    <row r="14" spans="1:63" x14ac:dyDescent="0.2">
      <c r="A14" s="2" t="s">
        <v>147</v>
      </c>
      <c r="B14" s="2" t="s">
        <v>421</v>
      </c>
      <c r="C14" s="7">
        <v>300</v>
      </c>
      <c r="D14" s="7">
        <v>400</v>
      </c>
      <c r="E14" s="7">
        <f t="shared" si="0"/>
        <v>350</v>
      </c>
      <c r="F14" s="4">
        <v>54.47</v>
      </c>
      <c r="G14" s="4">
        <v>22.83</v>
      </c>
      <c r="H14" s="4">
        <v>10.31</v>
      </c>
      <c r="I14" s="4">
        <v>0.104</v>
      </c>
      <c r="J14" s="4">
        <v>0.57999999999999996</v>
      </c>
      <c r="K14" s="4">
        <v>0</v>
      </c>
      <c r="L14" s="4">
        <v>0.06</v>
      </c>
      <c r="M14" s="4">
        <v>0.45</v>
      </c>
      <c r="N14" s="4">
        <v>0.98299999999999998</v>
      </c>
      <c r="O14" s="4">
        <v>0.16</v>
      </c>
      <c r="P14" s="4">
        <v>10.81</v>
      </c>
      <c r="Q14" s="4">
        <v>100.8</v>
      </c>
      <c r="R14" s="4">
        <v>29</v>
      </c>
      <c r="S14" s="4">
        <v>4</v>
      </c>
      <c r="T14" s="4">
        <v>179</v>
      </c>
      <c r="U14" s="4" t="s">
        <v>69</v>
      </c>
      <c r="V14" s="4">
        <v>22</v>
      </c>
      <c r="W14" s="4" t="s">
        <v>69</v>
      </c>
      <c r="X14" s="4">
        <v>60</v>
      </c>
      <c r="Y14" s="4">
        <v>70</v>
      </c>
      <c r="Z14" s="4">
        <v>23</v>
      </c>
      <c r="AA14" s="4">
        <v>1</v>
      </c>
      <c r="AB14" s="4" t="s">
        <v>71</v>
      </c>
      <c r="AC14" s="4">
        <v>37</v>
      </c>
      <c r="AD14" s="4">
        <v>4</v>
      </c>
      <c r="AE14" s="4">
        <v>11</v>
      </c>
      <c r="AF14" s="4">
        <v>193</v>
      </c>
      <c r="AG14" s="4">
        <v>6</v>
      </c>
      <c r="AH14" s="4" t="s">
        <v>72</v>
      </c>
      <c r="AI14" s="4" t="s">
        <v>74</v>
      </c>
      <c r="AJ14" s="4" t="s">
        <v>73</v>
      </c>
      <c r="AK14" s="4">
        <v>1</v>
      </c>
      <c r="AL14" s="4" t="s">
        <v>74</v>
      </c>
      <c r="AM14" s="4">
        <v>0.8</v>
      </c>
      <c r="AN14" s="4">
        <v>142</v>
      </c>
      <c r="AO14" s="4" t="s">
        <v>75</v>
      </c>
      <c r="AP14" s="4">
        <v>16.3</v>
      </c>
      <c r="AQ14" s="4">
        <v>52.5</v>
      </c>
      <c r="AR14" s="4">
        <v>4.51</v>
      </c>
      <c r="AS14" s="4">
        <v>18.100000000000001</v>
      </c>
      <c r="AT14" s="4">
        <v>4.2</v>
      </c>
      <c r="AU14" s="4">
        <v>1.02</v>
      </c>
      <c r="AV14" s="4">
        <v>3.1</v>
      </c>
      <c r="AW14" s="4">
        <v>0.5</v>
      </c>
      <c r="AX14" s="4">
        <v>3.1</v>
      </c>
      <c r="AY14" s="4">
        <v>0.6</v>
      </c>
      <c r="AZ14" s="4">
        <v>1.8</v>
      </c>
      <c r="BA14" s="4">
        <v>0.28999999999999998</v>
      </c>
      <c r="BB14" s="4">
        <v>2.2000000000000002</v>
      </c>
      <c r="BC14" s="4">
        <v>0.34</v>
      </c>
      <c r="BD14" s="4">
        <v>4.5999999999999996</v>
      </c>
      <c r="BE14" s="4">
        <v>0.4</v>
      </c>
      <c r="BF14" s="4" t="s">
        <v>68</v>
      </c>
      <c r="BG14" s="4" t="s">
        <v>79</v>
      </c>
      <c r="BH14" s="4">
        <v>142</v>
      </c>
      <c r="BI14" s="4">
        <v>2.7</v>
      </c>
      <c r="BJ14" s="4">
        <v>0.9</v>
      </c>
      <c r="BK14" s="25">
        <f t="shared" si="1"/>
        <v>97.814910025706951</v>
      </c>
    </row>
    <row r="15" spans="1:63" x14ac:dyDescent="0.2">
      <c r="A15" s="2" t="s">
        <v>148</v>
      </c>
      <c r="B15" s="2" t="s">
        <v>421</v>
      </c>
      <c r="C15" s="7">
        <v>400</v>
      </c>
      <c r="D15" s="7">
        <v>500</v>
      </c>
      <c r="E15" s="7">
        <f t="shared" si="0"/>
        <v>450</v>
      </c>
      <c r="F15" s="4">
        <v>55.48</v>
      </c>
      <c r="G15" s="4">
        <v>22.03</v>
      </c>
      <c r="H15" s="4">
        <v>8.9499999999999993</v>
      </c>
      <c r="I15" s="4">
        <v>8.8999999999999996E-2</v>
      </c>
      <c r="J15" s="4">
        <v>0.99</v>
      </c>
      <c r="K15" s="4">
        <v>0.01</v>
      </c>
      <c r="L15" s="4">
        <v>0.05</v>
      </c>
      <c r="M15" s="4">
        <v>0.76</v>
      </c>
      <c r="N15" s="4">
        <v>0.90900000000000003</v>
      </c>
      <c r="O15" s="4">
        <v>0.16</v>
      </c>
      <c r="P15" s="4">
        <v>10.45</v>
      </c>
      <c r="Q15" s="4">
        <v>99.89</v>
      </c>
      <c r="R15" s="4">
        <v>27</v>
      </c>
      <c r="S15" s="4">
        <v>3</v>
      </c>
      <c r="T15" s="4">
        <v>167</v>
      </c>
      <c r="U15" s="4">
        <v>30</v>
      </c>
      <c r="V15" s="4">
        <v>24</v>
      </c>
      <c r="W15" s="4" t="s">
        <v>69</v>
      </c>
      <c r="X15" s="4">
        <v>100</v>
      </c>
      <c r="Y15" s="4">
        <v>80</v>
      </c>
      <c r="Z15" s="4">
        <v>24</v>
      </c>
      <c r="AA15" s="4">
        <v>1</v>
      </c>
      <c r="AB15" s="4" t="s">
        <v>71</v>
      </c>
      <c r="AC15" s="4">
        <v>79</v>
      </c>
      <c r="AD15" s="4">
        <v>8</v>
      </c>
      <c r="AE15" s="4">
        <v>37</v>
      </c>
      <c r="AF15" s="4">
        <v>160</v>
      </c>
      <c r="AG15" s="4">
        <v>7</v>
      </c>
      <c r="AH15" s="4" t="s">
        <v>72</v>
      </c>
      <c r="AI15" s="4" t="s">
        <v>74</v>
      </c>
      <c r="AJ15" s="4" t="s">
        <v>73</v>
      </c>
      <c r="AK15" s="4">
        <v>1</v>
      </c>
      <c r="AL15" s="4" t="s">
        <v>74</v>
      </c>
      <c r="AM15" s="4">
        <v>1.6</v>
      </c>
      <c r="AN15" s="4">
        <v>280</v>
      </c>
      <c r="AO15" s="4" t="s">
        <v>75</v>
      </c>
      <c r="AP15" s="4">
        <v>43.9</v>
      </c>
      <c r="AQ15" s="4">
        <v>58.3</v>
      </c>
      <c r="AR15" s="4">
        <v>10.9</v>
      </c>
      <c r="AS15" s="4">
        <v>43.8</v>
      </c>
      <c r="AT15" s="4">
        <v>9.9</v>
      </c>
      <c r="AU15" s="4">
        <v>2.61</v>
      </c>
      <c r="AV15" s="4">
        <v>9.1999999999999993</v>
      </c>
      <c r="AW15" s="4">
        <v>1.4</v>
      </c>
      <c r="AX15" s="4">
        <v>8.4</v>
      </c>
      <c r="AY15" s="4">
        <v>1.7</v>
      </c>
      <c r="AZ15" s="4">
        <v>5</v>
      </c>
      <c r="BA15" s="4">
        <v>0.76</v>
      </c>
      <c r="BB15" s="4">
        <v>5.4</v>
      </c>
      <c r="BC15" s="4">
        <v>0.81</v>
      </c>
      <c r="BD15" s="4">
        <v>4.2</v>
      </c>
      <c r="BE15" s="4">
        <v>0.4</v>
      </c>
      <c r="BF15" s="4" t="s">
        <v>68</v>
      </c>
      <c r="BG15" s="4">
        <v>0.2</v>
      </c>
      <c r="BH15" s="4">
        <v>16</v>
      </c>
      <c r="BI15" s="4">
        <v>3.4</v>
      </c>
      <c r="BJ15" s="4">
        <v>0.9</v>
      </c>
      <c r="BK15" s="25">
        <f t="shared" si="1"/>
        <v>96.411378555798663</v>
      </c>
    </row>
    <row r="16" spans="1:63" x14ac:dyDescent="0.2">
      <c r="A16" s="2" t="s">
        <v>149</v>
      </c>
      <c r="B16" s="2" t="s">
        <v>421</v>
      </c>
      <c r="C16" s="7">
        <v>500</v>
      </c>
      <c r="D16" s="7">
        <v>600</v>
      </c>
      <c r="E16" s="7">
        <f t="shared" si="0"/>
        <v>550</v>
      </c>
      <c r="F16" s="4">
        <v>56.59</v>
      </c>
      <c r="G16" s="4">
        <v>20.309999999999999</v>
      </c>
      <c r="H16" s="4">
        <v>8.84</v>
      </c>
      <c r="I16" s="4">
        <v>0.11</v>
      </c>
      <c r="J16" s="4">
        <v>1.94</v>
      </c>
      <c r="K16" s="4">
        <v>1.6</v>
      </c>
      <c r="L16" s="4">
        <v>1.1000000000000001</v>
      </c>
      <c r="M16" s="4">
        <v>1.1299999999999999</v>
      </c>
      <c r="N16" s="4">
        <v>0.89</v>
      </c>
      <c r="O16" s="4">
        <v>0.16</v>
      </c>
      <c r="P16" s="4">
        <v>7.78</v>
      </c>
      <c r="Q16" s="4">
        <v>100.4</v>
      </c>
      <c r="R16" s="4">
        <v>23</v>
      </c>
      <c r="S16" s="4">
        <v>4</v>
      </c>
      <c r="T16" s="4">
        <v>173</v>
      </c>
      <c r="U16" s="4">
        <v>40</v>
      </c>
      <c r="V16" s="4">
        <v>29</v>
      </c>
      <c r="W16" s="4" t="s">
        <v>69</v>
      </c>
      <c r="X16" s="4">
        <v>70</v>
      </c>
      <c r="Y16" s="4">
        <v>130</v>
      </c>
      <c r="Z16" s="4">
        <v>21</v>
      </c>
      <c r="AA16" s="4">
        <v>1</v>
      </c>
      <c r="AB16" s="4" t="s">
        <v>71</v>
      </c>
      <c r="AC16" s="4">
        <v>102</v>
      </c>
      <c r="AD16" s="4">
        <v>122</v>
      </c>
      <c r="AE16" s="4">
        <v>70</v>
      </c>
      <c r="AF16" s="4">
        <v>178</v>
      </c>
      <c r="AG16" s="4">
        <v>7</v>
      </c>
      <c r="AH16" s="4" t="s">
        <v>72</v>
      </c>
      <c r="AI16" s="4" t="s">
        <v>74</v>
      </c>
      <c r="AJ16" s="4" t="s">
        <v>73</v>
      </c>
      <c r="AK16" s="4">
        <v>2</v>
      </c>
      <c r="AL16" s="4" t="s">
        <v>74</v>
      </c>
      <c r="AM16" s="4">
        <v>1.3</v>
      </c>
      <c r="AN16" s="4">
        <v>384</v>
      </c>
      <c r="AO16" s="4" t="s">
        <v>75</v>
      </c>
      <c r="AP16" s="4">
        <v>41.2</v>
      </c>
      <c r="AQ16" s="4">
        <v>39.1</v>
      </c>
      <c r="AR16" s="4">
        <v>10.1</v>
      </c>
      <c r="AS16" s="4">
        <v>42.1</v>
      </c>
      <c r="AT16" s="4">
        <v>10.9</v>
      </c>
      <c r="AU16" s="4">
        <v>3.11</v>
      </c>
      <c r="AV16" s="4">
        <v>13.7</v>
      </c>
      <c r="AW16" s="4">
        <v>2.1</v>
      </c>
      <c r="AX16" s="4">
        <v>12.3</v>
      </c>
      <c r="AY16" s="4">
        <v>2.5</v>
      </c>
      <c r="AZ16" s="4">
        <v>7.1</v>
      </c>
      <c r="BA16" s="4">
        <v>1.05</v>
      </c>
      <c r="BB16" s="4">
        <v>7</v>
      </c>
      <c r="BC16" s="4">
        <v>1.0900000000000001</v>
      </c>
      <c r="BD16" s="4">
        <v>4.3</v>
      </c>
      <c r="BE16" s="4">
        <v>0.4</v>
      </c>
      <c r="BF16" s="4" t="s">
        <v>68</v>
      </c>
      <c r="BG16" s="4">
        <v>0.3</v>
      </c>
      <c r="BH16" s="4">
        <v>492</v>
      </c>
      <c r="BI16" s="4">
        <v>3.2</v>
      </c>
      <c r="BJ16" s="4">
        <v>0.6</v>
      </c>
      <c r="BK16" s="25">
        <f t="shared" si="1"/>
        <v>84.134217067108523</v>
      </c>
    </row>
    <row r="17" spans="1:63" x14ac:dyDescent="0.2">
      <c r="A17" s="2" t="s">
        <v>150</v>
      </c>
      <c r="B17" s="2" t="s">
        <v>421</v>
      </c>
      <c r="C17" s="7">
        <v>600</v>
      </c>
      <c r="D17" s="7">
        <v>650</v>
      </c>
      <c r="E17" s="7">
        <f t="shared" si="0"/>
        <v>625</v>
      </c>
      <c r="F17" s="4">
        <v>62.4</v>
      </c>
      <c r="G17" s="4">
        <v>17.690000000000001</v>
      </c>
      <c r="H17" s="4">
        <v>6.11</v>
      </c>
      <c r="I17" s="4">
        <v>0.106</v>
      </c>
      <c r="J17" s="4">
        <v>2.1800000000000002</v>
      </c>
      <c r="K17" s="4">
        <v>3.66</v>
      </c>
      <c r="L17" s="4">
        <v>2.74</v>
      </c>
      <c r="M17" s="4">
        <v>1.17</v>
      </c>
      <c r="N17" s="4">
        <v>0.65500000000000003</v>
      </c>
      <c r="O17" s="4">
        <v>0.09</v>
      </c>
      <c r="P17" s="4">
        <v>3.81</v>
      </c>
      <c r="Q17" s="4">
        <v>100.6</v>
      </c>
      <c r="R17" s="4">
        <v>14</v>
      </c>
      <c r="S17" s="4">
        <v>3</v>
      </c>
      <c r="T17" s="4">
        <v>108</v>
      </c>
      <c r="U17" s="4">
        <v>20</v>
      </c>
      <c r="V17" s="4">
        <v>15</v>
      </c>
      <c r="W17" s="4" t="s">
        <v>69</v>
      </c>
      <c r="X17" s="4">
        <v>50</v>
      </c>
      <c r="Y17" s="4">
        <v>100</v>
      </c>
      <c r="Z17" s="4">
        <v>19</v>
      </c>
      <c r="AA17" s="4">
        <v>1</v>
      </c>
      <c r="AB17" s="4" t="s">
        <v>71</v>
      </c>
      <c r="AC17" s="4">
        <v>127</v>
      </c>
      <c r="AD17" s="4">
        <v>330</v>
      </c>
      <c r="AE17" s="4">
        <v>65</v>
      </c>
      <c r="AF17" s="4">
        <v>139</v>
      </c>
      <c r="AG17" s="4">
        <v>6</v>
      </c>
      <c r="AH17" s="4" t="s">
        <v>72</v>
      </c>
      <c r="AI17" s="4" t="s">
        <v>74</v>
      </c>
      <c r="AJ17" s="4" t="s">
        <v>73</v>
      </c>
      <c r="AK17" s="4">
        <v>1</v>
      </c>
      <c r="AL17" s="4" t="s">
        <v>74</v>
      </c>
      <c r="AM17" s="4">
        <v>1</v>
      </c>
      <c r="AN17" s="4">
        <v>431</v>
      </c>
      <c r="AO17" s="4" t="s">
        <v>75</v>
      </c>
      <c r="AP17" s="4">
        <v>32.4</v>
      </c>
      <c r="AQ17" s="4">
        <v>47.2</v>
      </c>
      <c r="AR17" s="4">
        <v>7.81</v>
      </c>
      <c r="AS17" s="4">
        <v>30.5</v>
      </c>
      <c r="AT17" s="4">
        <v>6.1</v>
      </c>
      <c r="AU17" s="4">
        <v>1.71</v>
      </c>
      <c r="AV17" s="4">
        <v>7.3</v>
      </c>
      <c r="AW17" s="4">
        <v>1.5</v>
      </c>
      <c r="AX17" s="4">
        <v>9.6999999999999993</v>
      </c>
      <c r="AY17" s="4">
        <v>1.9</v>
      </c>
      <c r="AZ17" s="4">
        <v>5.3</v>
      </c>
      <c r="BA17" s="4">
        <v>0.7</v>
      </c>
      <c r="BB17" s="4">
        <v>4.4000000000000004</v>
      </c>
      <c r="BC17" s="4">
        <v>0.74</v>
      </c>
      <c r="BD17" s="4">
        <v>3.5</v>
      </c>
      <c r="BE17" s="4">
        <v>0.3</v>
      </c>
      <c r="BF17" s="4" t="s">
        <v>68</v>
      </c>
      <c r="BG17" s="4">
        <v>0.5</v>
      </c>
      <c r="BH17" s="4">
        <v>16</v>
      </c>
      <c r="BI17" s="4">
        <v>7.9</v>
      </c>
      <c r="BJ17" s="4">
        <v>0.6</v>
      </c>
      <c r="BK17" s="25">
        <f t="shared" si="1"/>
        <v>70.03167062549484</v>
      </c>
    </row>
    <row r="18" spans="1:63" x14ac:dyDescent="0.2">
      <c r="A18" s="2" t="s">
        <v>454</v>
      </c>
      <c r="B18" s="2"/>
      <c r="C18" s="2"/>
      <c r="D18" s="2"/>
      <c r="E18" s="2">
        <v>1000</v>
      </c>
      <c r="F18" s="4">
        <v>76.819999999999993</v>
      </c>
      <c r="G18" s="4">
        <v>13.74</v>
      </c>
      <c r="H18" s="4">
        <v>1.01</v>
      </c>
      <c r="I18" s="4">
        <v>1.6E-2</v>
      </c>
      <c r="J18" s="4">
        <v>0.09</v>
      </c>
      <c r="K18" s="4">
        <v>3.37</v>
      </c>
      <c r="L18" s="4">
        <v>3.91</v>
      </c>
      <c r="M18" s="4">
        <v>0.92</v>
      </c>
      <c r="N18" s="4">
        <v>2.7E-2</v>
      </c>
      <c r="O18" s="4" t="s">
        <v>94</v>
      </c>
      <c r="P18" s="4">
        <v>0.89</v>
      </c>
      <c r="Q18" s="4">
        <v>100.8</v>
      </c>
      <c r="R18" s="4" t="s">
        <v>68</v>
      </c>
      <c r="S18" s="4">
        <v>1</v>
      </c>
      <c r="T18" s="4">
        <v>7</v>
      </c>
      <c r="U18" s="4" t="s">
        <v>69</v>
      </c>
      <c r="V18" s="4">
        <v>3</v>
      </c>
      <c r="W18" s="4" t="s">
        <v>69</v>
      </c>
      <c r="X18" s="4">
        <v>60</v>
      </c>
      <c r="Y18" s="4" t="s">
        <v>70</v>
      </c>
      <c r="Z18" s="4">
        <v>11</v>
      </c>
      <c r="AA18" s="4" t="s">
        <v>68</v>
      </c>
      <c r="AB18" s="4" t="s">
        <v>71</v>
      </c>
      <c r="AC18" s="4">
        <v>25</v>
      </c>
      <c r="AD18" s="4">
        <v>431</v>
      </c>
      <c r="AE18" s="4">
        <v>2</v>
      </c>
      <c r="AF18" s="4">
        <v>59</v>
      </c>
      <c r="AG18" s="4" t="s">
        <v>68</v>
      </c>
      <c r="AH18" s="4" t="s">
        <v>72</v>
      </c>
      <c r="AI18" s="4" t="s">
        <v>74</v>
      </c>
      <c r="AJ18" s="4" t="s">
        <v>73</v>
      </c>
      <c r="AK18" s="4" t="s">
        <v>68</v>
      </c>
      <c r="AL18" s="4" t="s">
        <v>74</v>
      </c>
      <c r="AM18" s="4" t="s">
        <v>74</v>
      </c>
      <c r="AN18" s="4">
        <v>113</v>
      </c>
      <c r="AO18" s="4" t="s">
        <v>75</v>
      </c>
      <c r="AP18" s="4">
        <v>2.5</v>
      </c>
      <c r="AQ18" s="4">
        <v>4.0999999999999996</v>
      </c>
      <c r="AR18" s="4">
        <v>0.4</v>
      </c>
      <c r="AS18" s="4">
        <v>1.4</v>
      </c>
      <c r="AT18" s="4">
        <v>0.2</v>
      </c>
      <c r="AU18" s="4">
        <v>0.37</v>
      </c>
      <c r="AV18" s="4">
        <v>0.2</v>
      </c>
      <c r="AW18" s="4">
        <v>0</v>
      </c>
      <c r="AX18" s="4">
        <v>0.2</v>
      </c>
      <c r="AY18" s="4">
        <v>0</v>
      </c>
      <c r="AZ18" s="4">
        <v>0.1</v>
      </c>
      <c r="BA18" s="4">
        <v>0</v>
      </c>
      <c r="BB18" s="4">
        <v>0.3</v>
      </c>
      <c r="BC18" s="4">
        <v>0.05</v>
      </c>
      <c r="BD18" s="4">
        <v>2</v>
      </c>
      <c r="BE18" s="4" t="s">
        <v>79</v>
      </c>
      <c r="BF18" s="4" t="s">
        <v>68</v>
      </c>
      <c r="BG18" s="4">
        <v>0.1</v>
      </c>
      <c r="BH18" s="4">
        <v>6</v>
      </c>
      <c r="BI18" s="4">
        <v>0.7</v>
      </c>
      <c r="BJ18" s="4">
        <v>0.3</v>
      </c>
      <c r="BK18" s="25">
        <f t="shared" si="1"/>
        <v>62.625341841385598</v>
      </c>
    </row>
    <row r="19" spans="1:63" s="21" customFormat="1" x14ac:dyDescent="0.2">
      <c r="A19" s="19" t="s">
        <v>455</v>
      </c>
      <c r="B19" s="19"/>
      <c r="C19" s="19"/>
      <c r="D19" s="19"/>
      <c r="E19" s="19">
        <v>1000</v>
      </c>
      <c r="F19" s="20">
        <v>69.12</v>
      </c>
      <c r="G19" s="20">
        <v>15.87</v>
      </c>
      <c r="H19" s="20">
        <v>2.4500000000000002</v>
      </c>
      <c r="I19" s="20">
        <v>6.2E-2</v>
      </c>
      <c r="J19" s="20">
        <v>1.1100000000000001</v>
      </c>
      <c r="K19" s="20">
        <v>2.27</v>
      </c>
      <c r="L19" s="20">
        <v>4.8</v>
      </c>
      <c r="M19" s="20">
        <v>3.17</v>
      </c>
      <c r="N19" s="20">
        <v>0.25700000000000001</v>
      </c>
      <c r="O19" s="20">
        <v>0.06</v>
      </c>
      <c r="P19" s="20">
        <v>0.37</v>
      </c>
      <c r="Q19" s="20">
        <v>99.53</v>
      </c>
      <c r="R19" s="20">
        <v>4</v>
      </c>
      <c r="S19" s="20">
        <v>2</v>
      </c>
      <c r="T19" s="20">
        <v>25</v>
      </c>
      <c r="U19" s="20">
        <v>190</v>
      </c>
      <c r="V19" s="20">
        <v>4</v>
      </c>
      <c r="W19" s="20">
        <v>40</v>
      </c>
      <c r="X19" s="20">
        <v>30</v>
      </c>
      <c r="Y19" s="20">
        <v>50</v>
      </c>
      <c r="Z19" s="20">
        <v>16</v>
      </c>
      <c r="AA19" s="20">
        <v>1</v>
      </c>
      <c r="AB19" s="20" t="s">
        <v>71</v>
      </c>
      <c r="AC19" s="20">
        <v>95</v>
      </c>
      <c r="AD19" s="20">
        <v>452</v>
      </c>
      <c r="AE19" s="20">
        <v>14</v>
      </c>
      <c r="AF19" s="20">
        <v>157</v>
      </c>
      <c r="AG19" s="20">
        <v>4</v>
      </c>
      <c r="AH19" s="20">
        <v>4</v>
      </c>
      <c r="AI19" s="20" t="s">
        <v>74</v>
      </c>
      <c r="AJ19" s="20" t="s">
        <v>73</v>
      </c>
      <c r="AK19" s="20">
        <v>1</v>
      </c>
      <c r="AL19" s="20" t="s">
        <v>74</v>
      </c>
      <c r="AM19" s="20">
        <v>1.8</v>
      </c>
      <c r="AN19" s="20">
        <v>667</v>
      </c>
      <c r="AO19" s="20" t="s">
        <v>75</v>
      </c>
      <c r="AP19" s="20">
        <v>15.6</v>
      </c>
      <c r="AQ19" s="20">
        <v>32.700000000000003</v>
      </c>
      <c r="AR19" s="20">
        <v>3.6</v>
      </c>
      <c r="AS19" s="20">
        <v>13.5</v>
      </c>
      <c r="AT19" s="20">
        <v>2.5</v>
      </c>
      <c r="AU19" s="20">
        <v>0.63</v>
      </c>
      <c r="AV19" s="20">
        <v>2.2999999999999998</v>
      </c>
      <c r="AW19" s="20">
        <v>0.4</v>
      </c>
      <c r="AX19" s="20">
        <v>2.4</v>
      </c>
      <c r="AY19" s="20">
        <v>0.5</v>
      </c>
      <c r="AZ19" s="20">
        <v>1.6</v>
      </c>
      <c r="BA19" s="20">
        <v>0.28000000000000003</v>
      </c>
      <c r="BB19" s="20">
        <v>2</v>
      </c>
      <c r="BC19" s="20">
        <v>0.33</v>
      </c>
      <c r="BD19" s="20">
        <v>4.7</v>
      </c>
      <c r="BE19" s="20">
        <v>0.6</v>
      </c>
      <c r="BF19" s="20" t="s">
        <v>68</v>
      </c>
      <c r="BG19" s="20">
        <v>0.3</v>
      </c>
      <c r="BH19" s="20">
        <v>15</v>
      </c>
      <c r="BI19" s="20">
        <v>5.9</v>
      </c>
      <c r="BJ19" s="20">
        <v>1.6</v>
      </c>
      <c r="BK19" s="25">
        <f t="shared" si="1"/>
        <v>60.781309842972043</v>
      </c>
    </row>
    <row r="21" spans="1:63" x14ac:dyDescent="0.2">
      <c r="A21" s="7" t="s">
        <v>504</v>
      </c>
    </row>
    <row r="22" spans="1:63" x14ac:dyDescent="0.2">
      <c r="AE22" s="260" t="s">
        <v>660</v>
      </c>
      <c r="AG22" s="260" t="s">
        <v>661</v>
      </c>
      <c r="AM22" s="260" t="s">
        <v>657</v>
      </c>
      <c r="AP22" s="4" t="s">
        <v>39</v>
      </c>
      <c r="AQ22" s="4" t="s">
        <v>40</v>
      </c>
      <c r="AR22" s="4" t="s">
        <v>41</v>
      </c>
      <c r="AS22" s="4" t="s">
        <v>42</v>
      </c>
      <c r="AT22" s="4" t="s">
        <v>43</v>
      </c>
      <c r="AU22" s="4" t="s">
        <v>44</v>
      </c>
      <c r="AV22" s="4" t="s">
        <v>45</v>
      </c>
      <c r="AW22" s="4" t="s">
        <v>46</v>
      </c>
      <c r="AX22" s="4" t="s">
        <v>47</v>
      </c>
      <c r="AY22" s="4" t="s">
        <v>48</v>
      </c>
      <c r="AZ22" s="4" t="s">
        <v>49</v>
      </c>
      <c r="BA22" s="4" t="s">
        <v>50</v>
      </c>
      <c r="BB22" s="4" t="s">
        <v>51</v>
      </c>
      <c r="BC22" s="4" t="s">
        <v>52</v>
      </c>
      <c r="BH22" s="260" t="s">
        <v>648</v>
      </c>
      <c r="BJ22" s="260" t="s">
        <v>644</v>
      </c>
    </row>
    <row r="23" spans="1:63" x14ac:dyDescent="0.2">
      <c r="AE23" s="352">
        <v>1.56</v>
      </c>
      <c r="AG23" s="351">
        <v>5.5599999999999997E-2</v>
      </c>
      <c r="AO23" s="11" t="s">
        <v>440</v>
      </c>
      <c r="AP23" s="12">
        <v>0.36699999999999999</v>
      </c>
      <c r="AQ23" s="12">
        <v>0.95699999999999996</v>
      </c>
      <c r="AR23" s="12">
        <v>0.13700000000000001</v>
      </c>
      <c r="AS23" s="12">
        <v>0.71099999999999997</v>
      </c>
      <c r="AT23" s="12">
        <v>0.23100000000000001</v>
      </c>
      <c r="AU23" s="12">
        <v>8.6999999999999994E-2</v>
      </c>
      <c r="AV23" s="12">
        <v>0.30599999999999999</v>
      </c>
      <c r="AW23" s="12">
        <v>5.8000000000000003E-2</v>
      </c>
      <c r="AX23" s="12">
        <v>0.38100000000000001</v>
      </c>
      <c r="AY23" s="12">
        <v>8.5000000000000006E-2</v>
      </c>
      <c r="AZ23" s="12">
        <v>0.249</v>
      </c>
      <c r="BA23" s="12">
        <v>3.5999999999999997E-2</v>
      </c>
      <c r="BB23" s="12">
        <v>0.248</v>
      </c>
      <c r="BC23" s="12">
        <v>3.7999999999999999E-2</v>
      </c>
      <c r="BD23" s="16" t="s">
        <v>441</v>
      </c>
      <c r="BE23" t="s">
        <v>625</v>
      </c>
      <c r="BF23" t="s">
        <v>626</v>
      </c>
    </row>
    <row r="24" spans="1:63" x14ac:dyDescent="0.2">
      <c r="AE24">
        <f t="shared" ref="AE24:AE34" si="2">AE7/AE$23</f>
        <v>6.4102564102564097</v>
      </c>
      <c r="AG24">
        <f>AY7/AG$23</f>
        <v>7.1942446043165473</v>
      </c>
      <c r="AM24">
        <f>AE24/AG24</f>
        <v>0.89102564102564086</v>
      </c>
      <c r="AO24">
        <f t="shared" ref="AO24:AO34" si="3">E7</f>
        <v>5</v>
      </c>
      <c r="AP24">
        <f>AP7/AP$23</f>
        <v>33.514986376021803</v>
      </c>
      <c r="AQ24">
        <f t="shared" ref="AQ24:BC24" si="4">AQ7/AQ$23</f>
        <v>35.214211076280044</v>
      </c>
      <c r="AR24" s="11">
        <f t="shared" si="4"/>
        <v>22.408759124087588</v>
      </c>
      <c r="AS24" s="12">
        <f t="shared" si="4"/>
        <v>16.31504922644163</v>
      </c>
      <c r="AT24">
        <f t="shared" si="4"/>
        <v>9.5238095238095237</v>
      </c>
      <c r="AU24">
        <f t="shared" si="4"/>
        <v>6.3218390804597711</v>
      </c>
      <c r="AV24">
        <f t="shared" si="4"/>
        <v>6.5359477124183005</v>
      </c>
      <c r="AW24">
        <f t="shared" si="4"/>
        <v>5.1724137931034475</v>
      </c>
      <c r="AX24">
        <f t="shared" si="4"/>
        <v>4.9868766404199469</v>
      </c>
      <c r="AY24">
        <f t="shared" si="4"/>
        <v>4.7058823529411766</v>
      </c>
      <c r="AZ24">
        <f t="shared" si="4"/>
        <v>4.4176706827309244</v>
      </c>
      <c r="BA24">
        <f t="shared" si="4"/>
        <v>4.7222222222222232</v>
      </c>
      <c r="BB24">
        <f t="shared" si="4"/>
        <v>4.838709677419355</v>
      </c>
      <c r="BC24">
        <f t="shared" si="4"/>
        <v>5.2631578947368425</v>
      </c>
      <c r="BD24" s="16">
        <f t="shared" ref="BD24:BD34" si="5">SUM(AP7:BC7)</f>
        <v>70.690000000000012</v>
      </c>
      <c r="BE24" s="257">
        <f>AQ7/(AQ7+AP7)</f>
        <v>0.73260869565217401</v>
      </c>
      <c r="BF24" s="257">
        <f>G7+H7+P7</f>
        <v>16.82</v>
      </c>
      <c r="BH24" s="333">
        <f>3*AQ24/(2*AP24+AS24)</f>
        <v>1.2675338097110447</v>
      </c>
      <c r="BJ24">
        <f>AU24*2/(AT24+AV24)</f>
        <v>0.78728949478749011</v>
      </c>
    </row>
    <row r="25" spans="1:63" x14ac:dyDescent="0.2">
      <c r="AE25">
        <f t="shared" si="2"/>
        <v>6.4102564102564097</v>
      </c>
      <c r="AG25">
        <f t="shared" ref="AG25:AG34" si="6">AY8/AG$23</f>
        <v>7.1942446043165473</v>
      </c>
      <c r="AM25">
        <f t="shared" ref="AM25:AM34" si="7">AE25/AG25</f>
        <v>0.89102564102564086</v>
      </c>
      <c r="AO25">
        <f t="shared" si="3"/>
        <v>14</v>
      </c>
      <c r="AP25">
        <f t="shared" ref="AP25:BC25" si="8">AP8/AP$23</f>
        <v>37.057220708446863</v>
      </c>
      <c r="AQ25">
        <f t="shared" si="8"/>
        <v>38.871473354231981</v>
      </c>
      <c r="AR25">
        <f t="shared" si="8"/>
        <v>24.379562043795616</v>
      </c>
      <c r="AS25">
        <f t="shared" si="8"/>
        <v>17.440225035161745</v>
      </c>
      <c r="AT25">
        <f t="shared" si="8"/>
        <v>10.822510822510822</v>
      </c>
      <c r="AU25">
        <f t="shared" si="8"/>
        <v>6.4367816091954033</v>
      </c>
      <c r="AV25">
        <f t="shared" si="8"/>
        <v>7.1895424836601318</v>
      </c>
      <c r="AW25">
        <f t="shared" si="8"/>
        <v>5.1724137931034475</v>
      </c>
      <c r="AX25">
        <f t="shared" si="8"/>
        <v>4.9868766404199469</v>
      </c>
      <c r="AY25">
        <f t="shared" si="8"/>
        <v>4.7058823529411766</v>
      </c>
      <c r="AZ25">
        <f t="shared" si="8"/>
        <v>4.8192771084337345</v>
      </c>
      <c r="BA25">
        <f t="shared" si="8"/>
        <v>5.2777777777777786</v>
      </c>
      <c r="BB25">
        <f t="shared" si="8"/>
        <v>5.241935483870968</v>
      </c>
      <c r="BC25">
        <f t="shared" si="8"/>
        <v>5.5263157894736841</v>
      </c>
      <c r="BD25" s="16">
        <f t="shared" si="5"/>
        <v>77.300000000000011</v>
      </c>
      <c r="BE25" s="257">
        <f t="shared" ref="BE25:BE34" si="9">AQ8/(AQ8+AP8)</f>
        <v>0.73228346456692917</v>
      </c>
      <c r="BF25" s="257">
        <f t="shared" ref="BF25:BF34" si="10">G8+H8+P8</f>
        <v>16.259999999999998</v>
      </c>
      <c r="BH25" s="333">
        <f t="shared" ref="BH25:BH34" si="11">3*AQ25/(2*AP25+AS25)</f>
        <v>1.2737135591418876</v>
      </c>
      <c r="BJ25">
        <f t="shared" ref="BJ25:BJ36" si="12">AU25*2/(AT25+AV25)</f>
        <v>0.71471936039520301</v>
      </c>
    </row>
    <row r="26" spans="1:63" x14ac:dyDescent="0.2">
      <c r="AE26">
        <f t="shared" si="2"/>
        <v>4.4871794871794872</v>
      </c>
      <c r="AG26">
        <f t="shared" si="6"/>
        <v>5.3956834532374103</v>
      </c>
      <c r="AM26">
        <f t="shared" si="7"/>
        <v>0.83162393162393156</v>
      </c>
      <c r="AO26">
        <f t="shared" si="3"/>
        <v>38</v>
      </c>
      <c r="AP26">
        <f t="shared" ref="AP26:BC26" si="13">AP9/AP$23</f>
        <v>28.065395095367851</v>
      </c>
      <c r="AQ26">
        <f t="shared" si="13"/>
        <v>27.272727272727277</v>
      </c>
      <c r="AR26">
        <f t="shared" si="13"/>
        <v>17.664233576642335</v>
      </c>
      <c r="AS26">
        <f t="shared" si="13"/>
        <v>13.080168776371309</v>
      </c>
      <c r="AT26">
        <f t="shared" si="13"/>
        <v>7.7922077922077921</v>
      </c>
      <c r="AU26">
        <f t="shared" si="13"/>
        <v>4.4827586206896557</v>
      </c>
      <c r="AV26">
        <f t="shared" si="13"/>
        <v>5.2287581699346406</v>
      </c>
      <c r="AW26">
        <f t="shared" si="13"/>
        <v>3.4482758620689657</v>
      </c>
      <c r="AX26">
        <f t="shared" si="13"/>
        <v>3.9370078740157481</v>
      </c>
      <c r="AY26">
        <f t="shared" si="13"/>
        <v>3.5294117647058818</v>
      </c>
      <c r="AZ26">
        <f t="shared" si="13"/>
        <v>4.0160642570281126</v>
      </c>
      <c r="BA26">
        <f t="shared" si="13"/>
        <v>4.166666666666667</v>
      </c>
      <c r="BB26">
        <f t="shared" si="13"/>
        <v>4.435483870967742</v>
      </c>
      <c r="BC26">
        <f t="shared" si="13"/>
        <v>4.4736842105263159</v>
      </c>
      <c r="BD26" s="16">
        <f t="shared" si="5"/>
        <v>56.330000000000005</v>
      </c>
      <c r="BE26" s="257">
        <f t="shared" si="9"/>
        <v>0.71703296703296693</v>
      </c>
      <c r="BF26" s="257">
        <f t="shared" si="10"/>
        <v>31.310000000000002</v>
      </c>
      <c r="BH26" s="333">
        <f t="shared" si="11"/>
        <v>1.1821564538220959</v>
      </c>
      <c r="BJ26">
        <f t="shared" si="12"/>
        <v>0.68854471069549972</v>
      </c>
    </row>
    <row r="27" spans="1:63" ht="17" x14ac:dyDescent="0.25">
      <c r="A27" t="s">
        <v>469</v>
      </c>
      <c r="B27" t="s">
        <v>466</v>
      </c>
      <c r="C27" t="s">
        <v>467</v>
      </c>
      <c r="D27" t="s">
        <v>468</v>
      </c>
      <c r="E27" s="260" t="s">
        <v>622</v>
      </c>
      <c r="F27" s="260" t="s">
        <v>623</v>
      </c>
      <c r="G27" s="260" t="s">
        <v>5</v>
      </c>
      <c r="H27" s="293" t="s">
        <v>620</v>
      </c>
      <c r="I27" s="260" t="s">
        <v>7</v>
      </c>
      <c r="J27" s="260" t="s">
        <v>8</v>
      </c>
      <c r="K27" s="260" t="s">
        <v>9</v>
      </c>
      <c r="L27" s="260" t="s">
        <v>10</v>
      </c>
      <c r="M27" s="260" t="s">
        <v>11</v>
      </c>
      <c r="N27" s="293" t="s">
        <v>621</v>
      </c>
      <c r="O27" s="260" t="s">
        <v>624</v>
      </c>
      <c r="AE27">
        <f t="shared" si="2"/>
        <v>1.9230769230769229</v>
      </c>
      <c r="AG27">
        <f t="shared" si="6"/>
        <v>3.5971223021582737</v>
      </c>
      <c r="AM27">
        <f t="shared" si="7"/>
        <v>0.53461538461538449</v>
      </c>
      <c r="AO27">
        <f t="shared" si="3"/>
        <v>72</v>
      </c>
      <c r="AP27">
        <f t="shared" ref="AP27:BC27" si="14">AP10/AP$23</f>
        <v>17.166212534059945</v>
      </c>
      <c r="AQ27">
        <f t="shared" si="14"/>
        <v>14.211076280041798</v>
      </c>
      <c r="AR27">
        <f t="shared" si="14"/>
        <v>9.8540145985401466</v>
      </c>
      <c r="AS27">
        <f t="shared" si="14"/>
        <v>6.7510548523206753</v>
      </c>
      <c r="AT27">
        <f t="shared" si="14"/>
        <v>4.329004329004329</v>
      </c>
      <c r="AU27">
        <f t="shared" si="14"/>
        <v>2.6436781609195403</v>
      </c>
      <c r="AV27">
        <f t="shared" si="14"/>
        <v>2.2875816993464051</v>
      </c>
      <c r="AW27">
        <f t="shared" si="14"/>
        <v>1.7241379310344829</v>
      </c>
      <c r="AX27">
        <f t="shared" si="14"/>
        <v>2.0997375328083989</v>
      </c>
      <c r="AY27">
        <f t="shared" si="14"/>
        <v>2.3529411764705883</v>
      </c>
      <c r="AZ27">
        <f t="shared" si="14"/>
        <v>2.0080321285140563</v>
      </c>
      <c r="BA27">
        <f t="shared" si="14"/>
        <v>2.5</v>
      </c>
      <c r="BB27">
        <f t="shared" si="14"/>
        <v>2.82258064516129</v>
      </c>
      <c r="BC27">
        <f t="shared" si="14"/>
        <v>2.8947368421052633</v>
      </c>
      <c r="BD27" s="16">
        <f t="shared" si="5"/>
        <v>30.48</v>
      </c>
      <c r="BE27" s="257">
        <f t="shared" si="9"/>
        <v>0.68341708542713575</v>
      </c>
      <c r="BF27" s="257">
        <f t="shared" si="10"/>
        <v>46.81</v>
      </c>
      <c r="BH27" s="333">
        <f t="shared" si="11"/>
        <v>1.0377219486442231</v>
      </c>
      <c r="BJ27">
        <f t="shared" si="12"/>
        <v>0.79910641215633371</v>
      </c>
    </row>
    <row r="28" spans="1:63" ht="16" x14ac:dyDescent="0.2">
      <c r="A28" t="str">
        <f>A7</f>
        <v xml:space="preserve">R1C3EA01 </v>
      </c>
      <c r="B28" s="25">
        <f>100*G7/(G7+K7+L7)</f>
        <v>97.270471464019849</v>
      </c>
      <c r="C28" s="25">
        <f>100*G7/(G7+K7+M7+L7)</f>
        <v>90.426758938869668</v>
      </c>
      <c r="D28" s="25">
        <f>100*((2*L7/0.35)+(J7/0.9)+(2*M7/0.25)+(K7/0.7))</f>
        <v>563.8730158730159</v>
      </c>
      <c r="E28" s="303">
        <f>((F7/F$17)*($N$17/$N7))-1</f>
        <v>1.2398672521704022</v>
      </c>
      <c r="F28" s="303">
        <f t="shared" ref="F28:O28" si="15">((G7/G$17)*($N$17/$N7))-1</f>
        <v>-0.23808845544956969</v>
      </c>
      <c r="G28" s="303">
        <f t="shared" si="15"/>
        <v>-0.25718777787801073</v>
      </c>
      <c r="H28" s="303">
        <f t="shared" si="15"/>
        <v>-0.23773089684544146</v>
      </c>
      <c r="I28" s="303">
        <f t="shared" si="15"/>
        <v>-0.8974812781429844</v>
      </c>
      <c r="J28" s="303">
        <f t="shared" si="15"/>
        <v>-0.92954261864807886</v>
      </c>
      <c r="K28" s="303">
        <f t="shared" si="15"/>
        <v>-0.9560798513324521</v>
      </c>
      <c r="L28" s="303">
        <f t="shared" si="15"/>
        <v>-0.10368575722906415</v>
      </c>
      <c r="M28" s="303">
        <f t="shared" si="15"/>
        <v>0</v>
      </c>
      <c r="N28" s="303">
        <f t="shared" si="15"/>
        <v>1.4832312627588222</v>
      </c>
      <c r="O28" s="303">
        <f t="shared" si="15"/>
        <v>1.8607546103981099</v>
      </c>
      <c r="AG28">
        <f t="shared" si="6"/>
        <v>3.5971223021582737</v>
      </c>
      <c r="AO28">
        <f t="shared" si="3"/>
        <v>110.5</v>
      </c>
      <c r="AP28">
        <f t="shared" ref="AP28:BC28" si="16">AP11/AP$23</f>
        <v>16.348773841961854</v>
      </c>
      <c r="AQ28">
        <f t="shared" si="16"/>
        <v>16.509926854754443</v>
      </c>
      <c r="AR28">
        <f t="shared" si="16"/>
        <v>11.094890510948904</v>
      </c>
      <c r="AS28">
        <f t="shared" si="16"/>
        <v>8.157524613220815</v>
      </c>
      <c r="AT28">
        <f t="shared" si="16"/>
        <v>5.1948051948051948</v>
      </c>
      <c r="AU28">
        <f t="shared" si="16"/>
        <v>3.6781609195402303</v>
      </c>
      <c r="AV28">
        <f t="shared" si="16"/>
        <v>2.9411764705882355</v>
      </c>
      <c r="AW28">
        <f t="shared" si="16"/>
        <v>3.4482758620689657</v>
      </c>
      <c r="AX28">
        <f t="shared" si="16"/>
        <v>2.6246719160104988</v>
      </c>
      <c r="AY28">
        <f t="shared" si="16"/>
        <v>2.3529411764705883</v>
      </c>
      <c r="AZ28">
        <f t="shared" si="16"/>
        <v>2.4096385542168672</v>
      </c>
      <c r="BA28">
        <f t="shared" si="16"/>
        <v>3.0555555555555558</v>
      </c>
      <c r="BB28">
        <f t="shared" si="16"/>
        <v>3.6290322580645165</v>
      </c>
      <c r="BC28">
        <f t="shared" si="16"/>
        <v>3.6842105263157898</v>
      </c>
      <c r="BD28" s="16">
        <f t="shared" si="5"/>
        <v>34.69</v>
      </c>
      <c r="BE28" s="257">
        <f t="shared" si="9"/>
        <v>0.72477064220183485</v>
      </c>
      <c r="BF28" s="257">
        <f t="shared" si="10"/>
        <v>46.379999999999995</v>
      </c>
      <c r="BH28" s="333">
        <f t="shared" si="11"/>
        <v>1.2123287949174699</v>
      </c>
      <c r="BJ28">
        <f t="shared" si="12"/>
        <v>0.90417138848416179</v>
      </c>
    </row>
    <row r="29" spans="1:63" ht="16" x14ac:dyDescent="0.2">
      <c r="A29" t="str">
        <f t="shared" ref="A29:A38" si="17">A8</f>
        <v xml:space="preserve">R1C3EA02 </v>
      </c>
      <c r="B29" s="25">
        <f t="shared" ref="B29:B38" si="18">100*G8/(G8+K8+L8)</f>
        <v>97.04069050554871</v>
      </c>
      <c r="C29" s="25">
        <f t="shared" ref="C29:C38" si="19">100*G8/(G8+K8+M8+L8)</f>
        <v>90.148911798396355</v>
      </c>
      <c r="D29" s="25">
        <f t="shared" ref="D29:D38" si="20">100*((2*L8/0.35)+(J8/0.9)+(2*M8/0.25)+(K8/0.7))</f>
        <v>596.15873015873012</v>
      </c>
      <c r="E29" s="303">
        <f t="shared" ref="E29:O38" si="21">((F8/F$17)*($N$17/$N8))-1</f>
        <v>1.3475434668071653</v>
      </c>
      <c r="F29" s="303">
        <f t="shared" si="21"/>
        <v>-0.20164631360493113</v>
      </c>
      <c r="G29" s="303">
        <f t="shared" si="21"/>
        <v>-0.2246261462233482</v>
      </c>
      <c r="H29" s="303">
        <f t="shared" si="21"/>
        <v>-6.8880847764280162E-2</v>
      </c>
      <c r="I29" s="303">
        <f t="shared" si="21"/>
        <v>-0.89298730677390981</v>
      </c>
      <c r="J29" s="303">
        <f t="shared" si="21"/>
        <v>-0.94116326072310807</v>
      </c>
      <c r="K29" s="303">
        <f t="shared" si="21"/>
        <v>-0.92140785921407864</v>
      </c>
      <c r="L29" s="303">
        <f t="shared" si="21"/>
        <v>-4.905748741365179E-2</v>
      </c>
      <c r="M29" s="303">
        <f t="shared" si="21"/>
        <v>0</v>
      </c>
      <c r="N29" s="303">
        <f t="shared" si="21"/>
        <v>0.99391171993911742</v>
      </c>
      <c r="O29" s="303">
        <f t="shared" si="21"/>
        <v>1.7082659188149427</v>
      </c>
      <c r="AE29">
        <f t="shared" si="2"/>
        <v>1.9230769230769229</v>
      </c>
      <c r="AG29">
        <f t="shared" si="6"/>
        <v>3.5971223021582737</v>
      </c>
      <c r="AM29">
        <f t="shared" si="7"/>
        <v>0.53461538461538449</v>
      </c>
      <c r="AO29">
        <f t="shared" si="3"/>
        <v>167.5</v>
      </c>
      <c r="AP29">
        <f t="shared" ref="AP29:BC29" si="22">AP12/AP$23</f>
        <v>17.711171662125341</v>
      </c>
      <c r="AQ29">
        <f t="shared" si="22"/>
        <v>18.18181818181818</v>
      </c>
      <c r="AR29">
        <f t="shared" si="22"/>
        <v>12.91970802919708</v>
      </c>
      <c r="AS29">
        <f t="shared" si="22"/>
        <v>9.423347398030943</v>
      </c>
      <c r="AT29">
        <f t="shared" si="22"/>
        <v>6.0606060606060597</v>
      </c>
      <c r="AU29">
        <f t="shared" si="22"/>
        <v>4.1379310344827589</v>
      </c>
      <c r="AV29">
        <f t="shared" si="22"/>
        <v>3.5947712418300659</v>
      </c>
      <c r="AW29">
        <f t="shared" si="22"/>
        <v>3.4482758620689657</v>
      </c>
      <c r="AX29">
        <f t="shared" si="22"/>
        <v>3.1496062992125982</v>
      </c>
      <c r="AY29">
        <f t="shared" si="22"/>
        <v>2.3529411764705883</v>
      </c>
      <c r="AZ29">
        <f t="shared" si="22"/>
        <v>2.8112449799196786</v>
      </c>
      <c r="BA29">
        <f t="shared" si="22"/>
        <v>3.6111111111111116</v>
      </c>
      <c r="BB29">
        <f t="shared" si="22"/>
        <v>4.032258064516129</v>
      </c>
      <c r="BC29">
        <f t="shared" si="22"/>
        <v>3.6842105263157898</v>
      </c>
      <c r="BD29" s="16">
        <f t="shared" si="5"/>
        <v>38.800000000000011</v>
      </c>
      <c r="BE29" s="257">
        <f t="shared" si="9"/>
        <v>0.72803347280334729</v>
      </c>
      <c r="BF29" s="257">
        <f t="shared" si="10"/>
        <v>49.300000000000004</v>
      </c>
      <c r="BH29" s="333">
        <f t="shared" si="11"/>
        <v>1.2162919929863758</v>
      </c>
      <c r="BJ29">
        <f t="shared" si="12"/>
        <v>0.85712466843501334</v>
      </c>
    </row>
    <row r="30" spans="1:63" ht="16" x14ac:dyDescent="0.2">
      <c r="A30" t="str">
        <f t="shared" si="17"/>
        <v xml:space="preserve">R1C3EA03 </v>
      </c>
      <c r="B30" s="25">
        <f t="shared" si="18"/>
        <v>99.299474605954487</v>
      </c>
      <c r="C30" s="25">
        <f t="shared" si="19"/>
        <v>96.428571428571445</v>
      </c>
      <c r="D30" s="25">
        <f t="shared" si="20"/>
        <v>467.52380952380952</v>
      </c>
      <c r="E30" s="303">
        <f t="shared" si="21"/>
        <v>0.10324818596877439</v>
      </c>
      <c r="F30" s="303">
        <f t="shared" si="21"/>
        <v>1.3067301997573555E-3</v>
      </c>
      <c r="G30" s="303">
        <f t="shared" si="21"/>
        <v>-4.728884078070561E-2</v>
      </c>
      <c r="H30" s="303">
        <f t="shared" si="21"/>
        <v>-0.72493025767165609</v>
      </c>
      <c r="I30" s="303">
        <f t="shared" si="21"/>
        <v>-0.92834847799769549</v>
      </c>
      <c r="J30" s="303">
        <f t="shared" si="21"/>
        <v>-0.9829289269983581</v>
      </c>
      <c r="K30" s="303">
        <f t="shared" si="21"/>
        <v>-0.97719703387371915</v>
      </c>
      <c r="L30" s="303">
        <f t="shared" si="21"/>
        <v>-0.54608454608454604</v>
      </c>
      <c r="M30" s="303">
        <f t="shared" si="21"/>
        <v>0</v>
      </c>
      <c r="N30" s="303">
        <f t="shared" si="21"/>
        <v>-0.42148030383324497</v>
      </c>
      <c r="O30" s="303">
        <f t="shared" si="21"/>
        <v>1.3805857733602065</v>
      </c>
      <c r="AE30">
        <f t="shared" si="2"/>
        <v>3.2051282051282048</v>
      </c>
      <c r="AG30">
        <f t="shared" si="6"/>
        <v>7.1942446043165473</v>
      </c>
      <c r="AM30">
        <f t="shared" si="7"/>
        <v>0.44551282051282043</v>
      </c>
      <c r="AO30">
        <f t="shared" si="3"/>
        <v>250</v>
      </c>
      <c r="AP30">
        <f t="shared" ref="AP30:BC30" si="23">AP13/AP$23</f>
        <v>22.070844686648499</v>
      </c>
      <c r="AQ30">
        <f t="shared" si="23"/>
        <v>30.19853709508882</v>
      </c>
      <c r="AR30">
        <f t="shared" si="23"/>
        <v>19.562043795620436</v>
      </c>
      <c r="AS30">
        <f t="shared" si="23"/>
        <v>15.330520393811534</v>
      </c>
      <c r="AT30">
        <f t="shared" si="23"/>
        <v>10.822510822510822</v>
      </c>
      <c r="AU30">
        <f t="shared" si="23"/>
        <v>7.126436781609196</v>
      </c>
      <c r="AV30">
        <f t="shared" si="23"/>
        <v>6.2091503267973858</v>
      </c>
      <c r="AW30">
        <f t="shared" si="23"/>
        <v>5.1724137931034475</v>
      </c>
      <c r="AX30">
        <f t="shared" si="23"/>
        <v>5.2493438320209975</v>
      </c>
      <c r="AY30">
        <f t="shared" si="23"/>
        <v>4.7058823529411766</v>
      </c>
      <c r="AZ30">
        <f t="shared" si="23"/>
        <v>4.8192771084337345</v>
      </c>
      <c r="BA30">
        <f t="shared" si="23"/>
        <v>5.8333333333333339</v>
      </c>
      <c r="BB30">
        <f t="shared" si="23"/>
        <v>6.0483870967741939</v>
      </c>
      <c r="BC30">
        <f t="shared" si="23"/>
        <v>6.3157894736842106</v>
      </c>
      <c r="BD30" s="16">
        <f t="shared" si="5"/>
        <v>61.449999999999996</v>
      </c>
      <c r="BE30" s="257">
        <f t="shared" si="9"/>
        <v>0.7810810810810811</v>
      </c>
      <c r="BF30" s="257">
        <f t="shared" si="10"/>
        <v>46.85</v>
      </c>
      <c r="BH30" s="333">
        <f t="shared" si="11"/>
        <v>1.5233268049066324</v>
      </c>
      <c r="BJ30">
        <f t="shared" si="12"/>
        <v>0.83684576849377468</v>
      </c>
    </row>
    <row r="31" spans="1:63" ht="16" x14ac:dyDescent="0.2">
      <c r="A31" t="str">
        <f t="shared" si="17"/>
        <v xml:space="preserve">R1C3EA04 </v>
      </c>
      <c r="B31" s="25">
        <f t="shared" si="18"/>
        <v>99.561927518916775</v>
      </c>
      <c r="C31" s="25">
        <f t="shared" si="19"/>
        <v>98.814229249011859</v>
      </c>
      <c r="D31" s="25">
        <f t="shared" si="20"/>
        <v>199.30158730158732</v>
      </c>
      <c r="E31" s="303">
        <f t="shared" si="21"/>
        <v>-0.40978548133153392</v>
      </c>
      <c r="F31" s="303">
        <f t="shared" si="21"/>
        <v>1.498269415766651E-2</v>
      </c>
      <c r="G31" s="303">
        <f t="shared" si="21"/>
        <v>0.13313664685445192</v>
      </c>
      <c r="H31" s="303">
        <f t="shared" si="21"/>
        <v>-0.87804121151936443</v>
      </c>
      <c r="I31" s="303">
        <f t="shared" si="21"/>
        <v>-0.95717145501368095</v>
      </c>
      <c r="J31" s="303">
        <f t="shared" si="21"/>
        <v>-0.98626390087239957</v>
      </c>
      <c r="K31" s="303">
        <f t="shared" si="21"/>
        <v>-0.98951530285567935</v>
      </c>
      <c r="L31" s="303">
        <f t="shared" si="21"/>
        <v>-0.88336894586894588</v>
      </c>
      <c r="M31" s="303">
        <f t="shared" si="21"/>
        <v>0</v>
      </c>
      <c r="N31" s="303">
        <f t="shared" si="21"/>
        <v>-0.60099902534113059</v>
      </c>
      <c r="O31" s="303">
        <f t="shared" si="21"/>
        <v>1.2940985172906014</v>
      </c>
      <c r="AE31">
        <f t="shared" si="2"/>
        <v>7.0512820512820511</v>
      </c>
      <c r="AG31">
        <f t="shared" si="6"/>
        <v>10.791366906474821</v>
      </c>
      <c r="AM31">
        <f t="shared" si="7"/>
        <v>0.65341880341880343</v>
      </c>
      <c r="AO31">
        <f t="shared" si="3"/>
        <v>350</v>
      </c>
      <c r="AP31">
        <f t="shared" ref="AP31:BC31" si="24">AP14/AP$23</f>
        <v>44.414168937329705</v>
      </c>
      <c r="AQ31">
        <f t="shared" si="24"/>
        <v>54.858934169278996</v>
      </c>
      <c r="AR31">
        <f t="shared" si="24"/>
        <v>32.919708029197075</v>
      </c>
      <c r="AS31">
        <f t="shared" si="24"/>
        <v>25.45710267229255</v>
      </c>
      <c r="AT31">
        <f t="shared" si="24"/>
        <v>18.181818181818183</v>
      </c>
      <c r="AU31">
        <f t="shared" si="24"/>
        <v>11.724137931034484</v>
      </c>
      <c r="AV31">
        <f t="shared" si="24"/>
        <v>10.130718954248367</v>
      </c>
      <c r="AW31">
        <f t="shared" si="24"/>
        <v>8.6206896551724128</v>
      </c>
      <c r="AX31">
        <f t="shared" si="24"/>
        <v>8.1364829396325469</v>
      </c>
      <c r="AY31">
        <f t="shared" si="24"/>
        <v>7.0588235294117636</v>
      </c>
      <c r="AZ31">
        <f t="shared" si="24"/>
        <v>7.2289156626506026</v>
      </c>
      <c r="BA31">
        <f t="shared" si="24"/>
        <v>8.0555555555555554</v>
      </c>
      <c r="BB31">
        <f t="shared" si="24"/>
        <v>8.870967741935484</v>
      </c>
      <c r="BC31">
        <f t="shared" si="24"/>
        <v>8.9473684210526319</v>
      </c>
      <c r="BD31" s="16">
        <f t="shared" si="5"/>
        <v>108.55999999999999</v>
      </c>
      <c r="BE31" s="257">
        <f t="shared" si="9"/>
        <v>0.76308139534883723</v>
      </c>
      <c r="BF31" s="257">
        <f t="shared" si="10"/>
        <v>43.95</v>
      </c>
      <c r="BH31" s="333">
        <f t="shared" si="11"/>
        <v>1.4400504711728681</v>
      </c>
      <c r="BJ31">
        <f t="shared" si="12"/>
        <v>0.82819408763613989</v>
      </c>
    </row>
    <row r="32" spans="1:63" ht="16" x14ac:dyDescent="0.2">
      <c r="A32" t="str">
        <f t="shared" si="17"/>
        <v xml:space="preserve">R1C3EA05 </v>
      </c>
      <c r="B32" s="25">
        <f t="shared" si="18"/>
        <v>99.834505585436489</v>
      </c>
      <c r="C32" s="25">
        <f t="shared" si="19"/>
        <v>99.423156159868142</v>
      </c>
      <c r="D32" s="25">
        <f t="shared" si="20"/>
        <v>108.57142857142857</v>
      </c>
      <c r="E32" s="303">
        <f t="shared" si="21"/>
        <v>-0.43455221785513753</v>
      </c>
      <c r="F32" s="303">
        <f t="shared" si="21"/>
        <v>-6.8351301024302868E-2</v>
      </c>
      <c r="G32" s="303">
        <f t="shared" si="21"/>
        <v>0.14579084527834341</v>
      </c>
      <c r="H32" s="303">
        <f t="shared" si="21"/>
        <v>-0.86468805949593719</v>
      </c>
      <c r="I32" s="303">
        <f t="shared" si="21"/>
        <v>-0.97180262314528709</v>
      </c>
      <c r="J32" s="303">
        <f t="shared" si="21"/>
        <v>-0.99813387123426611</v>
      </c>
      <c r="K32" s="303">
        <f t="shared" si="21"/>
        <v>-0.99252186355921235</v>
      </c>
      <c r="L32" s="303">
        <f t="shared" si="21"/>
        <v>-0.94162366425140143</v>
      </c>
      <c r="M32" s="303">
        <f t="shared" si="21"/>
        <v>0</v>
      </c>
      <c r="N32" s="303">
        <f t="shared" si="21"/>
        <v>-0.54466458116093153</v>
      </c>
      <c r="O32" s="303">
        <f t="shared" si="21"/>
        <v>1.1511909551452053</v>
      </c>
      <c r="AE32">
        <f t="shared" si="2"/>
        <v>23.717948717948715</v>
      </c>
      <c r="AG32">
        <f t="shared" si="6"/>
        <v>30.575539568345324</v>
      </c>
      <c r="AM32">
        <f t="shared" si="7"/>
        <v>0.77571644042232268</v>
      </c>
      <c r="AO32">
        <f t="shared" si="3"/>
        <v>450</v>
      </c>
      <c r="AP32">
        <f t="shared" ref="AP32:BC32" si="25">AP15/AP$23</f>
        <v>119.61852861035422</v>
      </c>
      <c r="AQ32">
        <f t="shared" si="25"/>
        <v>60.919540229885058</v>
      </c>
      <c r="AR32">
        <f t="shared" si="25"/>
        <v>79.56204379562044</v>
      </c>
      <c r="AS32">
        <f t="shared" si="25"/>
        <v>61.603375527426159</v>
      </c>
      <c r="AT32">
        <f t="shared" si="25"/>
        <v>42.857142857142854</v>
      </c>
      <c r="AU32">
        <f t="shared" si="25"/>
        <v>30</v>
      </c>
      <c r="AV32">
        <f t="shared" si="25"/>
        <v>30.065359477124183</v>
      </c>
      <c r="AW32">
        <f t="shared" si="25"/>
        <v>24.137931034482754</v>
      </c>
      <c r="AX32">
        <f t="shared" si="25"/>
        <v>22.047244094488189</v>
      </c>
      <c r="AY32">
        <f t="shared" si="25"/>
        <v>19.999999999999996</v>
      </c>
      <c r="AZ32">
        <f t="shared" si="25"/>
        <v>20.080321285140563</v>
      </c>
      <c r="BA32">
        <f t="shared" si="25"/>
        <v>21.111111111111114</v>
      </c>
      <c r="BB32">
        <f t="shared" si="25"/>
        <v>21.7741935483871</v>
      </c>
      <c r="BC32">
        <f t="shared" si="25"/>
        <v>21.315789473684212</v>
      </c>
      <c r="BD32" s="16">
        <f t="shared" si="5"/>
        <v>202.07999999999998</v>
      </c>
      <c r="BE32" s="257">
        <f t="shared" si="9"/>
        <v>0.57045009784735812</v>
      </c>
      <c r="BF32" s="257">
        <f t="shared" si="10"/>
        <v>41.43</v>
      </c>
      <c r="BH32" s="333">
        <f t="shared" si="11"/>
        <v>0.60749354406979517</v>
      </c>
      <c r="BJ32">
        <f t="shared" si="12"/>
        <v>0.82279129321382849</v>
      </c>
    </row>
    <row r="33" spans="1:62" ht="16" x14ac:dyDescent="0.2">
      <c r="A33" t="str">
        <f t="shared" si="17"/>
        <v xml:space="preserve">R1C3EA06 </v>
      </c>
      <c r="B33" s="25">
        <f t="shared" si="18"/>
        <v>99.806949806949802</v>
      </c>
      <c r="C33" s="25">
        <f t="shared" si="19"/>
        <v>99.461331281262019</v>
      </c>
      <c r="D33" s="25">
        <f t="shared" si="20"/>
        <v>110.57142857142857</v>
      </c>
      <c r="E33" s="303">
        <f t="shared" si="21"/>
        <v>-0.51809728437152258</v>
      </c>
      <c r="F33" s="303">
        <f t="shared" si="21"/>
        <v>-0.11621717409766119</v>
      </c>
      <c r="G33" s="303">
        <f t="shared" si="21"/>
        <v>0.10269860196187786</v>
      </c>
      <c r="H33" s="303">
        <f t="shared" si="21"/>
        <v>-0.88588651370232929</v>
      </c>
      <c r="I33" s="303">
        <f t="shared" si="21"/>
        <v>-0.97503113166789501</v>
      </c>
      <c r="J33" s="303">
        <f t="shared" si="21"/>
        <v>-1</v>
      </c>
      <c r="K33" s="303">
        <f t="shared" si="21"/>
        <v>-0.9889634766901888</v>
      </c>
      <c r="L33" s="303">
        <f t="shared" si="21"/>
        <v>-0.95347680943248814</v>
      </c>
      <c r="M33" s="303">
        <f t="shared" si="21"/>
        <v>0</v>
      </c>
      <c r="N33" s="303">
        <f t="shared" si="21"/>
        <v>-0.52959885092849079</v>
      </c>
      <c r="O33" s="303">
        <f t="shared" si="21"/>
        <v>0.95409611194722532</v>
      </c>
      <c r="AE33">
        <f t="shared" si="2"/>
        <v>44.871794871794869</v>
      </c>
      <c r="AG33">
        <f t="shared" si="6"/>
        <v>44.964028776978417</v>
      </c>
      <c r="AM33">
        <f t="shared" si="7"/>
        <v>0.99794871794871787</v>
      </c>
      <c r="AO33">
        <f t="shared" si="3"/>
        <v>550</v>
      </c>
      <c r="AP33">
        <f t="shared" ref="AP33:BC33" si="26">AP16/AP$23</f>
        <v>112.2615803814714</v>
      </c>
      <c r="AQ33">
        <f t="shared" si="26"/>
        <v>40.85684430512017</v>
      </c>
      <c r="AR33">
        <f t="shared" si="26"/>
        <v>73.722627737226276</v>
      </c>
      <c r="AS33">
        <f t="shared" si="26"/>
        <v>59.212376933895925</v>
      </c>
      <c r="AT33">
        <f t="shared" si="26"/>
        <v>47.186147186147188</v>
      </c>
      <c r="AU33">
        <f t="shared" si="26"/>
        <v>35.747126436781613</v>
      </c>
      <c r="AV33">
        <f t="shared" si="26"/>
        <v>44.771241830065357</v>
      </c>
      <c r="AW33">
        <f t="shared" si="26"/>
        <v>36.206896551724135</v>
      </c>
      <c r="AX33">
        <f t="shared" si="26"/>
        <v>32.283464566929133</v>
      </c>
      <c r="AY33">
        <f t="shared" si="26"/>
        <v>29.411764705882351</v>
      </c>
      <c r="AZ33">
        <f t="shared" si="26"/>
        <v>28.514056224899598</v>
      </c>
      <c r="BA33">
        <f t="shared" si="26"/>
        <v>29.166666666666671</v>
      </c>
      <c r="BB33">
        <f t="shared" si="26"/>
        <v>28.225806451612904</v>
      </c>
      <c r="BC33">
        <f t="shared" si="26"/>
        <v>28.684210526315791</v>
      </c>
      <c r="BD33" s="16">
        <f t="shared" si="5"/>
        <v>193.35000000000002</v>
      </c>
      <c r="BE33" s="257">
        <f t="shared" si="9"/>
        <v>0.4869240348692403</v>
      </c>
      <c r="BF33" s="257">
        <f t="shared" si="10"/>
        <v>36.93</v>
      </c>
      <c r="BH33" s="333">
        <f t="shared" si="11"/>
        <v>0.43198865362548533</v>
      </c>
      <c r="BJ33">
        <f t="shared" si="12"/>
        <v>0.77747154022564113</v>
      </c>
    </row>
    <row r="34" spans="1:62" ht="16" x14ac:dyDescent="0.2">
      <c r="A34" t="str">
        <f t="shared" si="17"/>
        <v xml:space="preserve">R1C3EA07 </v>
      </c>
      <c r="B34" s="25">
        <f t="shared" si="18"/>
        <v>99.835390946502059</v>
      </c>
      <c r="C34" s="25">
        <f t="shared" si="19"/>
        <v>99.141806293420501</v>
      </c>
      <c r="D34" s="25">
        <f t="shared" si="20"/>
        <v>187.74603174603178</v>
      </c>
      <c r="E34" s="303">
        <f t="shared" si="21"/>
        <v>-0.48844354582936877</v>
      </c>
      <c r="F34" s="303">
        <f t="shared" si="21"/>
        <v>-0.1453239236475099</v>
      </c>
      <c r="G34" s="303">
        <f t="shared" si="21"/>
        <v>8.6293001287839122E-2</v>
      </c>
      <c r="H34" s="303">
        <f t="shared" si="21"/>
        <v>-0.78246234493653843</v>
      </c>
      <c r="I34" s="303">
        <f t="shared" si="21"/>
        <v>-0.92567148805419042</v>
      </c>
      <c r="J34" s="303">
        <f t="shared" si="21"/>
        <v>-1</v>
      </c>
      <c r="K34" s="303">
        <f t="shared" si="21"/>
        <v>-0.99090195642662182</v>
      </c>
      <c r="L34" s="303">
        <f t="shared" si="21"/>
        <v>-0.90944725007522342</v>
      </c>
      <c r="M34" s="303">
        <f t="shared" si="21"/>
        <v>0</v>
      </c>
      <c r="N34" s="303">
        <f t="shared" si="21"/>
        <v>-9.9799133100750392E-2</v>
      </c>
      <c r="O34" s="303">
        <f t="shared" si="21"/>
        <v>0.95307056646463439</v>
      </c>
      <c r="AE34">
        <f t="shared" si="2"/>
        <v>41.666666666666664</v>
      </c>
      <c r="AG34">
        <f t="shared" si="6"/>
        <v>34.172661870503596</v>
      </c>
      <c r="AM34">
        <f t="shared" si="7"/>
        <v>1.2192982456140351</v>
      </c>
      <c r="AO34">
        <f t="shared" si="3"/>
        <v>625</v>
      </c>
      <c r="AP34">
        <f t="shared" ref="AP34:BC36" si="27">AP17/AP$23</f>
        <v>88.283378746593996</v>
      </c>
      <c r="AQ34">
        <f t="shared" si="27"/>
        <v>49.320794148380358</v>
      </c>
      <c r="AR34">
        <f t="shared" si="27"/>
        <v>57.007299270072984</v>
      </c>
      <c r="AS34">
        <f t="shared" si="27"/>
        <v>42.897327707454295</v>
      </c>
      <c r="AT34">
        <f t="shared" si="27"/>
        <v>26.406926406926406</v>
      </c>
      <c r="AU34">
        <f t="shared" si="27"/>
        <v>19.655172413793103</v>
      </c>
      <c r="AV34">
        <f t="shared" si="27"/>
        <v>23.856209150326798</v>
      </c>
      <c r="AW34">
        <f t="shared" si="27"/>
        <v>25.862068965517238</v>
      </c>
      <c r="AX34">
        <f t="shared" si="27"/>
        <v>25.459317585301836</v>
      </c>
      <c r="AY34">
        <f t="shared" si="27"/>
        <v>22.352941176470587</v>
      </c>
      <c r="AZ34">
        <f t="shared" si="27"/>
        <v>21.285140562248994</v>
      </c>
      <c r="BA34">
        <f t="shared" si="27"/>
        <v>19.444444444444446</v>
      </c>
      <c r="BB34">
        <f t="shared" si="27"/>
        <v>17.741935483870968</v>
      </c>
      <c r="BC34">
        <f t="shared" si="27"/>
        <v>19.473684210526315</v>
      </c>
      <c r="BD34" s="16">
        <f t="shared" si="5"/>
        <v>157.26</v>
      </c>
      <c r="BE34" s="257">
        <f t="shared" si="9"/>
        <v>0.59296482412060314</v>
      </c>
      <c r="BF34" s="257">
        <f t="shared" si="10"/>
        <v>27.61</v>
      </c>
      <c r="BH34" s="333">
        <f t="shared" si="11"/>
        <v>0.67419861573190143</v>
      </c>
      <c r="BJ34">
        <f t="shared" si="12"/>
        <v>0.78209097764720603</v>
      </c>
    </row>
    <row r="35" spans="1:62" ht="16" x14ac:dyDescent="0.2">
      <c r="A35" t="str">
        <f t="shared" si="17"/>
        <v xml:space="preserve">R1C3EA08 </v>
      </c>
      <c r="B35" s="25">
        <f t="shared" si="18"/>
        <v>99.737876802097006</v>
      </c>
      <c r="C35" s="25">
        <f t="shared" si="19"/>
        <v>97.814910025706951</v>
      </c>
      <c r="D35" s="25">
        <f t="shared" si="20"/>
        <v>458.73015873015868</v>
      </c>
      <c r="E35" s="303">
        <f t="shared" si="21"/>
        <v>-0.41835155985079686</v>
      </c>
      <c r="F35" s="303">
        <f t="shared" si="21"/>
        <v>-0.14006453404887043</v>
      </c>
      <c r="G35" s="303">
        <f t="shared" si="21"/>
        <v>0.12435961259579797</v>
      </c>
      <c r="H35" s="303">
        <f t="shared" si="21"/>
        <v>-0.34624464960939749</v>
      </c>
      <c r="I35" s="303">
        <f t="shared" si="21"/>
        <v>-0.82272018815272485</v>
      </c>
      <c r="J35" s="303">
        <f t="shared" si="21"/>
        <v>-1</v>
      </c>
      <c r="K35" s="303">
        <f t="shared" si="21"/>
        <v>-0.98540888535764937</v>
      </c>
      <c r="L35" s="303">
        <f t="shared" si="21"/>
        <v>-0.74372016589717505</v>
      </c>
      <c r="M35" s="303">
        <f t="shared" si="21"/>
        <v>0</v>
      </c>
      <c r="N35" s="303">
        <f t="shared" si="21"/>
        <v>0.18458234429750209</v>
      </c>
      <c r="O35" s="303">
        <f t="shared" si="21"/>
        <v>0.89055144810866094</v>
      </c>
      <c r="AT35">
        <f t="shared" si="27"/>
        <v>0.86580086580086579</v>
      </c>
      <c r="AU35">
        <f t="shared" si="27"/>
        <v>4.2528735632183912</v>
      </c>
      <c r="AV35">
        <f t="shared" si="27"/>
        <v>0.65359477124183007</v>
      </c>
      <c r="BD35" s="16"/>
      <c r="BJ35">
        <f t="shared" si="12"/>
        <v>5.5981121171257957</v>
      </c>
    </row>
    <row r="36" spans="1:62" ht="16" x14ac:dyDescent="0.2">
      <c r="A36" t="str">
        <f t="shared" si="17"/>
        <v xml:space="preserve">R1C3EA09 </v>
      </c>
      <c r="B36" s="25">
        <f t="shared" si="18"/>
        <v>99.728383884110443</v>
      </c>
      <c r="C36" s="25">
        <f t="shared" si="19"/>
        <v>96.411378555798663</v>
      </c>
      <c r="D36" s="25">
        <f t="shared" si="20"/>
        <v>748</v>
      </c>
      <c r="E36" s="303">
        <f t="shared" si="21"/>
        <v>-0.35933753631773435</v>
      </c>
      <c r="F36" s="303">
        <f t="shared" si="21"/>
        <v>-0.10264542565053569</v>
      </c>
      <c r="G36" s="303">
        <f t="shared" si="21"/>
        <v>5.5502440587757551E-2</v>
      </c>
      <c r="H36" s="303">
        <f t="shared" si="21"/>
        <v>-0.39499138593104588</v>
      </c>
      <c r="I36" s="303">
        <f t="shared" si="21"/>
        <v>-0.67276773548914526</v>
      </c>
      <c r="J36" s="303">
        <f t="shared" si="21"/>
        <v>-0.99803122388741605</v>
      </c>
      <c r="K36" s="303">
        <f t="shared" si="21"/>
        <v>-0.98685087486850875</v>
      </c>
      <c r="L36" s="303">
        <f t="shared" si="21"/>
        <v>-0.53193609959286525</v>
      </c>
      <c r="M36" s="303">
        <f t="shared" si="21"/>
        <v>0</v>
      </c>
      <c r="N36" s="303">
        <f t="shared" si="21"/>
        <v>0.28101699058794782</v>
      </c>
      <c r="O36" s="303">
        <f t="shared" si="21"/>
        <v>0.97637217790020459</v>
      </c>
      <c r="AT36">
        <f t="shared" si="27"/>
        <v>10.822510822510822</v>
      </c>
      <c r="AU36">
        <f t="shared" si="27"/>
        <v>7.2413793103448283</v>
      </c>
      <c r="AV36">
        <f t="shared" si="27"/>
        <v>7.5163398692810457</v>
      </c>
      <c r="BJ36">
        <f t="shared" si="12"/>
        <v>0.78973098500506755</v>
      </c>
    </row>
    <row r="37" spans="1:62" ht="16" x14ac:dyDescent="0.2">
      <c r="A37" t="str">
        <f t="shared" si="17"/>
        <v xml:space="preserve">R1C3EA10 </v>
      </c>
      <c r="B37" s="25">
        <f t="shared" si="18"/>
        <v>88.265971316818764</v>
      </c>
      <c r="C37" s="25">
        <f t="shared" si="19"/>
        <v>84.134217067108523</v>
      </c>
      <c r="D37" s="25">
        <f t="shared" si="20"/>
        <v>1976.6984126984128</v>
      </c>
      <c r="E37" s="303">
        <f t="shared" si="21"/>
        <v>-0.33256896427542482</v>
      </c>
      <c r="F37" s="303">
        <f t="shared" si="21"/>
        <v>-0.15504538207963625</v>
      </c>
      <c r="G37" s="303">
        <f t="shared" si="21"/>
        <v>6.4786038728185336E-2</v>
      </c>
      <c r="H37" s="303">
        <f t="shared" si="21"/>
        <v>-0.23627305490778039</v>
      </c>
      <c r="I37" s="303">
        <f t="shared" si="21"/>
        <v>-0.34506751881249365</v>
      </c>
      <c r="J37" s="303">
        <f t="shared" si="21"/>
        <v>-0.67827101369190146</v>
      </c>
      <c r="K37" s="303">
        <f t="shared" si="21"/>
        <v>-0.70454359058476168</v>
      </c>
      <c r="L37" s="303">
        <f t="shared" si="21"/>
        <v>-0.28920580044175548</v>
      </c>
      <c r="M37" s="303">
        <f t="shared" si="21"/>
        <v>0</v>
      </c>
      <c r="N37" s="303">
        <f t="shared" si="21"/>
        <v>0.30836454431960059</v>
      </c>
      <c r="O37" s="303">
        <f t="shared" si="21"/>
        <v>0.5028163614379666</v>
      </c>
    </row>
    <row r="38" spans="1:62" ht="16" x14ac:dyDescent="0.2">
      <c r="A38" t="str">
        <f t="shared" si="17"/>
        <v xml:space="preserve">R1C3EA11 </v>
      </c>
      <c r="B38" s="25">
        <f t="shared" si="18"/>
        <v>73.4329597343296</v>
      </c>
      <c r="C38" s="25">
        <f t="shared" si="19"/>
        <v>70.031670625494854</v>
      </c>
      <c r="D38" s="25">
        <f t="shared" si="20"/>
        <v>3266.7936507936511</v>
      </c>
      <c r="E38" s="303">
        <f t="shared" si="21"/>
        <v>0</v>
      </c>
      <c r="F38" s="303">
        <f t="shared" si="21"/>
        <v>0</v>
      </c>
      <c r="G38" s="303">
        <f t="shared" si="21"/>
        <v>0</v>
      </c>
      <c r="H38" s="303">
        <f t="shared" si="21"/>
        <v>0</v>
      </c>
      <c r="I38" s="303">
        <f t="shared" si="21"/>
        <v>0</v>
      </c>
      <c r="J38" s="303">
        <f t="shared" si="21"/>
        <v>0</v>
      </c>
      <c r="K38" s="303">
        <f t="shared" si="21"/>
        <v>0</v>
      </c>
      <c r="L38" s="303">
        <f t="shared" si="21"/>
        <v>0</v>
      </c>
      <c r="M38" s="303">
        <f t="shared" si="21"/>
        <v>0</v>
      </c>
      <c r="N38" s="303">
        <f t="shared" si="21"/>
        <v>0</v>
      </c>
      <c r="O38" s="303">
        <f t="shared" si="21"/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38"/>
  <sheetViews>
    <sheetView topLeftCell="AO1" workbookViewId="0">
      <selection activeCell="BG30" sqref="BG30"/>
    </sheetView>
  </sheetViews>
  <sheetFormatPr baseColWidth="10" defaultColWidth="8.83203125" defaultRowHeight="15" x14ac:dyDescent="0.2"/>
  <cols>
    <col min="1" max="1" width="19.83203125" style="1" bestFit="1" customWidth="1"/>
    <col min="2" max="2" width="8.5" style="1" customWidth="1"/>
    <col min="3" max="3" width="12" style="1" customWidth="1"/>
    <col min="4" max="4" width="10.33203125" style="1" customWidth="1"/>
    <col min="5" max="5" width="9.83203125" style="1" customWidth="1"/>
    <col min="6" max="7" width="7.33203125" style="3" bestFit="1" customWidth="1"/>
    <col min="8" max="8" width="7.83203125" style="3" bestFit="1" customWidth="1"/>
    <col min="9" max="20" width="7.33203125" style="3" bestFit="1" customWidth="1"/>
    <col min="21" max="29" width="7" style="3" bestFit="1" customWidth="1"/>
    <col min="30" max="32" width="7.33203125" style="3" bestFit="1" customWidth="1"/>
    <col min="33" max="39" width="7" style="3" bestFit="1" customWidth="1"/>
    <col min="40" max="40" width="7.33203125" style="3" bestFit="1" customWidth="1"/>
    <col min="41" max="48" width="7" style="3" bestFit="1" customWidth="1"/>
    <col min="49" max="49" width="8.33203125" style="3" customWidth="1"/>
    <col min="50" max="57" width="7" style="3" bestFit="1" customWidth="1"/>
    <col min="58" max="58" width="7.5" style="3" bestFit="1" customWidth="1"/>
    <col min="59" max="62" width="7" style="3" bestFit="1" customWidth="1"/>
  </cols>
  <sheetData>
    <row r="1" spans="1:62" x14ac:dyDescent="0.2">
      <c r="A1" s="2" t="s">
        <v>442</v>
      </c>
      <c r="B1" s="2"/>
      <c r="C1" s="2"/>
      <c r="D1" s="2"/>
      <c r="E1" s="2"/>
    </row>
    <row r="2" spans="1:62" x14ac:dyDescent="0.2">
      <c r="A2" s="4" t="s">
        <v>443</v>
      </c>
      <c r="B2" s="4"/>
      <c r="C2" s="4"/>
      <c r="D2" s="4"/>
      <c r="E2" s="4"/>
    </row>
    <row r="3" spans="1:62" x14ac:dyDescent="0.2">
      <c r="A3" s="2" t="s">
        <v>2</v>
      </c>
      <c r="B3" s="2" t="s">
        <v>422</v>
      </c>
      <c r="C3" s="2" t="s">
        <v>426</v>
      </c>
      <c r="D3" s="2" t="s">
        <v>426</v>
      </c>
      <c r="E3" s="2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62" x14ac:dyDescent="0.2">
      <c r="A4" s="2" t="s">
        <v>60</v>
      </c>
      <c r="B4"/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62" x14ac:dyDescent="0.2">
      <c r="A5" s="2" t="s">
        <v>63</v>
      </c>
      <c r="B5"/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62" ht="16" thickBot="1" x14ac:dyDescent="0.25">
      <c r="A6" s="5" t="s">
        <v>64</v>
      </c>
      <c r="B6" s="10"/>
      <c r="C6" s="5" t="s">
        <v>423</v>
      </c>
      <c r="D6" s="5" t="s">
        <v>424</v>
      </c>
      <c r="E6" s="5" t="s">
        <v>427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65</v>
      </c>
      <c r="R6" s="6" t="s">
        <v>65</v>
      </c>
      <c r="S6" s="6" t="s">
        <v>65</v>
      </c>
      <c r="T6" s="6" t="s">
        <v>65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66</v>
      </c>
      <c r="AA6" s="6" t="s">
        <v>66</v>
      </c>
      <c r="AB6" s="6" t="s">
        <v>66</v>
      </c>
      <c r="AC6" s="6" t="s">
        <v>66</v>
      </c>
      <c r="AD6" s="6" t="s">
        <v>65</v>
      </c>
      <c r="AE6" s="6" t="s">
        <v>65</v>
      </c>
      <c r="AF6" s="6" t="s">
        <v>65</v>
      </c>
      <c r="AG6" s="6" t="s">
        <v>66</v>
      </c>
      <c r="AH6" s="6" t="s">
        <v>66</v>
      </c>
      <c r="AI6" s="6" t="s">
        <v>66</v>
      </c>
      <c r="AJ6" s="6" t="s">
        <v>66</v>
      </c>
      <c r="AK6" s="6" t="s">
        <v>66</v>
      </c>
      <c r="AL6" s="6" t="s">
        <v>66</v>
      </c>
      <c r="AM6" s="6" t="s">
        <v>66</v>
      </c>
      <c r="AN6" s="6" t="s">
        <v>65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  <c r="BG6" s="6" t="s">
        <v>66</v>
      </c>
      <c r="BH6" s="6" t="s">
        <v>66</v>
      </c>
      <c r="BI6" s="6" t="s">
        <v>66</v>
      </c>
      <c r="BJ6" s="6" t="s">
        <v>66</v>
      </c>
    </row>
    <row r="7" spans="1:62" ht="16" thickTop="1" x14ac:dyDescent="0.2">
      <c r="A7" s="2" t="s">
        <v>459</v>
      </c>
      <c r="B7" s="2"/>
      <c r="C7" s="2">
        <v>20</v>
      </c>
      <c r="D7" s="2">
        <v>20</v>
      </c>
      <c r="E7" s="2">
        <v>20</v>
      </c>
      <c r="F7" s="4">
        <v>55.37</v>
      </c>
      <c r="G7" s="4">
        <v>20.9</v>
      </c>
      <c r="H7" s="4">
        <v>10.34</v>
      </c>
      <c r="I7" s="4">
        <v>7.4999999999999997E-2</v>
      </c>
      <c r="J7" s="4">
        <v>0.2</v>
      </c>
      <c r="K7" s="4">
        <v>0.09</v>
      </c>
      <c r="L7" s="4">
        <v>0.05</v>
      </c>
      <c r="M7" s="4">
        <v>0.36</v>
      </c>
      <c r="N7" s="4">
        <v>1.28</v>
      </c>
      <c r="O7" s="4">
        <v>7.0000000000000007E-2</v>
      </c>
      <c r="P7" s="4">
        <v>11.19</v>
      </c>
      <c r="Q7" s="4">
        <v>99.94</v>
      </c>
      <c r="R7" s="4">
        <v>22</v>
      </c>
      <c r="S7" s="4">
        <v>2</v>
      </c>
      <c r="T7" s="4">
        <v>208</v>
      </c>
      <c r="U7" s="4">
        <v>60</v>
      </c>
      <c r="V7" s="4">
        <v>25</v>
      </c>
      <c r="W7" s="4">
        <v>30</v>
      </c>
      <c r="X7" s="4">
        <v>90</v>
      </c>
      <c r="Y7" s="4">
        <v>70</v>
      </c>
      <c r="Z7" s="4">
        <v>25</v>
      </c>
      <c r="AA7" s="4">
        <v>2</v>
      </c>
      <c r="AB7" s="4" t="s">
        <v>71</v>
      </c>
      <c r="AC7" s="4">
        <v>31</v>
      </c>
      <c r="AD7" s="4">
        <v>17</v>
      </c>
      <c r="AE7" s="4">
        <v>20</v>
      </c>
      <c r="AF7" s="4">
        <v>218</v>
      </c>
      <c r="AG7" s="4">
        <v>7</v>
      </c>
      <c r="AH7" s="4" t="s">
        <v>72</v>
      </c>
      <c r="AI7" s="4" t="s">
        <v>74</v>
      </c>
      <c r="AJ7" s="4" t="s">
        <v>73</v>
      </c>
      <c r="AK7" s="4" t="s">
        <v>68</v>
      </c>
      <c r="AL7" s="4" t="s">
        <v>74</v>
      </c>
      <c r="AM7" s="4">
        <v>1.9</v>
      </c>
      <c r="AN7" s="4">
        <v>148</v>
      </c>
      <c r="AO7" s="4" t="s">
        <v>75</v>
      </c>
      <c r="AP7" s="4">
        <v>22.3</v>
      </c>
      <c r="AQ7" s="4">
        <v>52.3</v>
      </c>
      <c r="AR7" s="4">
        <v>6.53</v>
      </c>
      <c r="AS7" s="4">
        <v>27.5</v>
      </c>
      <c r="AT7" s="4">
        <v>6.2</v>
      </c>
      <c r="AU7" s="4">
        <v>1.61</v>
      </c>
      <c r="AV7" s="4">
        <v>5.2</v>
      </c>
      <c r="AW7" s="4">
        <v>0.8</v>
      </c>
      <c r="AX7" s="4">
        <v>4.4000000000000004</v>
      </c>
      <c r="AY7" s="4">
        <v>0.9</v>
      </c>
      <c r="AZ7" s="4">
        <v>2.7</v>
      </c>
      <c r="BA7" s="4">
        <v>0.41</v>
      </c>
      <c r="BB7" s="4">
        <v>2.9</v>
      </c>
      <c r="BC7" s="4">
        <v>0.45</v>
      </c>
      <c r="BD7" s="4">
        <v>5.8</v>
      </c>
      <c r="BE7" s="4">
        <v>0.6</v>
      </c>
      <c r="BF7" s="4">
        <v>1</v>
      </c>
      <c r="BG7" s="4">
        <v>0.2</v>
      </c>
      <c r="BH7" s="4">
        <v>12</v>
      </c>
      <c r="BI7" s="4">
        <v>7</v>
      </c>
      <c r="BJ7" s="4">
        <v>2.1</v>
      </c>
    </row>
    <row r="8" spans="1:62" x14ac:dyDescent="0.2">
      <c r="A8" s="2" t="s">
        <v>444</v>
      </c>
      <c r="B8" s="2"/>
      <c r="C8" s="2">
        <v>70</v>
      </c>
      <c r="D8" s="2">
        <v>70</v>
      </c>
      <c r="E8" s="2">
        <v>70</v>
      </c>
      <c r="F8" s="4">
        <v>52.47</v>
      </c>
      <c r="G8" s="4">
        <v>22.28</v>
      </c>
      <c r="H8" s="4">
        <v>11.6</v>
      </c>
      <c r="I8" s="4">
        <v>6.9000000000000006E-2</v>
      </c>
      <c r="J8" s="4">
        <v>0.2</v>
      </c>
      <c r="K8" s="4">
        <v>0.09</v>
      </c>
      <c r="L8" s="4">
        <v>0.02</v>
      </c>
      <c r="M8" s="4">
        <v>0.27</v>
      </c>
      <c r="N8" s="4">
        <v>1.2709999999999999</v>
      </c>
      <c r="O8" s="4">
        <v>0.1</v>
      </c>
      <c r="P8" s="4">
        <v>11.72</v>
      </c>
      <c r="Q8" s="4">
        <v>100.1</v>
      </c>
      <c r="R8" s="4">
        <v>32</v>
      </c>
      <c r="S8" s="4">
        <v>1</v>
      </c>
      <c r="T8" s="4">
        <v>236</v>
      </c>
      <c r="U8" s="4">
        <v>50</v>
      </c>
      <c r="V8" s="4">
        <v>24</v>
      </c>
      <c r="W8" s="4">
        <v>30</v>
      </c>
      <c r="X8" s="4">
        <v>110</v>
      </c>
      <c r="Y8" s="4">
        <v>80</v>
      </c>
      <c r="Z8" s="4">
        <v>25</v>
      </c>
      <c r="AA8" s="4">
        <v>2</v>
      </c>
      <c r="AB8" s="4" t="s">
        <v>71</v>
      </c>
      <c r="AC8" s="4">
        <v>23</v>
      </c>
      <c r="AD8" s="4">
        <v>19</v>
      </c>
      <c r="AE8" s="4">
        <v>6</v>
      </c>
      <c r="AF8" s="4">
        <v>179</v>
      </c>
      <c r="AG8" s="4">
        <v>6</v>
      </c>
      <c r="AH8" s="4" t="s">
        <v>72</v>
      </c>
      <c r="AI8" s="4">
        <v>0.6</v>
      </c>
      <c r="AJ8" s="4" t="s">
        <v>73</v>
      </c>
      <c r="AK8" s="4" t="s">
        <v>68</v>
      </c>
      <c r="AL8" s="4" t="s">
        <v>74</v>
      </c>
      <c r="AM8" s="4">
        <v>1.5</v>
      </c>
      <c r="AN8" s="4">
        <v>67</v>
      </c>
      <c r="AO8" s="4" t="s">
        <v>75</v>
      </c>
      <c r="AP8" s="4">
        <v>9.4</v>
      </c>
      <c r="AQ8" s="4">
        <v>38</v>
      </c>
      <c r="AR8" s="4">
        <v>2.17</v>
      </c>
      <c r="AS8" s="4">
        <v>8.5</v>
      </c>
      <c r="AT8" s="4">
        <v>2</v>
      </c>
      <c r="AU8" s="4">
        <v>0.51</v>
      </c>
      <c r="AV8" s="4">
        <v>1.4</v>
      </c>
      <c r="AW8" s="4">
        <v>0.2</v>
      </c>
      <c r="AX8" s="4">
        <v>1.5</v>
      </c>
      <c r="AY8" s="4">
        <v>0.3</v>
      </c>
      <c r="AZ8" s="4">
        <v>0.9</v>
      </c>
      <c r="BA8" s="4">
        <v>0.14000000000000001</v>
      </c>
      <c r="BB8" s="4">
        <v>1.1000000000000001</v>
      </c>
      <c r="BC8" s="4">
        <v>0.18</v>
      </c>
      <c r="BD8" s="4">
        <v>4.5</v>
      </c>
      <c r="BE8" s="4">
        <v>0.6</v>
      </c>
      <c r="BF8" s="4" t="s">
        <v>68</v>
      </c>
      <c r="BG8" s="4">
        <v>0.2</v>
      </c>
      <c r="BH8" s="4">
        <v>12</v>
      </c>
      <c r="BI8" s="4">
        <v>7.4</v>
      </c>
      <c r="BJ8" s="4">
        <v>1.7</v>
      </c>
    </row>
    <row r="9" spans="1:62" x14ac:dyDescent="0.2">
      <c r="A9" s="2" t="s">
        <v>445</v>
      </c>
      <c r="B9" s="2"/>
      <c r="C9" s="2">
        <v>120</v>
      </c>
      <c r="D9" s="2">
        <v>120</v>
      </c>
      <c r="E9" s="2">
        <v>120</v>
      </c>
      <c r="F9" s="4">
        <v>55.41</v>
      </c>
      <c r="G9" s="4">
        <v>22.03</v>
      </c>
      <c r="H9" s="4">
        <v>10.31</v>
      </c>
      <c r="I9" s="4">
        <v>4.7E-2</v>
      </c>
      <c r="J9" s="4">
        <v>0.21</v>
      </c>
      <c r="K9" s="4">
        <v>0.05</v>
      </c>
      <c r="L9" s="4">
        <v>0.02</v>
      </c>
      <c r="M9" s="4">
        <v>0.24</v>
      </c>
      <c r="N9" s="4">
        <v>1.0620000000000001</v>
      </c>
      <c r="O9" s="4">
        <v>0.1</v>
      </c>
      <c r="P9" s="4">
        <v>11.18</v>
      </c>
      <c r="Q9" s="4">
        <v>100.7</v>
      </c>
      <c r="R9" s="4">
        <v>34</v>
      </c>
      <c r="S9" s="4">
        <v>1</v>
      </c>
      <c r="T9" s="4">
        <v>202</v>
      </c>
      <c r="U9" s="4">
        <v>50</v>
      </c>
      <c r="V9" s="4">
        <v>11</v>
      </c>
      <c r="W9" s="4">
        <v>30</v>
      </c>
      <c r="X9" s="4">
        <v>100</v>
      </c>
      <c r="Y9" s="4">
        <v>90</v>
      </c>
      <c r="Z9" s="4">
        <v>25</v>
      </c>
      <c r="AA9" s="4">
        <v>2</v>
      </c>
      <c r="AB9" s="4" t="s">
        <v>71</v>
      </c>
      <c r="AC9" s="4">
        <v>21</v>
      </c>
      <c r="AD9" s="4">
        <v>12</v>
      </c>
      <c r="AE9" s="4">
        <v>6</v>
      </c>
      <c r="AF9" s="4">
        <v>114</v>
      </c>
      <c r="AG9" s="4">
        <v>5</v>
      </c>
      <c r="AH9" s="4" t="s">
        <v>72</v>
      </c>
      <c r="AI9" s="4" t="s">
        <v>74</v>
      </c>
      <c r="AJ9" s="4" t="s">
        <v>73</v>
      </c>
      <c r="AK9" s="4" t="s">
        <v>68</v>
      </c>
      <c r="AL9" s="4" t="s">
        <v>74</v>
      </c>
      <c r="AM9" s="4">
        <v>1.4</v>
      </c>
      <c r="AN9" s="4">
        <v>65</v>
      </c>
      <c r="AO9" s="4" t="s">
        <v>75</v>
      </c>
      <c r="AP9" s="4">
        <v>7.6</v>
      </c>
      <c r="AQ9" s="4">
        <v>25.8</v>
      </c>
      <c r="AR9" s="4">
        <v>1.91</v>
      </c>
      <c r="AS9" s="4">
        <v>7.3</v>
      </c>
      <c r="AT9" s="4">
        <v>1.7</v>
      </c>
      <c r="AU9" s="4">
        <v>0.42</v>
      </c>
      <c r="AV9" s="4">
        <v>1.3</v>
      </c>
      <c r="AW9" s="4">
        <v>0.2</v>
      </c>
      <c r="AX9" s="4">
        <v>1.3</v>
      </c>
      <c r="AY9" s="4">
        <v>0.3</v>
      </c>
      <c r="AZ9" s="4">
        <v>0.8</v>
      </c>
      <c r="BA9" s="4">
        <v>0.12</v>
      </c>
      <c r="BB9" s="4">
        <v>0.9</v>
      </c>
      <c r="BC9" s="4">
        <v>0.16</v>
      </c>
      <c r="BD9" s="4">
        <v>3</v>
      </c>
      <c r="BE9" s="4">
        <v>0.5</v>
      </c>
      <c r="BF9" s="4" t="s">
        <v>68</v>
      </c>
      <c r="BG9" s="4">
        <v>0.2</v>
      </c>
      <c r="BH9" s="4">
        <v>10</v>
      </c>
      <c r="BI9" s="4">
        <v>6.2</v>
      </c>
      <c r="BJ9" s="4">
        <v>1.6</v>
      </c>
    </row>
    <row r="10" spans="1:62" x14ac:dyDescent="0.2">
      <c r="A10" s="2" t="s">
        <v>446</v>
      </c>
      <c r="B10" s="2"/>
      <c r="C10" s="2">
        <v>170</v>
      </c>
      <c r="D10" s="2">
        <v>170</v>
      </c>
      <c r="E10" s="2">
        <v>170</v>
      </c>
      <c r="F10" s="4">
        <v>59.56</v>
      </c>
      <c r="G10" s="4">
        <v>19.5</v>
      </c>
      <c r="H10" s="4">
        <v>8.75</v>
      </c>
      <c r="I10" s="4">
        <v>0.41499999999999998</v>
      </c>
      <c r="J10" s="4">
        <v>0.26</v>
      </c>
      <c r="K10" s="4">
        <v>0.04</v>
      </c>
      <c r="L10" s="4">
        <v>0.06</v>
      </c>
      <c r="M10" s="4">
        <v>0.51</v>
      </c>
      <c r="N10" s="4">
        <v>1.4339999999999999</v>
      </c>
      <c r="O10" s="4">
        <v>0.08</v>
      </c>
      <c r="P10" s="4">
        <v>9.7100000000000009</v>
      </c>
      <c r="Q10" s="4">
        <v>100.3</v>
      </c>
      <c r="R10" s="4">
        <v>23</v>
      </c>
      <c r="S10" s="4">
        <v>1</v>
      </c>
      <c r="T10" s="4">
        <v>183</v>
      </c>
      <c r="U10" s="4">
        <v>40</v>
      </c>
      <c r="V10" s="4">
        <v>99</v>
      </c>
      <c r="W10" s="4">
        <v>30</v>
      </c>
      <c r="X10" s="4">
        <v>90</v>
      </c>
      <c r="Y10" s="4">
        <v>110</v>
      </c>
      <c r="Z10" s="4">
        <v>22</v>
      </c>
      <c r="AA10" s="4">
        <v>1</v>
      </c>
      <c r="AB10" s="4" t="s">
        <v>71</v>
      </c>
      <c r="AC10" s="4">
        <v>55</v>
      </c>
      <c r="AD10" s="4">
        <v>19</v>
      </c>
      <c r="AE10" s="4">
        <v>12</v>
      </c>
      <c r="AF10" s="4">
        <v>242</v>
      </c>
      <c r="AG10" s="4">
        <v>9</v>
      </c>
      <c r="AH10" s="4" t="s">
        <v>72</v>
      </c>
      <c r="AI10" s="4">
        <v>0.8</v>
      </c>
      <c r="AJ10" s="4" t="s">
        <v>73</v>
      </c>
      <c r="AK10" s="4" t="s">
        <v>68</v>
      </c>
      <c r="AL10" s="4">
        <v>0.6</v>
      </c>
      <c r="AM10" s="4">
        <v>3</v>
      </c>
      <c r="AN10" s="4">
        <v>162</v>
      </c>
      <c r="AO10" s="4" t="s">
        <v>75</v>
      </c>
      <c r="AP10" s="4">
        <v>12.3</v>
      </c>
      <c r="AQ10" s="4">
        <v>114</v>
      </c>
      <c r="AR10" s="4">
        <v>3.25</v>
      </c>
      <c r="AS10" s="4">
        <v>12.8</v>
      </c>
      <c r="AT10" s="4">
        <v>2.8</v>
      </c>
      <c r="AU10" s="4">
        <v>0.66</v>
      </c>
      <c r="AV10" s="4">
        <v>2.2000000000000002</v>
      </c>
      <c r="AW10" s="4">
        <v>0.4</v>
      </c>
      <c r="AX10" s="4">
        <v>2.2000000000000002</v>
      </c>
      <c r="AY10" s="4">
        <v>0.4</v>
      </c>
      <c r="AZ10" s="4">
        <v>1.3</v>
      </c>
      <c r="BA10" s="4">
        <v>0.21</v>
      </c>
      <c r="BB10" s="4">
        <v>1.5</v>
      </c>
      <c r="BC10" s="4">
        <v>0.27</v>
      </c>
      <c r="BD10" s="4">
        <v>6.2</v>
      </c>
      <c r="BE10" s="4">
        <v>0.9</v>
      </c>
      <c r="BF10" s="4" t="s">
        <v>68</v>
      </c>
      <c r="BG10" s="4">
        <v>0.4</v>
      </c>
      <c r="BH10" s="4">
        <v>18</v>
      </c>
      <c r="BI10" s="4">
        <v>7.7</v>
      </c>
      <c r="BJ10" s="4">
        <v>2.7</v>
      </c>
    </row>
    <row r="11" spans="1:62" x14ac:dyDescent="0.2">
      <c r="A11" s="2" t="s">
        <v>446</v>
      </c>
      <c r="B11" s="2"/>
      <c r="C11" s="2">
        <v>170</v>
      </c>
      <c r="D11" s="2">
        <v>170</v>
      </c>
      <c r="E11" s="2">
        <v>170</v>
      </c>
      <c r="F11" s="4">
        <v>59.69</v>
      </c>
      <c r="G11" s="4">
        <v>19.46</v>
      </c>
      <c r="H11" s="4">
        <v>8.83</v>
      </c>
      <c r="I11" s="4">
        <v>0.40500000000000003</v>
      </c>
      <c r="J11" s="4">
        <v>0.27</v>
      </c>
      <c r="K11" s="4">
        <v>0.05</v>
      </c>
      <c r="L11" s="4">
        <v>0.05</v>
      </c>
      <c r="M11" s="4">
        <v>0.52</v>
      </c>
      <c r="N11" s="4">
        <v>1.43</v>
      </c>
      <c r="O11" s="4">
        <v>0.09</v>
      </c>
      <c r="P11" s="4">
        <v>9.1300000000000008</v>
      </c>
      <c r="Q11" s="4">
        <v>99.92</v>
      </c>
      <c r="R11" s="4">
        <v>23</v>
      </c>
      <c r="S11" s="4">
        <v>1</v>
      </c>
      <c r="T11" s="4">
        <v>187</v>
      </c>
      <c r="U11" s="4">
        <v>40</v>
      </c>
      <c r="V11" s="4">
        <v>97</v>
      </c>
      <c r="W11" s="4">
        <v>30</v>
      </c>
      <c r="X11" s="4">
        <v>80</v>
      </c>
      <c r="Y11" s="4">
        <v>90</v>
      </c>
      <c r="Z11" s="4">
        <v>21</v>
      </c>
      <c r="AA11" s="4">
        <v>2</v>
      </c>
      <c r="AB11" s="4" t="s">
        <v>71</v>
      </c>
      <c r="AC11" s="4">
        <v>49</v>
      </c>
      <c r="AD11" s="4">
        <v>17</v>
      </c>
      <c r="AE11" s="4">
        <v>9</v>
      </c>
      <c r="AF11" s="4">
        <v>299</v>
      </c>
      <c r="AG11" s="4">
        <v>8</v>
      </c>
      <c r="AH11" s="4" t="s">
        <v>72</v>
      </c>
      <c r="AI11" s="4" t="s">
        <v>74</v>
      </c>
      <c r="AJ11" s="4" t="s">
        <v>73</v>
      </c>
      <c r="AK11" s="4" t="s">
        <v>68</v>
      </c>
      <c r="AL11" s="4" t="s">
        <v>74</v>
      </c>
      <c r="AM11" s="4">
        <v>2.9</v>
      </c>
      <c r="AN11" s="4">
        <v>161</v>
      </c>
      <c r="AO11" s="4" t="s">
        <v>75</v>
      </c>
      <c r="AP11" s="4">
        <v>11.1</v>
      </c>
      <c r="AQ11" s="4">
        <v>101</v>
      </c>
      <c r="AR11" s="4">
        <v>3.01</v>
      </c>
      <c r="AS11" s="4">
        <v>12.2</v>
      </c>
      <c r="AT11" s="4">
        <v>2.7</v>
      </c>
      <c r="AU11" s="4">
        <v>0.67</v>
      </c>
      <c r="AV11" s="4">
        <v>2</v>
      </c>
      <c r="AW11" s="4">
        <v>0.3</v>
      </c>
      <c r="AX11" s="4">
        <v>2</v>
      </c>
      <c r="AY11" s="4">
        <v>0.4</v>
      </c>
      <c r="AZ11" s="4">
        <v>1.2</v>
      </c>
      <c r="BA11" s="4">
        <v>0.19</v>
      </c>
      <c r="BB11" s="4">
        <v>1.4</v>
      </c>
      <c r="BC11" s="4">
        <v>0.23</v>
      </c>
      <c r="BD11" s="4">
        <v>6.9</v>
      </c>
      <c r="BE11" s="4">
        <v>0.7</v>
      </c>
      <c r="BF11" s="4" t="s">
        <v>68</v>
      </c>
      <c r="BG11" s="4">
        <v>0.5</v>
      </c>
      <c r="BH11" s="4">
        <v>19</v>
      </c>
      <c r="BI11" s="4">
        <v>7.2</v>
      </c>
      <c r="BJ11" s="4">
        <v>2.6</v>
      </c>
    </row>
    <row r="12" spans="1:62" x14ac:dyDescent="0.2">
      <c r="A12" s="2" t="s">
        <v>447</v>
      </c>
      <c r="B12" s="2"/>
      <c r="C12" s="2">
        <v>230</v>
      </c>
      <c r="D12" s="2">
        <v>230</v>
      </c>
      <c r="E12" s="2">
        <v>230</v>
      </c>
      <c r="F12" s="4">
        <v>58.63</v>
      </c>
      <c r="G12" s="4">
        <v>19.829999999999998</v>
      </c>
      <c r="H12" s="4">
        <v>9.61</v>
      </c>
      <c r="I12" s="4">
        <v>0.08</v>
      </c>
      <c r="J12" s="4">
        <v>0.28999999999999998</v>
      </c>
      <c r="K12" s="4">
        <v>0.02</v>
      </c>
      <c r="L12" s="4">
        <v>0.03</v>
      </c>
      <c r="M12" s="4">
        <v>0.4</v>
      </c>
      <c r="N12" s="4">
        <v>1.2929999999999999</v>
      </c>
      <c r="O12" s="4">
        <v>0.06</v>
      </c>
      <c r="P12" s="4">
        <v>10.199999999999999</v>
      </c>
      <c r="Q12" s="4">
        <v>100.5</v>
      </c>
      <c r="R12" s="4">
        <v>21</v>
      </c>
      <c r="S12" s="4">
        <v>1</v>
      </c>
      <c r="T12" s="4">
        <v>185</v>
      </c>
      <c r="U12" s="4">
        <v>50</v>
      </c>
      <c r="V12" s="4">
        <v>14</v>
      </c>
      <c r="W12" s="4">
        <v>30</v>
      </c>
      <c r="X12" s="4">
        <v>90</v>
      </c>
      <c r="Y12" s="4">
        <v>90</v>
      </c>
      <c r="Z12" s="4">
        <v>23</v>
      </c>
      <c r="AA12" s="4">
        <v>1</v>
      </c>
      <c r="AB12" s="4" t="s">
        <v>71</v>
      </c>
      <c r="AC12" s="4">
        <v>45</v>
      </c>
      <c r="AD12" s="4">
        <v>9</v>
      </c>
      <c r="AE12" s="4">
        <v>12</v>
      </c>
      <c r="AF12" s="4">
        <v>183</v>
      </c>
      <c r="AG12" s="4">
        <v>7</v>
      </c>
      <c r="AH12" s="4" t="s">
        <v>72</v>
      </c>
      <c r="AI12" s="4">
        <v>0.5</v>
      </c>
      <c r="AJ12" s="4" t="s">
        <v>73</v>
      </c>
      <c r="AK12" s="4" t="s">
        <v>68</v>
      </c>
      <c r="AL12" s="4" t="s">
        <v>74</v>
      </c>
      <c r="AM12" s="4">
        <v>2.1</v>
      </c>
      <c r="AN12" s="4">
        <v>93</v>
      </c>
      <c r="AO12" s="4" t="s">
        <v>75</v>
      </c>
      <c r="AP12" s="4">
        <v>15.4</v>
      </c>
      <c r="AQ12" s="4">
        <v>48.2</v>
      </c>
      <c r="AR12" s="4">
        <v>4.4800000000000004</v>
      </c>
      <c r="AS12" s="4">
        <v>17.899999999999999</v>
      </c>
      <c r="AT12" s="4">
        <v>4</v>
      </c>
      <c r="AU12" s="4">
        <v>1.04</v>
      </c>
      <c r="AV12" s="4">
        <v>3</v>
      </c>
      <c r="AW12" s="4">
        <v>0.5</v>
      </c>
      <c r="AX12" s="4">
        <v>2.8</v>
      </c>
      <c r="AY12" s="4">
        <v>0.6</v>
      </c>
      <c r="AZ12" s="4">
        <v>1.7</v>
      </c>
      <c r="BA12" s="4">
        <v>0.25</v>
      </c>
      <c r="BB12" s="4">
        <v>1.9</v>
      </c>
      <c r="BC12" s="4">
        <v>0.31</v>
      </c>
      <c r="BD12" s="4">
        <v>4.5999999999999996</v>
      </c>
      <c r="BE12" s="4">
        <v>0.6</v>
      </c>
      <c r="BF12" s="4">
        <v>1</v>
      </c>
      <c r="BG12" s="4">
        <v>0.3</v>
      </c>
      <c r="BH12" s="4">
        <v>13</v>
      </c>
      <c r="BI12" s="4">
        <v>5.6</v>
      </c>
      <c r="BJ12" s="4">
        <v>2</v>
      </c>
    </row>
    <row r="13" spans="1:62" x14ac:dyDescent="0.2">
      <c r="A13" s="2" t="s">
        <v>448</v>
      </c>
      <c r="B13" s="2"/>
      <c r="C13" s="2">
        <v>280</v>
      </c>
      <c r="D13" s="2">
        <v>280</v>
      </c>
      <c r="E13" s="2">
        <v>280</v>
      </c>
      <c r="F13" s="4">
        <v>39.71</v>
      </c>
      <c r="G13" s="4">
        <v>26.97</v>
      </c>
      <c r="H13" s="4">
        <v>17.07</v>
      </c>
      <c r="I13" s="4">
        <v>8.8999999999999996E-2</v>
      </c>
      <c r="J13" s="4">
        <v>0.31</v>
      </c>
      <c r="K13" s="4">
        <v>0.02</v>
      </c>
      <c r="L13" s="4">
        <v>0.03</v>
      </c>
      <c r="M13" s="4">
        <v>0.54</v>
      </c>
      <c r="N13" s="4">
        <v>1.4970000000000001</v>
      </c>
      <c r="O13" s="4">
        <v>0.09</v>
      </c>
      <c r="P13" s="4">
        <v>14.38</v>
      </c>
      <c r="Q13" s="4">
        <v>100.7</v>
      </c>
      <c r="R13" s="4">
        <v>40</v>
      </c>
      <c r="S13" s="4">
        <v>1</v>
      </c>
      <c r="T13" s="4">
        <v>298</v>
      </c>
      <c r="U13" s="4">
        <v>90</v>
      </c>
      <c r="V13" s="4">
        <v>16</v>
      </c>
      <c r="W13" s="4">
        <v>30</v>
      </c>
      <c r="X13" s="4">
        <v>90</v>
      </c>
      <c r="Y13" s="4">
        <v>70</v>
      </c>
      <c r="Z13" s="4">
        <v>30</v>
      </c>
      <c r="AA13" s="4">
        <v>2</v>
      </c>
      <c r="AB13" s="4" t="s">
        <v>71</v>
      </c>
      <c r="AC13" s="4">
        <v>44</v>
      </c>
      <c r="AD13" s="4">
        <v>6</v>
      </c>
      <c r="AE13" s="4">
        <v>14</v>
      </c>
      <c r="AF13" s="4">
        <v>65</v>
      </c>
      <c r="AG13" s="4">
        <v>4</v>
      </c>
      <c r="AH13" s="4" t="s">
        <v>72</v>
      </c>
      <c r="AI13" s="4" t="s">
        <v>74</v>
      </c>
      <c r="AJ13" s="4" t="s">
        <v>73</v>
      </c>
      <c r="AK13" s="4" t="s">
        <v>68</v>
      </c>
      <c r="AL13" s="4">
        <v>0.5</v>
      </c>
      <c r="AM13" s="4">
        <v>2</v>
      </c>
      <c r="AN13" s="4">
        <v>83</v>
      </c>
      <c r="AO13" s="4" t="s">
        <v>75</v>
      </c>
      <c r="AP13" s="4">
        <v>17.899999999999999</v>
      </c>
      <c r="AQ13" s="4">
        <v>41.6</v>
      </c>
      <c r="AR13" s="4">
        <v>5.41</v>
      </c>
      <c r="AS13" s="4">
        <v>22.7</v>
      </c>
      <c r="AT13" s="4">
        <v>5</v>
      </c>
      <c r="AU13" s="4">
        <v>1.31</v>
      </c>
      <c r="AV13" s="4">
        <v>3.8</v>
      </c>
      <c r="AW13" s="4">
        <v>0.6</v>
      </c>
      <c r="AX13" s="4">
        <v>3.3</v>
      </c>
      <c r="AY13" s="4">
        <v>0.6</v>
      </c>
      <c r="AZ13" s="4">
        <v>1.8</v>
      </c>
      <c r="BA13" s="4">
        <v>0.28999999999999998</v>
      </c>
      <c r="BB13" s="4">
        <v>2</v>
      </c>
      <c r="BC13" s="4">
        <v>0.32</v>
      </c>
      <c r="BD13" s="4">
        <v>2</v>
      </c>
      <c r="BE13" s="4">
        <v>0.4</v>
      </c>
      <c r="BF13" s="4" t="s">
        <v>68</v>
      </c>
      <c r="BG13" s="4">
        <v>0.3</v>
      </c>
      <c r="BH13" s="4">
        <v>16</v>
      </c>
      <c r="BI13" s="4">
        <v>5.6</v>
      </c>
      <c r="BJ13" s="4">
        <v>1.7</v>
      </c>
    </row>
    <row r="14" spans="1:62" x14ac:dyDescent="0.2">
      <c r="A14" s="2" t="s">
        <v>460</v>
      </c>
      <c r="B14" s="2"/>
      <c r="C14" s="2">
        <v>350</v>
      </c>
      <c r="D14" s="2">
        <v>350</v>
      </c>
      <c r="E14" s="2">
        <v>350</v>
      </c>
      <c r="F14" s="4">
        <v>40.69</v>
      </c>
      <c r="G14" s="4">
        <v>24.61</v>
      </c>
      <c r="H14" s="4">
        <v>18.64</v>
      </c>
      <c r="I14" s="4">
        <v>0.106</v>
      </c>
      <c r="J14" s="4">
        <v>0.48</v>
      </c>
      <c r="K14" s="4">
        <v>0.01</v>
      </c>
      <c r="L14" s="4">
        <v>0.03</v>
      </c>
      <c r="M14" s="4">
        <v>0.57999999999999996</v>
      </c>
      <c r="N14" s="4">
        <v>1.9239999999999999</v>
      </c>
      <c r="O14" s="4">
        <v>0.13</v>
      </c>
      <c r="P14" s="4">
        <v>13.11</v>
      </c>
      <c r="Q14" s="4">
        <v>100.3</v>
      </c>
      <c r="R14" s="4">
        <v>53</v>
      </c>
      <c r="S14" s="4">
        <v>2</v>
      </c>
      <c r="T14" s="4">
        <v>350</v>
      </c>
      <c r="U14" s="4">
        <v>60</v>
      </c>
      <c r="V14" s="4">
        <v>23</v>
      </c>
      <c r="W14" s="4">
        <v>30</v>
      </c>
      <c r="X14" s="4">
        <v>140</v>
      </c>
      <c r="Y14" s="4">
        <v>60</v>
      </c>
      <c r="Z14" s="4">
        <v>31</v>
      </c>
      <c r="AA14" s="4">
        <v>2</v>
      </c>
      <c r="AB14" s="4" t="s">
        <v>71</v>
      </c>
      <c r="AC14" s="4">
        <v>37</v>
      </c>
      <c r="AD14" s="4">
        <v>4</v>
      </c>
      <c r="AE14" s="4">
        <v>16</v>
      </c>
      <c r="AF14" s="4">
        <v>69</v>
      </c>
      <c r="AG14" s="4">
        <v>8</v>
      </c>
      <c r="AH14" s="4" t="s">
        <v>72</v>
      </c>
      <c r="AI14" s="4" t="s">
        <v>74</v>
      </c>
      <c r="AJ14" s="4" t="s">
        <v>73</v>
      </c>
      <c r="AK14" s="4">
        <v>2</v>
      </c>
      <c r="AL14" s="4" t="s">
        <v>74</v>
      </c>
      <c r="AM14" s="4">
        <v>1.9</v>
      </c>
      <c r="AN14" s="4">
        <v>89</v>
      </c>
      <c r="AO14" s="4" t="s">
        <v>75</v>
      </c>
      <c r="AP14" s="4">
        <v>18.399999999999999</v>
      </c>
      <c r="AQ14" s="4">
        <v>49.7</v>
      </c>
      <c r="AR14" s="4">
        <v>6.23</v>
      </c>
      <c r="AS14" s="4">
        <v>25.9</v>
      </c>
      <c r="AT14" s="4">
        <v>5.9</v>
      </c>
      <c r="AU14" s="4">
        <v>1.6</v>
      </c>
      <c r="AV14" s="4">
        <v>4.7</v>
      </c>
      <c r="AW14" s="4">
        <v>0.7</v>
      </c>
      <c r="AX14" s="4">
        <v>4.0999999999999996</v>
      </c>
      <c r="AY14" s="4">
        <v>0.8</v>
      </c>
      <c r="AZ14" s="4">
        <v>2.4</v>
      </c>
      <c r="BA14" s="4">
        <v>0.36</v>
      </c>
      <c r="BB14" s="4">
        <v>2.5</v>
      </c>
      <c r="BC14" s="4">
        <v>0.39</v>
      </c>
      <c r="BD14" s="4">
        <v>1.8</v>
      </c>
      <c r="BE14" s="4">
        <v>0.6</v>
      </c>
      <c r="BF14" s="4" t="s">
        <v>68</v>
      </c>
      <c r="BG14" s="4">
        <v>0.3</v>
      </c>
      <c r="BH14" s="4">
        <v>8</v>
      </c>
      <c r="BI14" s="4">
        <v>6</v>
      </c>
      <c r="BJ14" s="4">
        <v>1.7</v>
      </c>
    </row>
    <row r="15" spans="1:62" x14ac:dyDescent="0.2">
      <c r="A15" s="2" t="s">
        <v>454</v>
      </c>
      <c r="B15" s="2"/>
      <c r="C15" s="2"/>
      <c r="D15" s="2"/>
      <c r="E15" s="2">
        <v>1000</v>
      </c>
      <c r="F15" s="4">
        <v>76.819999999999993</v>
      </c>
      <c r="G15" s="4">
        <v>13.74</v>
      </c>
      <c r="H15" s="4">
        <v>1.01</v>
      </c>
      <c r="I15" s="4">
        <v>1.6E-2</v>
      </c>
      <c r="J15" s="4">
        <v>0.09</v>
      </c>
      <c r="K15" s="4">
        <v>3.37</v>
      </c>
      <c r="L15" s="4">
        <v>3.91</v>
      </c>
      <c r="M15" s="4">
        <v>0.92</v>
      </c>
      <c r="N15" s="4">
        <v>2.7E-2</v>
      </c>
      <c r="O15" s="4" t="s">
        <v>94</v>
      </c>
      <c r="P15" s="4">
        <v>0.89</v>
      </c>
      <c r="Q15" s="4">
        <v>100.8</v>
      </c>
      <c r="R15" s="4" t="s">
        <v>68</v>
      </c>
      <c r="S15" s="4">
        <v>1</v>
      </c>
      <c r="T15" s="4">
        <v>7</v>
      </c>
      <c r="U15" s="4" t="s">
        <v>69</v>
      </c>
      <c r="V15" s="4">
        <v>3</v>
      </c>
      <c r="W15" s="4" t="s">
        <v>69</v>
      </c>
      <c r="X15" s="4">
        <v>60</v>
      </c>
      <c r="Y15" s="4" t="s">
        <v>70</v>
      </c>
      <c r="Z15" s="4">
        <v>11</v>
      </c>
      <c r="AA15" s="4" t="s">
        <v>68</v>
      </c>
      <c r="AB15" s="4" t="s">
        <v>71</v>
      </c>
      <c r="AC15" s="4">
        <v>25</v>
      </c>
      <c r="AD15" s="4">
        <v>431</v>
      </c>
      <c r="AE15" s="4">
        <v>2</v>
      </c>
      <c r="AF15" s="4">
        <v>59</v>
      </c>
      <c r="AG15" s="4" t="s">
        <v>68</v>
      </c>
      <c r="AH15" s="4" t="s">
        <v>72</v>
      </c>
      <c r="AI15" s="4" t="s">
        <v>74</v>
      </c>
      <c r="AJ15" s="4" t="s">
        <v>73</v>
      </c>
      <c r="AK15" s="4" t="s">
        <v>68</v>
      </c>
      <c r="AL15" s="4" t="s">
        <v>74</v>
      </c>
      <c r="AM15" s="4" t="s">
        <v>74</v>
      </c>
      <c r="AN15" s="4">
        <v>113</v>
      </c>
      <c r="AO15" s="4" t="s">
        <v>75</v>
      </c>
      <c r="AP15" s="4">
        <v>2.5</v>
      </c>
      <c r="AQ15" s="4">
        <v>4.0999999999999996</v>
      </c>
      <c r="AR15" s="4">
        <v>0.4</v>
      </c>
      <c r="AS15" s="4">
        <v>1.4</v>
      </c>
      <c r="AT15" s="4">
        <v>0.2</v>
      </c>
      <c r="AU15" s="4">
        <v>0.37</v>
      </c>
      <c r="AV15" s="4">
        <v>0.2</v>
      </c>
      <c r="AW15" s="4">
        <v>0</v>
      </c>
      <c r="AX15" s="4">
        <v>0.2</v>
      </c>
      <c r="AY15" s="4">
        <v>0</v>
      </c>
      <c r="AZ15" s="4">
        <v>0.1</v>
      </c>
      <c r="BA15" s="4">
        <v>0</v>
      </c>
      <c r="BB15" s="4">
        <v>0.3</v>
      </c>
      <c r="BC15" s="4">
        <v>0.05</v>
      </c>
      <c r="BD15" s="4">
        <v>2</v>
      </c>
      <c r="BE15" s="4" t="s">
        <v>79</v>
      </c>
      <c r="BF15" s="4" t="s">
        <v>68</v>
      </c>
      <c r="BG15" s="4">
        <v>0.1</v>
      </c>
      <c r="BH15" s="4">
        <v>6</v>
      </c>
      <c r="BI15" s="4">
        <v>0.7</v>
      </c>
      <c r="BJ15" s="4">
        <v>0.3</v>
      </c>
    </row>
    <row r="16" spans="1:62" s="21" customFormat="1" x14ac:dyDescent="0.2">
      <c r="A16" s="19" t="s">
        <v>455</v>
      </c>
      <c r="B16" s="19"/>
      <c r="C16" s="19"/>
      <c r="D16" s="19"/>
      <c r="E16" s="19">
        <v>1000</v>
      </c>
      <c r="F16" s="20">
        <v>69.12</v>
      </c>
      <c r="G16" s="20">
        <v>15.87</v>
      </c>
      <c r="H16" s="20">
        <v>2.4500000000000002</v>
      </c>
      <c r="I16" s="20">
        <v>6.2E-2</v>
      </c>
      <c r="J16" s="20">
        <v>1.1100000000000001</v>
      </c>
      <c r="K16" s="20">
        <v>2.27</v>
      </c>
      <c r="L16" s="20">
        <v>4.8</v>
      </c>
      <c r="M16" s="20">
        <v>3.17</v>
      </c>
      <c r="N16" s="20">
        <v>0.25700000000000001</v>
      </c>
      <c r="O16" s="20">
        <v>0.06</v>
      </c>
      <c r="P16" s="20">
        <v>0.37</v>
      </c>
      <c r="Q16" s="20">
        <v>99.53</v>
      </c>
      <c r="R16" s="20">
        <v>4</v>
      </c>
      <c r="S16" s="20">
        <v>2</v>
      </c>
      <c r="T16" s="20">
        <v>25</v>
      </c>
      <c r="U16" s="20">
        <v>190</v>
      </c>
      <c r="V16" s="20">
        <v>4</v>
      </c>
      <c r="W16" s="20">
        <v>40</v>
      </c>
      <c r="X16" s="20">
        <v>30</v>
      </c>
      <c r="Y16" s="20">
        <v>50</v>
      </c>
      <c r="Z16" s="20">
        <v>16</v>
      </c>
      <c r="AA16" s="20">
        <v>1</v>
      </c>
      <c r="AB16" s="20" t="s">
        <v>71</v>
      </c>
      <c r="AC16" s="20">
        <v>95</v>
      </c>
      <c r="AD16" s="20">
        <v>452</v>
      </c>
      <c r="AE16" s="20">
        <v>14</v>
      </c>
      <c r="AF16" s="20">
        <v>157</v>
      </c>
      <c r="AG16" s="20">
        <v>4</v>
      </c>
      <c r="AH16" s="20">
        <v>4</v>
      </c>
      <c r="AI16" s="20" t="s">
        <v>74</v>
      </c>
      <c r="AJ16" s="20" t="s">
        <v>73</v>
      </c>
      <c r="AK16" s="20">
        <v>1</v>
      </c>
      <c r="AL16" s="20" t="s">
        <v>74</v>
      </c>
      <c r="AM16" s="20">
        <v>1.8</v>
      </c>
      <c r="AN16" s="20">
        <v>667</v>
      </c>
      <c r="AO16" s="20" t="s">
        <v>75</v>
      </c>
      <c r="AP16" s="20">
        <v>15.6</v>
      </c>
      <c r="AQ16" s="20">
        <v>32.700000000000003</v>
      </c>
      <c r="AR16" s="20">
        <v>3.6</v>
      </c>
      <c r="AS16" s="20">
        <v>13.5</v>
      </c>
      <c r="AT16" s="20">
        <v>2.5</v>
      </c>
      <c r="AU16" s="20">
        <v>0.63</v>
      </c>
      <c r="AV16" s="20">
        <v>2.2999999999999998</v>
      </c>
      <c r="AW16" s="20">
        <v>0.4</v>
      </c>
      <c r="AX16" s="20">
        <v>2.4</v>
      </c>
      <c r="AY16" s="20">
        <v>0.5</v>
      </c>
      <c r="AZ16" s="20">
        <v>1.6</v>
      </c>
      <c r="BA16" s="20">
        <v>0.28000000000000003</v>
      </c>
      <c r="BB16" s="20">
        <v>2</v>
      </c>
      <c r="BC16" s="20">
        <v>0.33</v>
      </c>
      <c r="BD16" s="20">
        <v>4.7</v>
      </c>
      <c r="BE16" s="20">
        <v>0.6</v>
      </c>
      <c r="BF16" s="20" t="s">
        <v>68</v>
      </c>
      <c r="BG16" s="20">
        <v>0.3</v>
      </c>
      <c r="BH16" s="20">
        <v>15</v>
      </c>
      <c r="BI16" s="20">
        <v>5.9</v>
      </c>
      <c r="BJ16" s="20">
        <v>1.6</v>
      </c>
    </row>
    <row r="18" spans="1:58" x14ac:dyDescent="0.2">
      <c r="AO18"/>
      <c r="AP18" s="4" t="s">
        <v>39</v>
      </c>
      <c r="AQ18" s="4" t="s">
        <v>40</v>
      </c>
      <c r="AR18" s="4" t="s">
        <v>41</v>
      </c>
      <c r="AS18" s="4" t="s">
        <v>42</v>
      </c>
      <c r="AT18" s="4" t="s">
        <v>43</v>
      </c>
      <c r="AU18" s="4" t="s">
        <v>44</v>
      </c>
      <c r="AV18" s="4" t="s">
        <v>45</v>
      </c>
      <c r="AW18" s="4" t="s">
        <v>46</v>
      </c>
      <c r="AX18" s="4" t="s">
        <v>47</v>
      </c>
      <c r="AY18" s="4" t="s">
        <v>48</v>
      </c>
      <c r="AZ18" s="4" t="s">
        <v>49</v>
      </c>
      <c r="BA18" s="4" t="s">
        <v>50</v>
      </c>
      <c r="BB18" s="4" t="s">
        <v>51</v>
      </c>
      <c r="BC18" s="4" t="s">
        <v>52</v>
      </c>
      <c r="BD18"/>
      <c r="BF18" s="260" t="s">
        <v>648</v>
      </c>
    </row>
    <row r="19" spans="1:58" x14ac:dyDescent="0.2">
      <c r="AO19" s="11" t="s">
        <v>440</v>
      </c>
      <c r="AP19" s="12">
        <v>0.36699999999999999</v>
      </c>
      <c r="AQ19" s="12">
        <v>0.95699999999999996</v>
      </c>
      <c r="AR19" s="12">
        <v>0.13700000000000001</v>
      </c>
      <c r="AS19" s="12">
        <v>0.71099999999999997</v>
      </c>
      <c r="AT19" s="12">
        <v>0.23100000000000001</v>
      </c>
      <c r="AU19" s="12">
        <v>8.6999999999999994E-2</v>
      </c>
      <c r="AV19" s="12">
        <v>0.30599999999999999</v>
      </c>
      <c r="AW19" s="12">
        <v>5.8000000000000003E-2</v>
      </c>
      <c r="AX19" s="12">
        <v>0.38100000000000001</v>
      </c>
      <c r="AY19" s="12">
        <v>8.5000000000000006E-2</v>
      </c>
      <c r="AZ19" s="12">
        <v>0.249</v>
      </c>
      <c r="BA19" s="12">
        <v>3.5999999999999997E-2</v>
      </c>
      <c r="BB19" s="12">
        <v>0.248</v>
      </c>
      <c r="BC19" s="12">
        <v>3.7999999999999999E-2</v>
      </c>
      <c r="BD19" s="16" t="s">
        <v>441</v>
      </c>
      <c r="BF19"/>
    </row>
    <row r="20" spans="1:58" x14ac:dyDescent="0.2">
      <c r="AO20" s="3">
        <f>E7</f>
        <v>20</v>
      </c>
      <c r="AP20" s="3">
        <f>AP7/AP$19</f>
        <v>60.762942779291556</v>
      </c>
      <c r="AQ20" s="3">
        <f t="shared" ref="AQ20:BC20" si="0">AQ7/AQ$19</f>
        <v>54.649947753396027</v>
      </c>
      <c r="AR20" s="3">
        <f t="shared" si="0"/>
        <v>47.664233576642332</v>
      </c>
      <c r="AS20" s="3">
        <f t="shared" si="0"/>
        <v>38.677918424753869</v>
      </c>
      <c r="AT20" s="3">
        <f t="shared" si="0"/>
        <v>26.839826839826838</v>
      </c>
      <c r="AU20" s="3">
        <f t="shared" si="0"/>
        <v>18.505747126436784</v>
      </c>
      <c r="AV20" s="3">
        <f t="shared" si="0"/>
        <v>16.993464052287582</v>
      </c>
      <c r="AW20" s="3">
        <f t="shared" si="0"/>
        <v>13.793103448275863</v>
      </c>
      <c r="AX20" s="3">
        <f t="shared" si="0"/>
        <v>11.548556430446196</v>
      </c>
      <c r="AY20" s="3">
        <f t="shared" si="0"/>
        <v>10.588235294117647</v>
      </c>
      <c r="AZ20" s="3">
        <f t="shared" si="0"/>
        <v>10.843373493975905</v>
      </c>
      <c r="BA20" s="3">
        <f t="shared" si="0"/>
        <v>11.388888888888889</v>
      </c>
      <c r="BB20" s="3">
        <f t="shared" si="0"/>
        <v>11.693548387096774</v>
      </c>
      <c r="BC20" s="3">
        <f t="shared" si="0"/>
        <v>11.842105263157896</v>
      </c>
      <c r="BD20" s="3">
        <f>SUM(AP7:BC7)</f>
        <v>134.19999999999999</v>
      </c>
      <c r="BF20" s="333">
        <f>3*AQ20/(2*AP20+AS20)</f>
        <v>1.0233829608517957</v>
      </c>
    </row>
    <row r="21" spans="1:58" x14ac:dyDescent="0.2">
      <c r="AO21" s="3">
        <f t="shared" ref="AO21:AO27" si="1">E8</f>
        <v>70</v>
      </c>
      <c r="AP21" s="3">
        <f t="shared" ref="AP21:BC21" si="2">AP8/AP$19</f>
        <v>25.61307901907357</v>
      </c>
      <c r="AQ21" s="3">
        <f t="shared" si="2"/>
        <v>39.707419017763847</v>
      </c>
      <c r="AR21" s="3">
        <f t="shared" si="2"/>
        <v>15.839416058394159</v>
      </c>
      <c r="AS21" s="3">
        <f t="shared" si="2"/>
        <v>11.954992967651195</v>
      </c>
      <c r="AT21" s="3">
        <f t="shared" si="2"/>
        <v>8.6580086580086579</v>
      </c>
      <c r="AU21" s="3">
        <f t="shared" si="2"/>
        <v>5.862068965517242</v>
      </c>
      <c r="AV21" s="3">
        <f t="shared" si="2"/>
        <v>4.5751633986928102</v>
      </c>
      <c r="AW21" s="3">
        <f t="shared" si="2"/>
        <v>3.4482758620689657</v>
      </c>
      <c r="AX21" s="3">
        <f t="shared" si="2"/>
        <v>3.9370078740157481</v>
      </c>
      <c r="AY21" s="3">
        <f t="shared" si="2"/>
        <v>3.5294117647058818</v>
      </c>
      <c r="AZ21" s="3">
        <f t="shared" si="2"/>
        <v>3.6144578313253013</v>
      </c>
      <c r="BA21" s="3">
        <f t="shared" si="2"/>
        <v>3.8888888888888897</v>
      </c>
      <c r="BB21" s="3">
        <f t="shared" si="2"/>
        <v>4.435483870967742</v>
      </c>
      <c r="BC21" s="3">
        <f t="shared" si="2"/>
        <v>4.7368421052631575</v>
      </c>
      <c r="BD21" s="3">
        <f t="shared" ref="BD21:BD28" si="3">SUM(AP8:BC8)</f>
        <v>66.3</v>
      </c>
      <c r="BF21" s="333">
        <f t="shared" ref="BF21:BF28" si="4">3*AQ21/(2*AP21+AS21)</f>
        <v>1.885408150325709</v>
      </c>
    </row>
    <row r="22" spans="1:58" ht="15" customHeight="1" x14ac:dyDescent="0.2">
      <c r="AO22" s="3">
        <f t="shared" si="1"/>
        <v>120</v>
      </c>
      <c r="AP22" s="3">
        <f t="shared" ref="AP22:BC22" si="5">AP9/AP$19</f>
        <v>20.708446866485012</v>
      </c>
      <c r="AQ22" s="3">
        <f t="shared" si="5"/>
        <v>26.959247648902824</v>
      </c>
      <c r="AR22" s="3">
        <f t="shared" si="5"/>
        <v>13.941605839416058</v>
      </c>
      <c r="AS22" s="3">
        <f t="shared" si="5"/>
        <v>10.267229254571028</v>
      </c>
      <c r="AT22" s="3">
        <f t="shared" si="5"/>
        <v>7.3593073593073584</v>
      </c>
      <c r="AU22" s="3">
        <f t="shared" si="5"/>
        <v>4.8275862068965516</v>
      </c>
      <c r="AV22" s="3">
        <f t="shared" si="5"/>
        <v>4.2483660130718954</v>
      </c>
      <c r="AW22" s="3">
        <f t="shared" si="5"/>
        <v>3.4482758620689657</v>
      </c>
      <c r="AX22" s="3">
        <f t="shared" si="5"/>
        <v>3.4120734908136483</v>
      </c>
      <c r="AY22" s="3">
        <f t="shared" si="5"/>
        <v>3.5294117647058818</v>
      </c>
      <c r="AZ22" s="3">
        <f t="shared" si="5"/>
        <v>3.2128514056224899</v>
      </c>
      <c r="BA22" s="3">
        <f t="shared" si="5"/>
        <v>3.3333333333333335</v>
      </c>
      <c r="BB22" s="3">
        <f t="shared" si="5"/>
        <v>3.6290322580645165</v>
      </c>
      <c r="BC22" s="3">
        <f t="shared" si="5"/>
        <v>4.2105263157894735</v>
      </c>
      <c r="BD22" s="3">
        <f t="shared" si="3"/>
        <v>49.809999999999981</v>
      </c>
      <c r="BF22" s="333">
        <f t="shared" si="4"/>
        <v>1.5648469640513167</v>
      </c>
    </row>
    <row r="23" spans="1:58" x14ac:dyDescent="0.2">
      <c r="AO23" s="3">
        <f t="shared" si="1"/>
        <v>170</v>
      </c>
      <c r="AP23" s="3">
        <f t="shared" ref="AP23:BC23" si="6">AP10/AP$19</f>
        <v>33.514986376021803</v>
      </c>
      <c r="AQ23" s="3">
        <f t="shared" si="6"/>
        <v>119.12225705329153</v>
      </c>
      <c r="AR23" s="3">
        <f t="shared" si="6"/>
        <v>23.722627737226276</v>
      </c>
      <c r="AS23" s="3">
        <f t="shared" si="6"/>
        <v>18.002812939521803</v>
      </c>
      <c r="AT23" s="3">
        <f t="shared" si="6"/>
        <v>12.121212121212119</v>
      </c>
      <c r="AU23" s="3">
        <f t="shared" si="6"/>
        <v>7.5862068965517251</v>
      </c>
      <c r="AV23" s="3">
        <f t="shared" si="6"/>
        <v>7.1895424836601318</v>
      </c>
      <c r="AW23" s="3">
        <f t="shared" si="6"/>
        <v>6.8965517241379315</v>
      </c>
      <c r="AX23" s="3">
        <f t="shared" si="6"/>
        <v>5.7742782152230978</v>
      </c>
      <c r="AY23" s="3">
        <f t="shared" si="6"/>
        <v>4.7058823529411766</v>
      </c>
      <c r="AZ23" s="3">
        <f t="shared" si="6"/>
        <v>5.2208835341365463</v>
      </c>
      <c r="BA23" s="3">
        <f t="shared" si="6"/>
        <v>5.8333333333333339</v>
      </c>
      <c r="BB23" s="3">
        <f t="shared" si="6"/>
        <v>6.0483870967741939</v>
      </c>
      <c r="BC23" s="3">
        <f t="shared" si="6"/>
        <v>7.1052631578947372</v>
      </c>
      <c r="BD23" s="3">
        <f t="shared" si="3"/>
        <v>154.29000000000005</v>
      </c>
      <c r="BF23" s="333">
        <f t="shared" si="4"/>
        <v>4.2026939168632058</v>
      </c>
    </row>
    <row r="24" spans="1:58" x14ac:dyDescent="0.2">
      <c r="AO24" s="3">
        <f t="shared" si="1"/>
        <v>170</v>
      </c>
      <c r="AP24" s="3">
        <f t="shared" ref="AP24:BC24" si="7">AP11/AP$19</f>
        <v>30.245231607629428</v>
      </c>
      <c r="AQ24" s="3">
        <f t="shared" si="7"/>
        <v>105.53814002089865</v>
      </c>
      <c r="AR24" s="3">
        <f t="shared" si="7"/>
        <v>21.970802919708024</v>
      </c>
      <c r="AS24" s="3">
        <f t="shared" si="7"/>
        <v>17.158931082981717</v>
      </c>
      <c r="AT24" s="3">
        <f t="shared" si="7"/>
        <v>11.688311688311689</v>
      </c>
      <c r="AU24" s="3">
        <f t="shared" si="7"/>
        <v>7.7011494252873574</v>
      </c>
      <c r="AV24" s="3">
        <f t="shared" si="7"/>
        <v>6.5359477124183005</v>
      </c>
      <c r="AW24" s="3">
        <f t="shared" si="7"/>
        <v>5.1724137931034475</v>
      </c>
      <c r="AX24" s="3">
        <f t="shared" si="7"/>
        <v>5.2493438320209975</v>
      </c>
      <c r="AY24" s="3">
        <f t="shared" si="7"/>
        <v>4.7058823529411766</v>
      </c>
      <c r="AZ24" s="3">
        <f t="shared" si="7"/>
        <v>4.8192771084337345</v>
      </c>
      <c r="BA24" s="3">
        <f t="shared" si="7"/>
        <v>5.2777777777777786</v>
      </c>
      <c r="BB24" s="3">
        <f t="shared" si="7"/>
        <v>5.6451612903225801</v>
      </c>
      <c r="BC24" s="3">
        <f t="shared" si="7"/>
        <v>6.052631578947369</v>
      </c>
      <c r="BD24" s="3">
        <f t="shared" si="3"/>
        <v>138.39999999999998</v>
      </c>
      <c r="BF24" s="333">
        <f t="shared" si="4"/>
        <v>4.0774873123494544</v>
      </c>
    </row>
    <row r="25" spans="1:58" x14ac:dyDescent="0.2">
      <c r="AO25" s="3">
        <f t="shared" si="1"/>
        <v>230</v>
      </c>
      <c r="AP25" s="3">
        <f t="shared" ref="AP25:BC25" si="8">AP12/AP$19</f>
        <v>41.961852861035425</v>
      </c>
      <c r="AQ25" s="3">
        <f t="shared" si="8"/>
        <v>50.3657262277952</v>
      </c>
      <c r="AR25" s="3">
        <f t="shared" si="8"/>
        <v>32.700729927007302</v>
      </c>
      <c r="AS25" s="3">
        <f t="shared" si="8"/>
        <v>25.175808720112517</v>
      </c>
      <c r="AT25" s="3">
        <f t="shared" si="8"/>
        <v>17.316017316017316</v>
      </c>
      <c r="AU25" s="3">
        <f t="shared" si="8"/>
        <v>11.954022988505749</v>
      </c>
      <c r="AV25" s="3">
        <f t="shared" si="8"/>
        <v>9.8039215686274517</v>
      </c>
      <c r="AW25" s="3">
        <f t="shared" si="8"/>
        <v>8.6206896551724128</v>
      </c>
      <c r="AX25" s="3">
        <f t="shared" si="8"/>
        <v>7.349081364829396</v>
      </c>
      <c r="AY25" s="3">
        <f t="shared" si="8"/>
        <v>7.0588235294117636</v>
      </c>
      <c r="AZ25" s="3">
        <f t="shared" si="8"/>
        <v>6.8273092369477908</v>
      </c>
      <c r="BA25" s="3">
        <f t="shared" si="8"/>
        <v>6.9444444444444446</v>
      </c>
      <c r="BB25" s="3">
        <f t="shared" si="8"/>
        <v>7.661290322580645</v>
      </c>
      <c r="BC25" s="3">
        <f t="shared" si="8"/>
        <v>8.1578947368421062</v>
      </c>
      <c r="BD25" s="3">
        <f t="shared" si="3"/>
        <v>102.08</v>
      </c>
      <c r="BF25" s="333">
        <f t="shared" si="4"/>
        <v>1.3849482232430892</v>
      </c>
    </row>
    <row r="26" spans="1:58" x14ac:dyDescent="0.2">
      <c r="AO26" s="3">
        <f t="shared" si="1"/>
        <v>280</v>
      </c>
      <c r="AP26" s="3">
        <f t="shared" ref="AP26:BC26" si="9">AP13/AP$19</f>
        <v>48.77384196185286</v>
      </c>
      <c r="AQ26" s="3">
        <f t="shared" si="9"/>
        <v>43.469174503657264</v>
      </c>
      <c r="AR26" s="3">
        <f t="shared" si="9"/>
        <v>39.489051094890506</v>
      </c>
      <c r="AS26" s="3">
        <f t="shared" si="9"/>
        <v>31.926863572433192</v>
      </c>
      <c r="AT26" s="3">
        <f t="shared" si="9"/>
        <v>21.645021645021643</v>
      </c>
      <c r="AU26" s="3">
        <f t="shared" si="9"/>
        <v>15.057471264367818</v>
      </c>
      <c r="AV26" s="3">
        <f t="shared" si="9"/>
        <v>12.418300653594772</v>
      </c>
      <c r="AW26" s="3">
        <f t="shared" si="9"/>
        <v>10.344827586206895</v>
      </c>
      <c r="AX26" s="3">
        <f t="shared" si="9"/>
        <v>8.6614173228346445</v>
      </c>
      <c r="AY26" s="3">
        <f t="shared" si="9"/>
        <v>7.0588235294117636</v>
      </c>
      <c r="AZ26" s="3">
        <f t="shared" si="9"/>
        <v>7.2289156626506026</v>
      </c>
      <c r="BA26" s="3">
        <f t="shared" si="9"/>
        <v>8.0555555555555554</v>
      </c>
      <c r="BB26" s="3">
        <f t="shared" si="9"/>
        <v>8.064516129032258</v>
      </c>
      <c r="BC26" s="3">
        <f t="shared" si="9"/>
        <v>8.4210526315789469</v>
      </c>
      <c r="BD26" s="3">
        <f t="shared" si="3"/>
        <v>106.62999999999998</v>
      </c>
      <c r="BF26" s="333">
        <f t="shared" si="4"/>
        <v>1.0072058642634816</v>
      </c>
    </row>
    <row r="27" spans="1:58" x14ac:dyDescent="0.2">
      <c r="A27" s="1" t="s">
        <v>469</v>
      </c>
      <c r="B27" s="1" t="s">
        <v>466</v>
      </c>
      <c r="C27" s="1" t="s">
        <v>467</v>
      </c>
      <c r="D27" s="1" t="s">
        <v>468</v>
      </c>
      <c r="AO27" s="3">
        <f t="shared" si="1"/>
        <v>350</v>
      </c>
      <c r="AP27" s="3">
        <f t="shared" ref="AP27:BC27" si="10">AP14/AP$19</f>
        <v>50.136239782016347</v>
      </c>
      <c r="AQ27" s="3">
        <f t="shared" si="10"/>
        <v>51.933124346917452</v>
      </c>
      <c r="AR27" s="3">
        <f t="shared" si="10"/>
        <v>45.474452554744524</v>
      </c>
      <c r="AS27" s="3">
        <f t="shared" si="10"/>
        <v>36.427566807313646</v>
      </c>
      <c r="AT27" s="3">
        <f t="shared" si="10"/>
        <v>25.541125541125542</v>
      </c>
      <c r="AU27" s="3">
        <f t="shared" si="10"/>
        <v>18.390804597701152</v>
      </c>
      <c r="AV27" s="3">
        <f t="shared" si="10"/>
        <v>15.359477124183007</v>
      </c>
      <c r="AW27" s="3">
        <f t="shared" si="10"/>
        <v>12.068965517241377</v>
      </c>
      <c r="AX27" s="3">
        <f t="shared" si="10"/>
        <v>10.761154855643044</v>
      </c>
      <c r="AY27" s="3">
        <f t="shared" si="10"/>
        <v>9.4117647058823533</v>
      </c>
      <c r="AZ27" s="3">
        <f t="shared" si="10"/>
        <v>9.6385542168674689</v>
      </c>
      <c r="BA27" s="3">
        <f t="shared" si="10"/>
        <v>10</v>
      </c>
      <c r="BB27" s="3">
        <f t="shared" si="10"/>
        <v>10.080645161290322</v>
      </c>
      <c r="BC27" s="3">
        <f t="shared" si="10"/>
        <v>10.263157894736842</v>
      </c>
      <c r="BD27" s="3">
        <f t="shared" si="3"/>
        <v>123.67999999999999</v>
      </c>
      <c r="BF27" s="333">
        <f t="shared" si="4"/>
        <v>1.1397170460171069</v>
      </c>
    </row>
    <row r="28" spans="1:58" x14ac:dyDescent="0.2">
      <c r="A28" s="1" t="str">
        <f>A7</f>
        <v xml:space="preserve">RHP 16-002 </v>
      </c>
      <c r="B28" s="26">
        <f>100*G7/(G7+K7+L7)</f>
        <v>99.334600760456283</v>
      </c>
      <c r="C28" s="26">
        <f>100*G7/(G7+K7+M7+L7)</f>
        <v>97.663551401869171</v>
      </c>
      <c r="D28" s="26">
        <f>100*((2*L7/0.35)+(J7/0.9)+(2*M7/0.25)+(K7/0.7))</f>
        <v>351.65079365079362</v>
      </c>
      <c r="AO28" s="3" t="str">
        <f t="shared" ref="AO28" si="11">A15</f>
        <v xml:space="preserve">CZO-GNEISS </v>
      </c>
      <c r="AP28" s="3">
        <f t="shared" ref="AP28:BC28" si="12">AP15/AP$19</f>
        <v>6.8119891008174385</v>
      </c>
      <c r="AQ28" s="3">
        <f t="shared" si="12"/>
        <v>4.2842215256008354</v>
      </c>
      <c r="AR28" s="3">
        <f t="shared" si="12"/>
        <v>2.9197080291970803</v>
      </c>
      <c r="AS28" s="3">
        <f t="shared" si="12"/>
        <v>1.969057665260197</v>
      </c>
      <c r="AT28" s="3">
        <f t="shared" si="12"/>
        <v>0.86580086580086579</v>
      </c>
      <c r="AU28" s="3">
        <f t="shared" si="12"/>
        <v>4.2528735632183912</v>
      </c>
      <c r="AV28" s="3">
        <f t="shared" si="12"/>
        <v>0.65359477124183007</v>
      </c>
      <c r="AW28" s="3">
        <f t="shared" si="12"/>
        <v>0</v>
      </c>
      <c r="AX28" s="3">
        <f t="shared" si="12"/>
        <v>0.52493438320209973</v>
      </c>
      <c r="AY28" s="3">
        <f t="shared" si="12"/>
        <v>0</v>
      </c>
      <c r="AZ28" s="3">
        <f t="shared" si="12"/>
        <v>0.40160642570281124</v>
      </c>
      <c r="BA28" s="3">
        <f t="shared" si="12"/>
        <v>0</v>
      </c>
      <c r="BB28" s="3">
        <f t="shared" si="12"/>
        <v>1.2096774193548387</v>
      </c>
      <c r="BC28" s="3">
        <f t="shared" si="12"/>
        <v>1.3157894736842106</v>
      </c>
      <c r="BD28" s="3">
        <f t="shared" si="3"/>
        <v>9.8199999999999985</v>
      </c>
      <c r="BF28" s="333">
        <f t="shared" si="4"/>
        <v>0.82425671860920069</v>
      </c>
    </row>
    <row r="29" spans="1:58" x14ac:dyDescent="0.2">
      <c r="A29" s="1" t="str">
        <f t="shared" ref="A29:A37" si="13">A8</f>
        <v xml:space="preserve">RHP 16-007 </v>
      </c>
      <c r="B29" s="26">
        <f t="shared" ref="B29:B37" si="14">100*G8/(G8+K8+L8)</f>
        <v>99.508709245198744</v>
      </c>
      <c r="C29" s="26">
        <f t="shared" ref="C29:C37" si="15">100*G8/(G8+K8+M8+L8)</f>
        <v>98.323036187113857</v>
      </c>
      <c r="D29" s="26">
        <f t="shared" ref="D29:D37" si="16">100*((2*L8/0.35)+(J8/0.9)+(2*M8/0.25)+(K8/0.7))</f>
        <v>262.50793650793651</v>
      </c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F29" s="333"/>
    </row>
    <row r="30" spans="1:58" x14ac:dyDescent="0.2">
      <c r="A30" s="1" t="str">
        <f t="shared" si="13"/>
        <v xml:space="preserve">RHP 16-012 </v>
      </c>
      <c r="B30" s="26">
        <f t="shared" si="14"/>
        <v>99.68325791855203</v>
      </c>
      <c r="C30" s="26">
        <f t="shared" si="15"/>
        <v>98.612354521038498</v>
      </c>
      <c r="D30" s="26">
        <f t="shared" si="16"/>
        <v>233.90476190476193</v>
      </c>
      <c r="BF30" s="333"/>
    </row>
    <row r="31" spans="1:58" x14ac:dyDescent="0.2">
      <c r="A31" s="1" t="str">
        <f t="shared" si="13"/>
        <v xml:space="preserve">RHP 16-017 </v>
      </c>
      <c r="B31" s="26">
        <f t="shared" si="14"/>
        <v>99.489795918367363</v>
      </c>
      <c r="C31" s="26">
        <f t="shared" si="15"/>
        <v>96.966683242168074</v>
      </c>
      <c r="D31" s="26">
        <f t="shared" si="16"/>
        <v>476.8888888888888</v>
      </c>
    </row>
    <row r="32" spans="1:58" x14ac:dyDescent="0.2">
      <c r="A32" s="1" t="str">
        <f t="shared" si="13"/>
        <v xml:space="preserve">RHP 16-017 </v>
      </c>
      <c r="B32" s="26">
        <f t="shared" si="14"/>
        <v>99.488752556237202</v>
      </c>
      <c r="C32" s="26">
        <f t="shared" si="15"/>
        <v>96.912350597609546</v>
      </c>
      <c r="D32" s="26">
        <f t="shared" si="16"/>
        <v>481.71428571428567</v>
      </c>
    </row>
    <row r="33" spans="1:4" x14ac:dyDescent="0.2">
      <c r="A33" s="1" t="str">
        <f t="shared" si="13"/>
        <v xml:space="preserve">RHP 16-023 </v>
      </c>
      <c r="B33" s="26">
        <f t="shared" si="14"/>
        <v>99.748490945674035</v>
      </c>
      <c r="C33" s="26">
        <f t="shared" si="15"/>
        <v>97.781065088757401</v>
      </c>
      <c r="D33" s="26">
        <f t="shared" si="16"/>
        <v>372.22222222222223</v>
      </c>
    </row>
    <row r="34" spans="1:4" x14ac:dyDescent="0.2">
      <c r="A34" s="1" t="str">
        <f t="shared" si="13"/>
        <v xml:space="preserve">RHP 16-028 </v>
      </c>
      <c r="B34" s="26">
        <f t="shared" si="14"/>
        <v>99.81495188749075</v>
      </c>
      <c r="C34" s="26">
        <f t="shared" si="15"/>
        <v>97.859216255442675</v>
      </c>
      <c r="D34" s="26">
        <f t="shared" si="16"/>
        <v>486.44444444444446</v>
      </c>
    </row>
    <row r="35" spans="1:4" x14ac:dyDescent="0.2">
      <c r="A35" s="1" t="str">
        <f t="shared" si="13"/>
        <v xml:space="preserve">RHP 16-035 </v>
      </c>
      <c r="B35" s="26">
        <f t="shared" si="14"/>
        <v>99.837728194726154</v>
      </c>
      <c r="C35" s="26">
        <f t="shared" si="15"/>
        <v>97.542608006341652</v>
      </c>
      <c r="D35" s="26">
        <f t="shared" si="16"/>
        <v>535.90476190476193</v>
      </c>
    </row>
    <row r="36" spans="1:4" x14ac:dyDescent="0.2">
      <c r="A36" s="1" t="str">
        <f t="shared" si="13"/>
        <v xml:space="preserve">CZO-GNEISS </v>
      </c>
      <c r="B36" s="26">
        <f t="shared" si="14"/>
        <v>65.366317792578499</v>
      </c>
      <c r="C36" s="26">
        <f t="shared" si="15"/>
        <v>62.625341841385591</v>
      </c>
      <c r="D36" s="26">
        <f t="shared" si="16"/>
        <v>3461.7142857142858</v>
      </c>
    </row>
    <row r="37" spans="1:4" x14ac:dyDescent="0.2">
      <c r="A37" s="1" t="str">
        <f t="shared" si="13"/>
        <v xml:space="preserve">_MLG </v>
      </c>
      <c r="B37" s="26">
        <f t="shared" si="14"/>
        <v>69.180470793374013</v>
      </c>
      <c r="C37" s="26">
        <f t="shared" si="15"/>
        <v>60.781309842972036</v>
      </c>
      <c r="D37" s="26">
        <f t="shared" si="16"/>
        <v>5726.4761904761908</v>
      </c>
    </row>
    <row r="38" spans="1:4" x14ac:dyDescent="0.2">
      <c r="A38"/>
      <c r="B38"/>
      <c r="C38"/>
      <c r="D38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J37"/>
  <sheetViews>
    <sheetView topLeftCell="AL1" workbookViewId="0">
      <selection activeCell="BF21" sqref="BF21"/>
    </sheetView>
  </sheetViews>
  <sheetFormatPr baseColWidth="10" defaultRowHeight="15" x14ac:dyDescent="0.2"/>
  <cols>
    <col min="1" max="1" width="19.83203125" bestFit="1" customWidth="1"/>
    <col min="2" max="5" width="11" customWidth="1"/>
    <col min="6" max="7" width="7.33203125" bestFit="1" customWidth="1"/>
    <col min="8" max="8" width="7.83203125" bestFit="1" customWidth="1"/>
    <col min="9" max="20" width="7.33203125" bestFit="1" customWidth="1"/>
    <col min="21" max="29" width="7" bestFit="1" customWidth="1"/>
    <col min="30" max="32" width="7.33203125" bestFit="1" customWidth="1"/>
    <col min="33" max="39" width="7" bestFit="1" customWidth="1"/>
    <col min="40" max="40" width="7.33203125" bestFit="1" customWidth="1"/>
    <col min="41" max="48" width="7" bestFit="1" customWidth="1"/>
    <col min="49" max="49" width="8.1640625" customWidth="1"/>
    <col min="50" max="50" width="6.33203125" customWidth="1"/>
    <col min="51" max="51" width="8" customWidth="1"/>
    <col min="52" max="53" width="8.1640625" customWidth="1"/>
    <col min="54" max="62" width="7" bestFit="1" customWidth="1"/>
  </cols>
  <sheetData>
    <row r="1" spans="1:62" x14ac:dyDescent="0.2">
      <c r="A1" s="2" t="s">
        <v>442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x14ac:dyDescent="0.2">
      <c r="A2" s="4" t="s">
        <v>443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x14ac:dyDescent="0.2">
      <c r="A3" s="2" t="s">
        <v>2</v>
      </c>
      <c r="B3" s="2" t="s">
        <v>422</v>
      </c>
      <c r="C3" s="2" t="s">
        <v>426</v>
      </c>
      <c r="D3" s="2" t="s">
        <v>426</v>
      </c>
      <c r="E3" s="2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</row>
    <row r="4" spans="1:62" x14ac:dyDescent="0.2">
      <c r="A4" s="2" t="s">
        <v>60</v>
      </c>
      <c r="C4" s="2" t="s">
        <v>425</v>
      </c>
      <c r="D4" s="2" t="s">
        <v>425</v>
      </c>
      <c r="E4" s="2" t="s">
        <v>425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61</v>
      </c>
      <c r="O4" s="4" t="s">
        <v>61</v>
      </c>
      <c r="P4" s="4" t="s">
        <v>61</v>
      </c>
      <c r="Q4" s="4" t="s">
        <v>61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  <c r="BG4" s="4" t="s">
        <v>62</v>
      </c>
      <c r="BH4" s="4" t="s">
        <v>62</v>
      </c>
      <c r="BI4" s="4" t="s">
        <v>62</v>
      </c>
      <c r="BJ4" s="4" t="s">
        <v>62</v>
      </c>
    </row>
    <row r="5" spans="1:62" x14ac:dyDescent="0.2">
      <c r="A5" s="2" t="s">
        <v>63</v>
      </c>
      <c r="C5" s="2"/>
      <c r="D5" s="2"/>
      <c r="E5" s="2"/>
      <c r="F5" s="4">
        <v>0.01</v>
      </c>
      <c r="G5" s="4">
        <v>0.01</v>
      </c>
      <c r="H5" s="4">
        <v>0.01</v>
      </c>
      <c r="I5" s="4">
        <v>1E-3</v>
      </c>
      <c r="J5" s="4">
        <v>0.01</v>
      </c>
      <c r="K5" s="4">
        <v>0.01</v>
      </c>
      <c r="L5" s="4">
        <v>0.01</v>
      </c>
      <c r="M5" s="4">
        <v>0.01</v>
      </c>
      <c r="N5" s="4">
        <v>1E-3</v>
      </c>
      <c r="O5" s="4">
        <v>0.01</v>
      </c>
      <c r="P5" s="4"/>
      <c r="Q5" s="4">
        <v>0.01</v>
      </c>
      <c r="R5" s="4">
        <v>1</v>
      </c>
      <c r="S5" s="4">
        <v>1</v>
      </c>
      <c r="T5" s="4">
        <v>5</v>
      </c>
      <c r="U5" s="4">
        <v>20</v>
      </c>
      <c r="V5" s="4">
        <v>1</v>
      </c>
      <c r="W5" s="4">
        <v>20</v>
      </c>
      <c r="X5" s="4">
        <v>10</v>
      </c>
      <c r="Y5" s="4">
        <v>30</v>
      </c>
      <c r="Z5" s="4">
        <v>1</v>
      </c>
      <c r="AA5" s="4">
        <v>1</v>
      </c>
      <c r="AB5" s="4">
        <v>5</v>
      </c>
      <c r="AC5" s="4">
        <v>2</v>
      </c>
      <c r="AD5" s="4">
        <v>2</v>
      </c>
      <c r="AE5" s="4">
        <v>2</v>
      </c>
      <c r="AF5" s="4">
        <v>4</v>
      </c>
      <c r="AG5" s="4">
        <v>1</v>
      </c>
      <c r="AH5" s="4">
        <v>2</v>
      </c>
      <c r="AI5" s="4">
        <v>0.5</v>
      </c>
      <c r="AJ5" s="4">
        <v>0.2</v>
      </c>
      <c r="AK5" s="4">
        <v>1</v>
      </c>
      <c r="AL5" s="4">
        <v>0.5</v>
      </c>
      <c r="AM5" s="4">
        <v>0.5</v>
      </c>
      <c r="AN5" s="4">
        <v>3</v>
      </c>
      <c r="AO5" s="4">
        <v>0.4</v>
      </c>
      <c r="AP5" s="4">
        <v>0.1</v>
      </c>
      <c r="AQ5" s="4">
        <v>0.1</v>
      </c>
      <c r="AR5" s="4">
        <v>0.05</v>
      </c>
      <c r="AS5" s="4">
        <v>0.1</v>
      </c>
      <c r="AT5" s="4">
        <v>0.1</v>
      </c>
      <c r="AU5" s="4">
        <v>0.05</v>
      </c>
      <c r="AV5" s="4">
        <v>0.1</v>
      </c>
      <c r="AW5" s="4">
        <v>0.1</v>
      </c>
      <c r="AX5" s="4">
        <v>0.1</v>
      </c>
      <c r="AY5" s="4">
        <v>0.1</v>
      </c>
      <c r="AZ5" s="4">
        <v>0.1</v>
      </c>
      <c r="BA5" s="4">
        <v>0.05</v>
      </c>
      <c r="BB5" s="4">
        <v>0.1</v>
      </c>
      <c r="BC5" s="4">
        <v>0.04</v>
      </c>
      <c r="BD5" s="4">
        <v>0.2</v>
      </c>
      <c r="BE5" s="4">
        <v>0.1</v>
      </c>
      <c r="BF5" s="4">
        <v>1</v>
      </c>
      <c r="BG5" s="4">
        <v>0.1</v>
      </c>
      <c r="BH5" s="4">
        <v>5</v>
      </c>
      <c r="BI5" s="4">
        <v>0.1</v>
      </c>
      <c r="BJ5" s="4">
        <v>0.1</v>
      </c>
    </row>
    <row r="6" spans="1:62" s="10" customFormat="1" ht="16" thickBot="1" x14ac:dyDescent="0.25">
      <c r="A6" s="22" t="s">
        <v>64</v>
      </c>
      <c r="C6" s="5" t="s">
        <v>423</v>
      </c>
      <c r="D6" s="5" t="s">
        <v>424</v>
      </c>
      <c r="E6" s="5" t="s">
        <v>427</v>
      </c>
      <c r="F6" s="23" t="s">
        <v>65</v>
      </c>
      <c r="G6" s="23" t="s">
        <v>65</v>
      </c>
      <c r="H6" s="23" t="s">
        <v>65</v>
      </c>
      <c r="I6" s="23" t="s">
        <v>65</v>
      </c>
      <c r="J6" s="23" t="s">
        <v>65</v>
      </c>
      <c r="K6" s="23" t="s">
        <v>65</v>
      </c>
      <c r="L6" s="23" t="s">
        <v>65</v>
      </c>
      <c r="M6" s="23" t="s">
        <v>65</v>
      </c>
      <c r="N6" s="23" t="s">
        <v>65</v>
      </c>
      <c r="O6" s="23" t="s">
        <v>65</v>
      </c>
      <c r="P6" s="23" t="s">
        <v>65</v>
      </c>
      <c r="Q6" s="23" t="s">
        <v>65</v>
      </c>
      <c r="R6" s="23" t="s">
        <v>65</v>
      </c>
      <c r="S6" s="23" t="s">
        <v>65</v>
      </c>
      <c r="T6" s="23" t="s">
        <v>65</v>
      </c>
      <c r="U6" s="23" t="s">
        <v>66</v>
      </c>
      <c r="V6" s="23" t="s">
        <v>66</v>
      </c>
      <c r="W6" s="23" t="s">
        <v>66</v>
      </c>
      <c r="X6" s="23" t="s">
        <v>66</v>
      </c>
      <c r="Y6" s="23" t="s">
        <v>66</v>
      </c>
      <c r="Z6" s="23" t="s">
        <v>66</v>
      </c>
      <c r="AA6" s="23" t="s">
        <v>66</v>
      </c>
      <c r="AB6" s="23" t="s">
        <v>66</v>
      </c>
      <c r="AC6" s="23" t="s">
        <v>66</v>
      </c>
      <c r="AD6" s="23" t="s">
        <v>65</v>
      </c>
      <c r="AE6" s="23" t="s">
        <v>65</v>
      </c>
      <c r="AF6" s="23" t="s">
        <v>65</v>
      </c>
      <c r="AG6" s="23" t="s">
        <v>66</v>
      </c>
      <c r="AH6" s="23" t="s">
        <v>66</v>
      </c>
      <c r="AI6" s="23" t="s">
        <v>66</v>
      </c>
      <c r="AJ6" s="23" t="s">
        <v>66</v>
      </c>
      <c r="AK6" s="23" t="s">
        <v>66</v>
      </c>
      <c r="AL6" s="23" t="s">
        <v>66</v>
      </c>
      <c r="AM6" s="23" t="s">
        <v>66</v>
      </c>
      <c r="AN6" s="23" t="s">
        <v>65</v>
      </c>
      <c r="AO6" s="23" t="s">
        <v>66</v>
      </c>
      <c r="AP6" s="23" t="s">
        <v>66</v>
      </c>
      <c r="AQ6" s="23" t="s">
        <v>66</v>
      </c>
      <c r="AR6" s="23" t="s">
        <v>66</v>
      </c>
      <c r="AS6" s="23" t="s">
        <v>66</v>
      </c>
      <c r="AT6" s="23" t="s">
        <v>66</v>
      </c>
      <c r="AU6" s="23" t="s">
        <v>66</v>
      </c>
      <c r="AV6" s="23" t="s">
        <v>66</v>
      </c>
      <c r="AW6" s="23" t="s">
        <v>66</v>
      </c>
      <c r="AX6" s="23" t="s">
        <v>66</v>
      </c>
      <c r="AY6" s="23" t="s">
        <v>66</v>
      </c>
      <c r="AZ6" s="23" t="s">
        <v>66</v>
      </c>
      <c r="BA6" s="23" t="s">
        <v>66</v>
      </c>
      <c r="BB6" s="23" t="s">
        <v>66</v>
      </c>
      <c r="BC6" s="23" t="s">
        <v>66</v>
      </c>
      <c r="BD6" s="23" t="s">
        <v>66</v>
      </c>
      <c r="BE6" s="23" t="s">
        <v>66</v>
      </c>
      <c r="BF6" s="23" t="s">
        <v>66</v>
      </c>
      <c r="BG6" s="23" t="s">
        <v>66</v>
      </c>
      <c r="BH6" s="23" t="s">
        <v>66</v>
      </c>
      <c r="BI6" s="23" t="s">
        <v>66</v>
      </c>
      <c r="BJ6" s="23" t="s">
        <v>66</v>
      </c>
    </row>
    <row r="7" spans="1:62" s="21" customFormat="1" ht="16" thickTop="1" x14ac:dyDescent="0.2">
      <c r="A7" s="19" t="s">
        <v>456</v>
      </c>
      <c r="B7" s="19"/>
      <c r="C7" s="19"/>
      <c r="D7" s="19"/>
      <c r="E7" s="19">
        <v>1000</v>
      </c>
      <c r="F7" s="20">
        <v>76.819999999999993</v>
      </c>
      <c r="G7" s="20">
        <v>13.74</v>
      </c>
      <c r="H7" s="20">
        <v>1.01</v>
      </c>
      <c r="I7" s="20">
        <v>1.6E-2</v>
      </c>
      <c r="J7" s="20">
        <v>0.09</v>
      </c>
      <c r="K7" s="20">
        <v>3.37</v>
      </c>
      <c r="L7" s="20">
        <v>3.91</v>
      </c>
      <c r="M7" s="20">
        <v>0.92</v>
      </c>
      <c r="N7" s="20">
        <v>2.7E-2</v>
      </c>
      <c r="O7" s="20" t="s">
        <v>94</v>
      </c>
      <c r="P7" s="20">
        <v>0.89</v>
      </c>
      <c r="Q7" s="20">
        <v>100.8</v>
      </c>
      <c r="R7" s="20" t="s">
        <v>68</v>
      </c>
      <c r="S7" s="20">
        <v>1</v>
      </c>
      <c r="T7" s="20">
        <v>7</v>
      </c>
      <c r="U7" s="20" t="s">
        <v>69</v>
      </c>
      <c r="V7" s="20">
        <v>3</v>
      </c>
      <c r="W7" s="20" t="s">
        <v>69</v>
      </c>
      <c r="X7" s="20">
        <v>60</v>
      </c>
      <c r="Y7" s="20" t="s">
        <v>70</v>
      </c>
      <c r="Z7" s="20">
        <v>11</v>
      </c>
      <c r="AA7" s="20" t="s">
        <v>68</v>
      </c>
      <c r="AB7" s="20" t="s">
        <v>71</v>
      </c>
      <c r="AC7" s="20">
        <v>25</v>
      </c>
      <c r="AD7" s="20">
        <v>431</v>
      </c>
      <c r="AE7" s="20">
        <v>2</v>
      </c>
      <c r="AF7" s="20">
        <v>59</v>
      </c>
      <c r="AG7" s="20" t="s">
        <v>68</v>
      </c>
      <c r="AH7" s="20" t="s">
        <v>72</v>
      </c>
      <c r="AI7" s="20" t="s">
        <v>74</v>
      </c>
      <c r="AJ7" s="20" t="s">
        <v>73</v>
      </c>
      <c r="AK7" s="20" t="s">
        <v>68</v>
      </c>
      <c r="AL7" s="20" t="s">
        <v>74</v>
      </c>
      <c r="AM7" s="20" t="s">
        <v>74</v>
      </c>
      <c r="AN7" s="20">
        <v>113</v>
      </c>
      <c r="AO7" s="20" t="s">
        <v>75</v>
      </c>
      <c r="AP7" s="20">
        <v>2.5</v>
      </c>
      <c r="AQ7" s="20">
        <v>4.0999999999999996</v>
      </c>
      <c r="AR7" s="20">
        <v>0.4</v>
      </c>
      <c r="AS7" s="20">
        <v>1.4</v>
      </c>
      <c r="AT7" s="20">
        <v>0.2</v>
      </c>
      <c r="AU7" s="20">
        <v>0.37</v>
      </c>
      <c r="AV7" s="20">
        <v>0.2</v>
      </c>
      <c r="AW7" s="20" t="s">
        <v>79</v>
      </c>
      <c r="AX7" s="20">
        <v>0.2</v>
      </c>
      <c r="AY7" s="20" t="s">
        <v>79</v>
      </c>
      <c r="AZ7" s="20">
        <v>0.1</v>
      </c>
      <c r="BA7" s="20" t="s">
        <v>413</v>
      </c>
      <c r="BB7" s="20">
        <v>0.3</v>
      </c>
      <c r="BC7" s="20">
        <v>0.05</v>
      </c>
      <c r="BD7" s="20">
        <v>2</v>
      </c>
      <c r="BE7" s="20" t="s">
        <v>79</v>
      </c>
      <c r="BF7" s="20" t="s">
        <v>68</v>
      </c>
      <c r="BG7" s="20">
        <v>0.1</v>
      </c>
      <c r="BH7" s="20">
        <v>6</v>
      </c>
      <c r="BI7" s="20">
        <v>0.7</v>
      </c>
      <c r="BJ7" s="20">
        <v>0.3</v>
      </c>
    </row>
    <row r="8" spans="1:62" s="21" customFormat="1" x14ac:dyDescent="0.2">
      <c r="A8" s="19" t="s">
        <v>455</v>
      </c>
      <c r="B8" s="19"/>
      <c r="C8" s="19"/>
      <c r="D8" s="19"/>
      <c r="E8" s="19">
        <v>1000</v>
      </c>
      <c r="F8" s="20">
        <v>69.12</v>
      </c>
      <c r="G8" s="20">
        <v>15.87</v>
      </c>
      <c r="H8" s="20">
        <v>2.4500000000000002</v>
      </c>
      <c r="I8" s="20">
        <v>6.2E-2</v>
      </c>
      <c r="J8" s="20">
        <v>1.1100000000000001</v>
      </c>
      <c r="K8" s="20">
        <v>2.27</v>
      </c>
      <c r="L8" s="20">
        <v>4.8</v>
      </c>
      <c r="M8" s="20">
        <v>3.17</v>
      </c>
      <c r="N8" s="20">
        <v>0.25700000000000001</v>
      </c>
      <c r="O8" s="20">
        <v>0.06</v>
      </c>
      <c r="P8" s="20">
        <v>0.37</v>
      </c>
      <c r="Q8" s="20">
        <v>99.53</v>
      </c>
      <c r="R8" s="20">
        <v>4</v>
      </c>
      <c r="S8" s="20">
        <v>2</v>
      </c>
      <c r="T8" s="20">
        <v>25</v>
      </c>
      <c r="U8" s="20">
        <v>190</v>
      </c>
      <c r="V8" s="20">
        <v>4</v>
      </c>
      <c r="W8" s="20">
        <v>40</v>
      </c>
      <c r="X8" s="20">
        <v>30</v>
      </c>
      <c r="Y8" s="20">
        <v>50</v>
      </c>
      <c r="Z8" s="20">
        <v>16</v>
      </c>
      <c r="AA8" s="20">
        <v>1</v>
      </c>
      <c r="AB8" s="20" t="s">
        <v>71</v>
      </c>
      <c r="AC8" s="20">
        <v>95</v>
      </c>
      <c r="AD8" s="20">
        <v>452</v>
      </c>
      <c r="AE8" s="20">
        <v>14</v>
      </c>
      <c r="AF8" s="20">
        <v>157</v>
      </c>
      <c r="AG8" s="20">
        <v>4</v>
      </c>
      <c r="AH8" s="20">
        <v>4</v>
      </c>
      <c r="AI8" s="20" t="s">
        <v>74</v>
      </c>
      <c r="AJ8" s="20" t="s">
        <v>73</v>
      </c>
      <c r="AK8" s="20">
        <v>1</v>
      </c>
      <c r="AL8" s="20" t="s">
        <v>74</v>
      </c>
      <c r="AM8" s="20">
        <v>1.8</v>
      </c>
      <c r="AN8" s="20">
        <v>667</v>
      </c>
      <c r="AO8" s="20" t="s">
        <v>75</v>
      </c>
      <c r="AP8" s="20">
        <v>15.6</v>
      </c>
      <c r="AQ8" s="20">
        <v>32.700000000000003</v>
      </c>
      <c r="AR8" s="20">
        <v>3.6</v>
      </c>
      <c r="AS8" s="20">
        <v>13.5</v>
      </c>
      <c r="AT8" s="20">
        <v>2.5</v>
      </c>
      <c r="AU8" s="20">
        <v>0.63</v>
      </c>
      <c r="AV8" s="20">
        <v>2.2999999999999998</v>
      </c>
      <c r="AW8" s="20">
        <v>0.4</v>
      </c>
      <c r="AX8" s="20">
        <v>2.4</v>
      </c>
      <c r="AY8" s="20">
        <v>0.5</v>
      </c>
      <c r="AZ8" s="20">
        <v>1.6</v>
      </c>
      <c r="BA8" s="20">
        <v>0.28000000000000003</v>
      </c>
      <c r="BB8" s="20">
        <v>2</v>
      </c>
      <c r="BC8" s="20">
        <v>0.33</v>
      </c>
      <c r="BD8" s="20">
        <v>4.7</v>
      </c>
      <c r="BE8" s="20">
        <v>0.6</v>
      </c>
      <c r="BF8" s="20" t="s">
        <v>68</v>
      </c>
      <c r="BG8" s="20">
        <v>0.3</v>
      </c>
      <c r="BH8" s="20">
        <v>15</v>
      </c>
      <c r="BI8" s="20">
        <v>5.9</v>
      </c>
      <c r="BJ8" s="20">
        <v>1.6</v>
      </c>
    </row>
    <row r="9" spans="1:62" s="21" customFormat="1" x14ac:dyDescent="0.2">
      <c r="A9" s="19" t="s">
        <v>457</v>
      </c>
      <c r="B9" s="19"/>
      <c r="C9" s="19">
        <v>20</v>
      </c>
      <c r="D9" s="19">
        <v>20</v>
      </c>
      <c r="E9" s="19">
        <v>20</v>
      </c>
      <c r="F9" s="20">
        <v>59.06</v>
      </c>
      <c r="G9" s="20">
        <v>15.79</v>
      </c>
      <c r="H9" s="20">
        <v>8.68</v>
      </c>
      <c r="I9" s="20">
        <v>0.29899999999999999</v>
      </c>
      <c r="J9" s="20">
        <v>0.23</v>
      </c>
      <c r="K9" s="20">
        <v>0.1</v>
      </c>
      <c r="L9" s="20">
        <v>0.08</v>
      </c>
      <c r="M9" s="20">
        <v>0.43</v>
      </c>
      <c r="N9" s="20">
        <v>1.3480000000000001</v>
      </c>
      <c r="O9" s="20">
        <v>0.12</v>
      </c>
      <c r="P9" s="20">
        <v>12.76</v>
      </c>
      <c r="Q9" s="20">
        <v>98.91</v>
      </c>
      <c r="R9" s="20">
        <v>20</v>
      </c>
      <c r="S9" s="20">
        <v>2</v>
      </c>
      <c r="T9" s="20">
        <v>180</v>
      </c>
      <c r="U9" s="20">
        <v>50</v>
      </c>
      <c r="V9" s="20">
        <v>47</v>
      </c>
      <c r="W9" s="20">
        <v>30</v>
      </c>
      <c r="X9" s="20">
        <v>70</v>
      </c>
      <c r="Y9" s="20">
        <v>60</v>
      </c>
      <c r="Z9" s="20">
        <v>19</v>
      </c>
      <c r="AA9" s="20">
        <v>2</v>
      </c>
      <c r="AB9" s="20" t="s">
        <v>71</v>
      </c>
      <c r="AC9" s="20">
        <v>33</v>
      </c>
      <c r="AD9" s="20">
        <v>31</v>
      </c>
      <c r="AE9" s="20">
        <v>89</v>
      </c>
      <c r="AF9" s="20">
        <v>194</v>
      </c>
      <c r="AG9" s="20">
        <v>5</v>
      </c>
      <c r="AH9" s="20" t="s">
        <v>72</v>
      </c>
      <c r="AI9" s="20" t="s">
        <v>74</v>
      </c>
      <c r="AJ9" s="20" t="s">
        <v>73</v>
      </c>
      <c r="AK9" s="20" t="s">
        <v>68</v>
      </c>
      <c r="AL9" s="20" t="s">
        <v>74</v>
      </c>
      <c r="AM9" s="20">
        <v>2.1</v>
      </c>
      <c r="AN9" s="20">
        <v>248</v>
      </c>
      <c r="AO9" s="20" t="s">
        <v>75</v>
      </c>
      <c r="AP9" s="20">
        <v>68.3</v>
      </c>
      <c r="AQ9" s="20">
        <v>109</v>
      </c>
      <c r="AR9" s="20">
        <v>21.6</v>
      </c>
      <c r="AS9" s="20">
        <v>93.6</v>
      </c>
      <c r="AT9" s="20">
        <v>20.7</v>
      </c>
      <c r="AU9" s="20">
        <v>5.98</v>
      </c>
      <c r="AV9" s="20">
        <v>19.100000000000001</v>
      </c>
      <c r="AW9" s="20">
        <v>2.8</v>
      </c>
      <c r="AX9" s="20">
        <v>16.3</v>
      </c>
      <c r="AY9" s="20">
        <v>3.1</v>
      </c>
      <c r="AZ9" s="20">
        <v>8.6999999999999993</v>
      </c>
      <c r="BA9" s="20">
        <v>1.3</v>
      </c>
      <c r="BB9" s="20">
        <v>8.4</v>
      </c>
      <c r="BC9" s="20">
        <v>1.34</v>
      </c>
      <c r="BD9" s="20">
        <v>4.7</v>
      </c>
      <c r="BE9" s="20">
        <v>0.6</v>
      </c>
      <c r="BF9" s="20">
        <v>1</v>
      </c>
      <c r="BG9" s="20">
        <v>0.2</v>
      </c>
      <c r="BH9" s="20">
        <v>16</v>
      </c>
      <c r="BI9" s="20">
        <v>5.5</v>
      </c>
      <c r="BJ9" s="20">
        <v>1.9</v>
      </c>
    </row>
    <row r="10" spans="1:62" s="21" customFormat="1" x14ac:dyDescent="0.2">
      <c r="A10" s="19" t="s">
        <v>449</v>
      </c>
      <c r="B10" s="19"/>
      <c r="C10" s="19">
        <v>70</v>
      </c>
      <c r="D10" s="19">
        <v>70</v>
      </c>
      <c r="E10" s="19">
        <v>70</v>
      </c>
      <c r="F10" s="20">
        <v>38.9</v>
      </c>
      <c r="G10" s="20">
        <v>26.76</v>
      </c>
      <c r="H10" s="20">
        <v>15.94</v>
      </c>
      <c r="I10" s="20">
        <v>6.6000000000000003E-2</v>
      </c>
      <c r="J10" s="20">
        <v>0.23</v>
      </c>
      <c r="K10" s="20">
        <v>0.04</v>
      </c>
      <c r="L10" s="20">
        <v>0.02</v>
      </c>
      <c r="M10" s="20">
        <v>0.25</v>
      </c>
      <c r="N10" s="20">
        <v>1.292</v>
      </c>
      <c r="O10" s="20">
        <v>0.17</v>
      </c>
      <c r="P10" s="20">
        <v>15.19</v>
      </c>
      <c r="Q10" s="20">
        <v>98.88</v>
      </c>
      <c r="R10" s="20">
        <v>48</v>
      </c>
      <c r="S10" s="20">
        <v>2</v>
      </c>
      <c r="T10" s="20">
        <v>314</v>
      </c>
      <c r="U10" s="20">
        <v>50</v>
      </c>
      <c r="V10" s="20">
        <v>23</v>
      </c>
      <c r="W10" s="20">
        <v>40</v>
      </c>
      <c r="X10" s="20">
        <v>140</v>
      </c>
      <c r="Y10" s="20">
        <v>90</v>
      </c>
      <c r="Z10" s="20">
        <v>31</v>
      </c>
      <c r="AA10" s="20">
        <v>2</v>
      </c>
      <c r="AB10" s="20" t="s">
        <v>71</v>
      </c>
      <c r="AC10" s="20">
        <v>23</v>
      </c>
      <c r="AD10" s="20">
        <v>7</v>
      </c>
      <c r="AE10" s="20">
        <v>8</v>
      </c>
      <c r="AF10" s="20">
        <v>62</v>
      </c>
      <c r="AG10" s="20">
        <v>4</v>
      </c>
      <c r="AH10" s="20" t="s">
        <v>72</v>
      </c>
      <c r="AI10" s="20" t="s">
        <v>74</v>
      </c>
      <c r="AJ10" s="20" t="s">
        <v>73</v>
      </c>
      <c r="AK10" s="20" t="s">
        <v>68</v>
      </c>
      <c r="AL10" s="20" t="s">
        <v>74</v>
      </c>
      <c r="AM10" s="20">
        <v>1.6</v>
      </c>
      <c r="AN10" s="20">
        <v>99</v>
      </c>
      <c r="AO10" s="20" t="s">
        <v>75</v>
      </c>
      <c r="AP10" s="20">
        <v>9.6</v>
      </c>
      <c r="AQ10" s="20">
        <v>32.200000000000003</v>
      </c>
      <c r="AR10" s="20">
        <v>2.72</v>
      </c>
      <c r="AS10" s="20">
        <v>11.2</v>
      </c>
      <c r="AT10" s="20">
        <v>2.7</v>
      </c>
      <c r="AU10" s="20">
        <v>0.75</v>
      </c>
      <c r="AV10" s="20">
        <v>2.1</v>
      </c>
      <c r="AW10" s="20">
        <v>0.4</v>
      </c>
      <c r="AX10" s="20">
        <v>2.2000000000000002</v>
      </c>
      <c r="AY10" s="20">
        <v>0.4</v>
      </c>
      <c r="AZ10" s="20">
        <v>1.3</v>
      </c>
      <c r="BA10" s="20">
        <v>0.21</v>
      </c>
      <c r="BB10" s="20">
        <v>1.5</v>
      </c>
      <c r="BC10" s="20">
        <v>0.23</v>
      </c>
      <c r="BD10" s="20">
        <v>1.8</v>
      </c>
      <c r="BE10" s="20">
        <v>0.4</v>
      </c>
      <c r="BF10" s="20" t="s">
        <v>68</v>
      </c>
      <c r="BG10" s="20">
        <v>0.2</v>
      </c>
      <c r="BH10" s="20">
        <v>12</v>
      </c>
      <c r="BI10" s="20">
        <v>5.4</v>
      </c>
      <c r="BJ10" s="20">
        <v>1.4</v>
      </c>
    </row>
    <row r="11" spans="1:62" s="21" customFormat="1" ht="15" customHeight="1" x14ac:dyDescent="0.2">
      <c r="A11" s="19" t="s">
        <v>450</v>
      </c>
      <c r="B11" s="19"/>
      <c r="C11" s="19">
        <v>120</v>
      </c>
      <c r="D11" s="19">
        <v>120</v>
      </c>
      <c r="E11" s="19">
        <v>120</v>
      </c>
      <c r="F11" s="20">
        <v>57.33</v>
      </c>
      <c r="G11" s="20">
        <v>20.440000000000001</v>
      </c>
      <c r="H11" s="20">
        <v>10.199999999999999</v>
      </c>
      <c r="I11" s="20">
        <v>4.2999999999999997E-2</v>
      </c>
      <c r="J11" s="20">
        <v>0.4</v>
      </c>
      <c r="K11" s="20">
        <v>0.02</v>
      </c>
      <c r="L11" s="20">
        <v>0.02</v>
      </c>
      <c r="M11" s="20">
        <v>0.3</v>
      </c>
      <c r="N11" s="20">
        <v>0.999</v>
      </c>
      <c r="O11" s="20">
        <v>0.12</v>
      </c>
      <c r="P11" s="20">
        <v>10.4</v>
      </c>
      <c r="Q11" s="20">
        <v>100.3</v>
      </c>
      <c r="R11" s="20">
        <v>31</v>
      </c>
      <c r="S11" s="20">
        <v>1</v>
      </c>
      <c r="T11" s="20">
        <v>185</v>
      </c>
      <c r="U11" s="20">
        <v>30</v>
      </c>
      <c r="V11" s="20">
        <v>11</v>
      </c>
      <c r="W11" s="20" t="s">
        <v>69</v>
      </c>
      <c r="X11" s="20">
        <v>120</v>
      </c>
      <c r="Y11" s="20">
        <v>70</v>
      </c>
      <c r="Z11" s="20">
        <v>23</v>
      </c>
      <c r="AA11" s="20">
        <v>2</v>
      </c>
      <c r="AB11" s="20" t="s">
        <v>71</v>
      </c>
      <c r="AC11" s="20">
        <v>22</v>
      </c>
      <c r="AD11" s="20">
        <v>3</v>
      </c>
      <c r="AE11" s="20">
        <v>5</v>
      </c>
      <c r="AF11" s="20">
        <v>128</v>
      </c>
      <c r="AG11" s="20">
        <v>6</v>
      </c>
      <c r="AH11" s="20" t="s">
        <v>72</v>
      </c>
      <c r="AI11" s="20" t="s">
        <v>74</v>
      </c>
      <c r="AJ11" s="20" t="s">
        <v>73</v>
      </c>
      <c r="AK11" s="20" t="s">
        <v>68</v>
      </c>
      <c r="AL11" s="20" t="s">
        <v>74</v>
      </c>
      <c r="AM11" s="20">
        <v>1.4</v>
      </c>
      <c r="AN11" s="20">
        <v>92</v>
      </c>
      <c r="AO11" s="20" t="s">
        <v>75</v>
      </c>
      <c r="AP11" s="20">
        <v>4.3</v>
      </c>
      <c r="AQ11" s="20">
        <v>17.100000000000001</v>
      </c>
      <c r="AR11" s="20">
        <v>1.38</v>
      </c>
      <c r="AS11" s="20">
        <v>6.1</v>
      </c>
      <c r="AT11" s="20">
        <v>1.5</v>
      </c>
      <c r="AU11" s="20">
        <v>0.44</v>
      </c>
      <c r="AV11" s="20">
        <v>1.2</v>
      </c>
      <c r="AW11" s="20">
        <v>0.2</v>
      </c>
      <c r="AX11" s="20">
        <v>1.3</v>
      </c>
      <c r="AY11" s="20">
        <v>0.2</v>
      </c>
      <c r="AZ11" s="20">
        <v>0.7</v>
      </c>
      <c r="BA11" s="20">
        <v>0.11</v>
      </c>
      <c r="BB11" s="20">
        <v>0.9</v>
      </c>
      <c r="BC11" s="20">
        <v>0.14000000000000001</v>
      </c>
      <c r="BD11" s="20">
        <v>3.4</v>
      </c>
      <c r="BE11" s="20">
        <v>0.5</v>
      </c>
      <c r="BF11" s="20" t="s">
        <v>68</v>
      </c>
      <c r="BG11" s="20">
        <v>0.1</v>
      </c>
      <c r="BH11" s="20">
        <v>7</v>
      </c>
      <c r="BI11" s="20">
        <v>8.4</v>
      </c>
      <c r="BJ11" s="20">
        <v>1.1000000000000001</v>
      </c>
    </row>
    <row r="12" spans="1:62" s="21" customFormat="1" x14ac:dyDescent="0.2">
      <c r="A12" s="19" t="s">
        <v>451</v>
      </c>
      <c r="B12" s="19"/>
      <c r="C12" s="19">
        <v>170</v>
      </c>
      <c r="D12" s="19">
        <v>170</v>
      </c>
      <c r="E12" s="19">
        <v>170</v>
      </c>
      <c r="F12" s="20">
        <v>47.47</v>
      </c>
      <c r="G12" s="20">
        <v>23.06</v>
      </c>
      <c r="H12" s="20">
        <v>15.91</v>
      </c>
      <c r="I12" s="20">
        <v>0.15</v>
      </c>
      <c r="J12" s="20">
        <v>0.43</v>
      </c>
      <c r="K12" s="20">
        <v>0.02</v>
      </c>
      <c r="L12" s="20">
        <v>0.03</v>
      </c>
      <c r="M12" s="20">
        <v>0.38</v>
      </c>
      <c r="N12" s="20">
        <v>1.1759999999999999</v>
      </c>
      <c r="O12" s="20">
        <v>0.19</v>
      </c>
      <c r="P12" s="20">
        <v>11.91</v>
      </c>
      <c r="Q12" s="20">
        <v>100.7</v>
      </c>
      <c r="R12" s="20">
        <v>46</v>
      </c>
      <c r="S12" s="20">
        <v>2</v>
      </c>
      <c r="T12" s="20">
        <v>281</v>
      </c>
      <c r="U12" s="20">
        <v>40</v>
      </c>
      <c r="V12" s="20">
        <v>40</v>
      </c>
      <c r="W12" s="20" t="s">
        <v>69</v>
      </c>
      <c r="X12" s="20">
        <v>190</v>
      </c>
      <c r="Y12" s="20">
        <v>80</v>
      </c>
      <c r="Z12" s="20">
        <v>26</v>
      </c>
      <c r="AA12" s="20">
        <v>2</v>
      </c>
      <c r="AB12" s="20" t="s">
        <v>71</v>
      </c>
      <c r="AC12" s="20">
        <v>16</v>
      </c>
      <c r="AD12" s="20">
        <v>2</v>
      </c>
      <c r="AE12" s="20">
        <v>6</v>
      </c>
      <c r="AF12" s="20">
        <v>40</v>
      </c>
      <c r="AG12" s="20">
        <v>5</v>
      </c>
      <c r="AH12" s="20" t="s">
        <v>72</v>
      </c>
      <c r="AI12" s="20" t="s">
        <v>74</v>
      </c>
      <c r="AJ12" s="20" t="s">
        <v>73</v>
      </c>
      <c r="AK12" s="20" t="s">
        <v>68</v>
      </c>
      <c r="AL12" s="20" t="s">
        <v>74</v>
      </c>
      <c r="AM12" s="20">
        <v>1.2</v>
      </c>
      <c r="AN12" s="20">
        <v>71</v>
      </c>
      <c r="AO12" s="20" t="s">
        <v>75</v>
      </c>
      <c r="AP12" s="20">
        <v>5.3</v>
      </c>
      <c r="AQ12" s="20">
        <v>25.8</v>
      </c>
      <c r="AR12" s="20">
        <v>1.66</v>
      </c>
      <c r="AS12" s="20">
        <v>7.3</v>
      </c>
      <c r="AT12" s="20">
        <v>1.8</v>
      </c>
      <c r="AU12" s="20">
        <v>0.5</v>
      </c>
      <c r="AV12" s="20">
        <v>1.3</v>
      </c>
      <c r="AW12" s="20">
        <v>0.2</v>
      </c>
      <c r="AX12" s="20">
        <v>1.5</v>
      </c>
      <c r="AY12" s="20">
        <v>0.3</v>
      </c>
      <c r="AZ12" s="20">
        <v>1</v>
      </c>
      <c r="BA12" s="20">
        <v>0.17</v>
      </c>
      <c r="BB12" s="20">
        <v>1.3</v>
      </c>
      <c r="BC12" s="20">
        <v>0.19</v>
      </c>
      <c r="BD12" s="20">
        <v>1.5</v>
      </c>
      <c r="BE12" s="20">
        <v>0.7</v>
      </c>
      <c r="BF12" s="20">
        <v>1</v>
      </c>
      <c r="BG12" s="20">
        <v>0.2</v>
      </c>
      <c r="BH12" s="20">
        <v>11</v>
      </c>
      <c r="BI12" s="20">
        <v>5.5</v>
      </c>
      <c r="BJ12" s="20">
        <v>1.8</v>
      </c>
    </row>
    <row r="13" spans="1:62" s="21" customFormat="1" x14ac:dyDescent="0.2">
      <c r="A13" s="19" t="s">
        <v>451</v>
      </c>
      <c r="B13" s="19"/>
      <c r="C13" s="19">
        <v>170</v>
      </c>
      <c r="D13" s="19">
        <v>170</v>
      </c>
      <c r="E13" s="19">
        <v>170</v>
      </c>
      <c r="F13" s="20">
        <v>45.27</v>
      </c>
      <c r="G13" s="20">
        <v>22.73</v>
      </c>
      <c r="H13" s="20">
        <v>16.350000000000001</v>
      </c>
      <c r="I13" s="20">
        <v>0.17299999999999999</v>
      </c>
      <c r="J13" s="20">
        <v>0.45</v>
      </c>
      <c r="K13" s="20">
        <v>0.03</v>
      </c>
      <c r="L13" s="20">
        <v>0.03</v>
      </c>
      <c r="M13" s="20">
        <v>0.4</v>
      </c>
      <c r="N13" s="20">
        <v>1.163</v>
      </c>
      <c r="O13" s="20">
        <v>0.19</v>
      </c>
      <c r="P13" s="20">
        <v>12.17</v>
      </c>
      <c r="Q13" s="20">
        <v>98.95</v>
      </c>
      <c r="R13" s="20">
        <v>47</v>
      </c>
      <c r="S13" s="20">
        <v>2</v>
      </c>
      <c r="T13" s="20">
        <v>283</v>
      </c>
      <c r="U13" s="20">
        <v>50</v>
      </c>
      <c r="V13" s="20">
        <v>48</v>
      </c>
      <c r="W13" s="20">
        <v>30</v>
      </c>
      <c r="X13" s="20">
        <v>200</v>
      </c>
      <c r="Y13" s="20">
        <v>90</v>
      </c>
      <c r="Z13" s="20">
        <v>27</v>
      </c>
      <c r="AA13" s="20">
        <v>2</v>
      </c>
      <c r="AB13" s="20" t="s">
        <v>71</v>
      </c>
      <c r="AC13" s="20">
        <v>16</v>
      </c>
      <c r="AD13" s="20">
        <v>7</v>
      </c>
      <c r="AE13" s="20">
        <v>4</v>
      </c>
      <c r="AF13" s="20">
        <v>56</v>
      </c>
      <c r="AG13" s="20">
        <v>5</v>
      </c>
      <c r="AH13" s="20" t="s">
        <v>72</v>
      </c>
      <c r="AI13" s="20" t="s">
        <v>74</v>
      </c>
      <c r="AJ13" s="20" t="s">
        <v>73</v>
      </c>
      <c r="AK13" s="20" t="s">
        <v>68</v>
      </c>
      <c r="AL13" s="20" t="s">
        <v>74</v>
      </c>
      <c r="AM13" s="20">
        <v>1.2</v>
      </c>
      <c r="AN13" s="20">
        <v>76</v>
      </c>
      <c r="AO13" s="20" t="s">
        <v>75</v>
      </c>
      <c r="AP13" s="20">
        <v>5.0999999999999996</v>
      </c>
      <c r="AQ13" s="20">
        <v>25.2</v>
      </c>
      <c r="AR13" s="20">
        <v>1.68</v>
      </c>
      <c r="AS13" s="20">
        <v>7.4</v>
      </c>
      <c r="AT13" s="20">
        <v>1.9</v>
      </c>
      <c r="AU13" s="20">
        <v>0.6</v>
      </c>
      <c r="AV13" s="20">
        <v>1.5</v>
      </c>
      <c r="AW13" s="20">
        <v>0.2</v>
      </c>
      <c r="AX13" s="20">
        <v>1.5</v>
      </c>
      <c r="AY13" s="20">
        <v>0.3</v>
      </c>
      <c r="AZ13" s="20">
        <v>0.9</v>
      </c>
      <c r="BA13" s="20">
        <v>0.17</v>
      </c>
      <c r="BB13" s="20">
        <v>1.2</v>
      </c>
      <c r="BC13" s="20">
        <v>0.19</v>
      </c>
      <c r="BD13" s="20">
        <v>2</v>
      </c>
      <c r="BE13" s="20">
        <v>0.7</v>
      </c>
      <c r="BF13" s="20" t="s">
        <v>68</v>
      </c>
      <c r="BG13" s="20">
        <v>0.1</v>
      </c>
      <c r="BH13" s="20">
        <v>14</v>
      </c>
      <c r="BI13" s="20">
        <v>4.5999999999999996</v>
      </c>
      <c r="BJ13" s="20">
        <v>1.7</v>
      </c>
    </row>
    <row r="14" spans="1:62" s="21" customFormat="1" x14ac:dyDescent="0.2">
      <c r="A14" s="19" t="s">
        <v>452</v>
      </c>
      <c r="B14" s="19"/>
      <c r="C14" s="19">
        <v>230</v>
      </c>
      <c r="D14" s="19">
        <v>230</v>
      </c>
      <c r="E14" s="19">
        <v>230</v>
      </c>
      <c r="F14" s="20">
        <v>49.45</v>
      </c>
      <c r="G14" s="20">
        <v>22.91</v>
      </c>
      <c r="H14" s="20">
        <v>13.29</v>
      </c>
      <c r="I14" s="20">
        <v>8.4000000000000005E-2</v>
      </c>
      <c r="J14" s="20">
        <v>0.44</v>
      </c>
      <c r="K14" s="20">
        <v>0.01</v>
      </c>
      <c r="L14" s="20">
        <v>0.03</v>
      </c>
      <c r="M14" s="20">
        <v>0.38</v>
      </c>
      <c r="N14" s="20">
        <v>1.244</v>
      </c>
      <c r="O14" s="20">
        <v>0.17</v>
      </c>
      <c r="P14" s="20">
        <v>11.61</v>
      </c>
      <c r="Q14" s="20">
        <v>99.62</v>
      </c>
      <c r="R14" s="20">
        <v>38</v>
      </c>
      <c r="S14" s="20">
        <v>1</v>
      </c>
      <c r="T14" s="20">
        <v>264</v>
      </c>
      <c r="U14" s="20">
        <v>30</v>
      </c>
      <c r="V14" s="20">
        <v>21</v>
      </c>
      <c r="W14" s="20" t="s">
        <v>69</v>
      </c>
      <c r="X14" s="20">
        <v>100</v>
      </c>
      <c r="Y14" s="20">
        <v>80</v>
      </c>
      <c r="Z14" s="20">
        <v>27</v>
      </c>
      <c r="AA14" s="20">
        <v>2</v>
      </c>
      <c r="AB14" s="20" t="s">
        <v>71</v>
      </c>
      <c r="AC14" s="20">
        <v>17</v>
      </c>
      <c r="AD14" s="20" t="s">
        <v>72</v>
      </c>
      <c r="AE14" s="20">
        <v>5</v>
      </c>
      <c r="AF14" s="20">
        <v>105</v>
      </c>
      <c r="AG14" s="20">
        <v>6</v>
      </c>
      <c r="AH14" s="20" t="s">
        <v>72</v>
      </c>
      <c r="AI14" s="20" t="s">
        <v>74</v>
      </c>
      <c r="AJ14" s="20" t="s">
        <v>73</v>
      </c>
      <c r="AK14" s="20" t="s">
        <v>68</v>
      </c>
      <c r="AL14" s="20" t="s">
        <v>74</v>
      </c>
      <c r="AM14" s="20">
        <v>0.8</v>
      </c>
      <c r="AN14" s="20">
        <v>52</v>
      </c>
      <c r="AO14" s="20" t="s">
        <v>75</v>
      </c>
      <c r="AP14" s="20">
        <v>5.4</v>
      </c>
      <c r="AQ14" s="20">
        <v>21.6</v>
      </c>
      <c r="AR14" s="20">
        <v>1.67</v>
      </c>
      <c r="AS14" s="20">
        <v>7</v>
      </c>
      <c r="AT14" s="20">
        <v>1.7</v>
      </c>
      <c r="AU14" s="20">
        <v>0.52</v>
      </c>
      <c r="AV14" s="20">
        <v>1.3</v>
      </c>
      <c r="AW14" s="20">
        <v>0.2</v>
      </c>
      <c r="AX14" s="20">
        <v>1.3</v>
      </c>
      <c r="AY14" s="20">
        <v>0.3</v>
      </c>
      <c r="AZ14" s="20">
        <v>0.8</v>
      </c>
      <c r="BA14" s="20">
        <v>0.12</v>
      </c>
      <c r="BB14" s="20">
        <v>0.9</v>
      </c>
      <c r="BC14" s="20">
        <v>0.15</v>
      </c>
      <c r="BD14" s="20">
        <v>3.1</v>
      </c>
      <c r="BE14" s="20">
        <v>0.9</v>
      </c>
      <c r="BF14" s="20" t="s">
        <v>68</v>
      </c>
      <c r="BG14" s="20">
        <v>0.1</v>
      </c>
      <c r="BH14" s="20">
        <v>9</v>
      </c>
      <c r="BI14" s="20">
        <v>10.3</v>
      </c>
      <c r="BJ14" s="20">
        <v>1.5</v>
      </c>
    </row>
    <row r="15" spans="1:62" s="21" customFormat="1" x14ac:dyDescent="0.2">
      <c r="A15" s="19" t="s">
        <v>453</v>
      </c>
      <c r="B15" s="19"/>
      <c r="C15" s="19">
        <v>280</v>
      </c>
      <c r="D15" s="19">
        <v>280</v>
      </c>
      <c r="E15" s="19">
        <v>280</v>
      </c>
      <c r="F15" s="20">
        <v>44.11</v>
      </c>
      <c r="G15" s="20">
        <v>24.25</v>
      </c>
      <c r="H15" s="20">
        <v>15.59</v>
      </c>
      <c r="I15" s="20">
        <v>0.106</v>
      </c>
      <c r="J15" s="20">
        <v>0.28999999999999998</v>
      </c>
      <c r="K15" s="20">
        <v>0.01</v>
      </c>
      <c r="L15" s="20">
        <v>0.02</v>
      </c>
      <c r="M15" s="20">
        <v>0.24</v>
      </c>
      <c r="N15" s="20">
        <v>1.603</v>
      </c>
      <c r="O15" s="20">
        <v>0.19</v>
      </c>
      <c r="P15" s="20">
        <v>13.12</v>
      </c>
      <c r="Q15" s="20">
        <v>99.54</v>
      </c>
      <c r="R15" s="20">
        <v>44</v>
      </c>
      <c r="S15" s="20">
        <v>2</v>
      </c>
      <c r="T15" s="20">
        <v>285</v>
      </c>
      <c r="U15" s="20">
        <v>40</v>
      </c>
      <c r="V15" s="20">
        <v>27</v>
      </c>
      <c r="W15" s="20">
        <v>30</v>
      </c>
      <c r="X15" s="20">
        <v>110</v>
      </c>
      <c r="Y15" s="20">
        <v>100</v>
      </c>
      <c r="Z15" s="20">
        <v>27</v>
      </c>
      <c r="AA15" s="20">
        <v>2</v>
      </c>
      <c r="AB15" s="20" t="s">
        <v>71</v>
      </c>
      <c r="AC15" s="20">
        <v>13</v>
      </c>
      <c r="AD15" s="20" t="s">
        <v>72</v>
      </c>
      <c r="AE15" s="20">
        <v>6</v>
      </c>
      <c r="AF15" s="20">
        <v>122</v>
      </c>
      <c r="AG15" s="20">
        <v>6</v>
      </c>
      <c r="AH15" s="20" t="s">
        <v>72</v>
      </c>
      <c r="AI15" s="20" t="s">
        <v>74</v>
      </c>
      <c r="AJ15" s="20" t="s">
        <v>73</v>
      </c>
      <c r="AK15" s="20" t="s">
        <v>68</v>
      </c>
      <c r="AL15" s="20" t="s">
        <v>74</v>
      </c>
      <c r="AM15" s="20">
        <v>0.8</v>
      </c>
      <c r="AN15" s="20">
        <v>67</v>
      </c>
      <c r="AO15" s="20" t="s">
        <v>75</v>
      </c>
      <c r="AP15" s="20">
        <v>5.3</v>
      </c>
      <c r="AQ15" s="20">
        <v>19.100000000000001</v>
      </c>
      <c r="AR15" s="20">
        <v>1.76</v>
      </c>
      <c r="AS15" s="20">
        <v>7.4</v>
      </c>
      <c r="AT15" s="20">
        <v>1.9</v>
      </c>
      <c r="AU15" s="20">
        <v>0.57999999999999996</v>
      </c>
      <c r="AV15" s="20">
        <v>1.5</v>
      </c>
      <c r="AW15" s="20">
        <v>0.3</v>
      </c>
      <c r="AX15" s="20">
        <v>1.6</v>
      </c>
      <c r="AY15" s="20">
        <v>0.3</v>
      </c>
      <c r="AZ15" s="20">
        <v>0.9</v>
      </c>
      <c r="BA15" s="20">
        <v>0.14000000000000001</v>
      </c>
      <c r="BB15" s="20">
        <v>1.1000000000000001</v>
      </c>
      <c r="BC15" s="20">
        <v>0.17</v>
      </c>
      <c r="BD15" s="20">
        <v>3</v>
      </c>
      <c r="BE15" s="20">
        <v>0.6</v>
      </c>
      <c r="BF15" s="20" t="s">
        <v>68</v>
      </c>
      <c r="BG15" s="20" t="s">
        <v>79</v>
      </c>
      <c r="BH15" s="20">
        <v>7</v>
      </c>
      <c r="BI15" s="20">
        <v>5.0999999999999996</v>
      </c>
      <c r="BJ15" s="20">
        <v>1.1000000000000001</v>
      </c>
    </row>
    <row r="16" spans="1:62" s="21" customFormat="1" x14ac:dyDescent="0.2">
      <c r="A16" s="19" t="s">
        <v>458</v>
      </c>
      <c r="B16" s="19"/>
      <c r="C16" s="19">
        <v>340</v>
      </c>
      <c r="D16" s="19">
        <v>340</v>
      </c>
      <c r="E16" s="19">
        <v>340</v>
      </c>
      <c r="F16" s="20">
        <v>68.11</v>
      </c>
      <c r="G16" s="20">
        <v>17.22</v>
      </c>
      <c r="H16" s="20">
        <v>5.32</v>
      </c>
      <c r="I16" s="20">
        <v>5.3999999999999999E-2</v>
      </c>
      <c r="J16" s="20">
        <v>0.76</v>
      </c>
      <c r="K16" s="20">
        <v>0.03</v>
      </c>
      <c r="L16" s="20">
        <v>0.03</v>
      </c>
      <c r="M16" s="20">
        <v>0.75</v>
      </c>
      <c r="N16" s="20">
        <v>0.58399999999999996</v>
      </c>
      <c r="O16" s="20">
        <v>0.05</v>
      </c>
      <c r="P16" s="20">
        <v>7.48</v>
      </c>
      <c r="Q16" s="20">
        <v>100.4</v>
      </c>
      <c r="R16" s="20">
        <v>11</v>
      </c>
      <c r="S16" s="20" t="s">
        <v>68</v>
      </c>
      <c r="T16" s="20">
        <v>102</v>
      </c>
      <c r="U16" s="20">
        <v>30</v>
      </c>
      <c r="V16" s="20">
        <v>17</v>
      </c>
      <c r="W16" s="20">
        <v>30</v>
      </c>
      <c r="X16" s="20">
        <v>70</v>
      </c>
      <c r="Y16" s="20">
        <v>70</v>
      </c>
      <c r="Z16" s="20">
        <v>20</v>
      </c>
      <c r="AA16" s="20">
        <v>2</v>
      </c>
      <c r="AB16" s="20" t="s">
        <v>71</v>
      </c>
      <c r="AC16" s="20">
        <v>44</v>
      </c>
      <c r="AD16" s="20">
        <v>12</v>
      </c>
      <c r="AE16" s="20">
        <v>6</v>
      </c>
      <c r="AF16" s="20">
        <v>125</v>
      </c>
      <c r="AG16" s="20">
        <v>3</v>
      </c>
      <c r="AH16" s="20" t="s">
        <v>72</v>
      </c>
      <c r="AI16" s="20" t="s">
        <v>74</v>
      </c>
      <c r="AJ16" s="20" t="s">
        <v>73</v>
      </c>
      <c r="AK16" s="20" t="s">
        <v>68</v>
      </c>
      <c r="AL16" s="20" t="s">
        <v>74</v>
      </c>
      <c r="AM16" s="20">
        <v>2.5</v>
      </c>
      <c r="AN16" s="20">
        <v>155</v>
      </c>
      <c r="AO16" s="20" t="s">
        <v>75</v>
      </c>
      <c r="AP16" s="20">
        <v>6.8</v>
      </c>
      <c r="AQ16" s="20">
        <v>11.4</v>
      </c>
      <c r="AR16" s="20">
        <v>1.72</v>
      </c>
      <c r="AS16" s="20">
        <v>7.2</v>
      </c>
      <c r="AT16" s="20">
        <v>1.6</v>
      </c>
      <c r="AU16" s="20">
        <v>0.48</v>
      </c>
      <c r="AV16" s="20">
        <v>1.5</v>
      </c>
      <c r="AW16" s="20">
        <v>0.2</v>
      </c>
      <c r="AX16" s="20">
        <v>1.3</v>
      </c>
      <c r="AY16" s="20">
        <v>0.2</v>
      </c>
      <c r="AZ16" s="20">
        <v>0.7</v>
      </c>
      <c r="BA16" s="20">
        <v>0.12</v>
      </c>
      <c r="BB16" s="20">
        <v>0.8</v>
      </c>
      <c r="BC16" s="20">
        <v>0.13</v>
      </c>
      <c r="BD16" s="20">
        <v>3.3</v>
      </c>
      <c r="BE16" s="20">
        <v>0.5</v>
      </c>
      <c r="BF16" s="20">
        <v>9</v>
      </c>
      <c r="BG16" s="20" t="s">
        <v>79</v>
      </c>
      <c r="BH16" s="20">
        <v>11</v>
      </c>
      <c r="BI16" s="20">
        <v>5.7</v>
      </c>
      <c r="BJ16" s="20">
        <v>0.9</v>
      </c>
    </row>
    <row r="17" spans="1:58" s="21" customFormat="1" x14ac:dyDescent="0.2"/>
    <row r="19" spans="1:58" x14ac:dyDescent="0.2">
      <c r="AP19" s="4" t="s">
        <v>39</v>
      </c>
      <c r="AQ19" s="4" t="s">
        <v>40</v>
      </c>
      <c r="AR19" s="4" t="s">
        <v>41</v>
      </c>
      <c r="AS19" s="4" t="s">
        <v>42</v>
      </c>
      <c r="AT19" s="4" t="s">
        <v>43</v>
      </c>
      <c r="AU19" s="4" t="s">
        <v>44</v>
      </c>
      <c r="AV19" s="4" t="s">
        <v>45</v>
      </c>
      <c r="AW19" s="4" t="s">
        <v>46</v>
      </c>
      <c r="AX19" s="4" t="s">
        <v>47</v>
      </c>
      <c r="AY19" s="4" t="s">
        <v>48</v>
      </c>
      <c r="AZ19" s="4" t="s">
        <v>49</v>
      </c>
      <c r="BA19" s="4" t="s">
        <v>50</v>
      </c>
      <c r="BB19" s="4" t="s">
        <v>51</v>
      </c>
      <c r="BC19" s="4" t="s">
        <v>52</v>
      </c>
      <c r="BF19" s="260" t="s">
        <v>648</v>
      </c>
    </row>
    <row r="20" spans="1:58" x14ac:dyDescent="0.2">
      <c r="AO20" s="11" t="s">
        <v>440</v>
      </c>
      <c r="AP20" s="12">
        <v>0.36699999999999999</v>
      </c>
      <c r="AQ20" s="12">
        <v>0.95699999999999996</v>
      </c>
      <c r="AR20" s="12">
        <v>0.13700000000000001</v>
      </c>
      <c r="AS20" s="12">
        <v>0.71099999999999997</v>
      </c>
      <c r="AT20" s="12">
        <v>0.23100000000000001</v>
      </c>
      <c r="AU20" s="12">
        <v>8.6999999999999994E-2</v>
      </c>
      <c r="AV20" s="12">
        <v>0.30599999999999999</v>
      </c>
      <c r="AW20" s="12">
        <v>5.8000000000000003E-2</v>
      </c>
      <c r="AX20" s="12">
        <v>0.38100000000000001</v>
      </c>
      <c r="AY20" s="12">
        <v>8.5000000000000006E-2</v>
      </c>
      <c r="AZ20" s="12">
        <v>0.249</v>
      </c>
      <c r="BA20" s="12">
        <v>3.5999999999999997E-2</v>
      </c>
      <c r="BB20" s="12">
        <v>0.248</v>
      </c>
      <c r="BC20" s="12">
        <v>3.7999999999999999E-2</v>
      </c>
      <c r="BD20" s="16" t="s">
        <v>441</v>
      </c>
    </row>
    <row r="21" spans="1:58" x14ac:dyDescent="0.2">
      <c r="AO21" s="3">
        <f>E9</f>
        <v>20</v>
      </c>
      <c r="AP21" s="3">
        <f t="shared" ref="AP21:BC21" si="0">AP9/AP$20</f>
        <v>186.10354223433242</v>
      </c>
      <c r="AQ21" s="3">
        <f t="shared" si="0"/>
        <v>113.89759665621735</v>
      </c>
      <c r="AR21" s="3">
        <f t="shared" si="0"/>
        <v>157.66423357664235</v>
      </c>
      <c r="AS21" s="3">
        <f t="shared" si="0"/>
        <v>131.64556962025316</v>
      </c>
      <c r="AT21" s="3">
        <f t="shared" si="0"/>
        <v>89.610389610389603</v>
      </c>
      <c r="AU21" s="3">
        <f t="shared" si="0"/>
        <v>68.735632183908052</v>
      </c>
      <c r="AV21" s="3">
        <f t="shared" si="0"/>
        <v>62.418300653594777</v>
      </c>
      <c r="AW21" s="3">
        <f t="shared" si="0"/>
        <v>48.275862068965509</v>
      </c>
      <c r="AX21" s="3">
        <f t="shared" si="0"/>
        <v>42.782152230971128</v>
      </c>
      <c r="AY21" s="3">
        <f t="shared" si="0"/>
        <v>36.470588235294116</v>
      </c>
      <c r="AZ21" s="3">
        <f t="shared" si="0"/>
        <v>34.939759036144572</v>
      </c>
      <c r="BA21" s="3">
        <f t="shared" si="0"/>
        <v>36.111111111111114</v>
      </c>
      <c r="BB21" s="3">
        <f t="shared" si="0"/>
        <v>33.870967741935488</v>
      </c>
      <c r="BC21" s="3">
        <f t="shared" si="0"/>
        <v>35.263157894736842</v>
      </c>
      <c r="BD21" s="24">
        <f>SUM(AP9:BC9)</f>
        <v>380.22</v>
      </c>
      <c r="BF21" s="333">
        <f>3*AQ21/(2*AP21+AS21)</f>
        <v>0.67816014701066041</v>
      </c>
    </row>
    <row r="22" spans="1:58" x14ac:dyDescent="0.2">
      <c r="AO22" s="3">
        <f t="shared" ref="AO22:AO28" si="1">E10</f>
        <v>70</v>
      </c>
      <c r="AP22" s="3">
        <f t="shared" ref="AP22:BC22" si="2">AP10/AP$20</f>
        <v>26.158038147138964</v>
      </c>
      <c r="AQ22" s="3">
        <f t="shared" si="2"/>
        <v>33.646812957157792</v>
      </c>
      <c r="AR22" s="3">
        <f t="shared" si="2"/>
        <v>19.854014598540147</v>
      </c>
      <c r="AS22" s="3">
        <f t="shared" si="2"/>
        <v>15.752461322081576</v>
      </c>
      <c r="AT22" s="3">
        <f t="shared" si="2"/>
        <v>11.688311688311689</v>
      </c>
      <c r="AU22" s="3">
        <f t="shared" si="2"/>
        <v>8.6206896551724146</v>
      </c>
      <c r="AV22" s="3">
        <f t="shared" si="2"/>
        <v>6.8627450980392162</v>
      </c>
      <c r="AW22" s="3">
        <f t="shared" si="2"/>
        <v>6.8965517241379315</v>
      </c>
      <c r="AX22" s="3">
        <f t="shared" si="2"/>
        <v>5.7742782152230978</v>
      </c>
      <c r="AY22" s="3">
        <f t="shared" si="2"/>
        <v>4.7058823529411766</v>
      </c>
      <c r="AZ22" s="3">
        <f t="shared" si="2"/>
        <v>5.2208835341365463</v>
      </c>
      <c r="BA22" s="3">
        <f t="shared" si="2"/>
        <v>5.8333333333333339</v>
      </c>
      <c r="BB22" s="3">
        <f t="shared" si="2"/>
        <v>6.0483870967741939</v>
      </c>
      <c r="BC22" s="3">
        <f t="shared" si="2"/>
        <v>6.052631578947369</v>
      </c>
      <c r="BD22" s="24">
        <f t="shared" ref="BD22:BD28" si="3">SUM(AP10:BC10)</f>
        <v>67.510000000000005</v>
      </c>
      <c r="BF22" s="333">
        <f t="shared" ref="BF22:BF28" si="4">3*AQ22/(2*AP22+AS22)</f>
        <v>1.4829235709511333</v>
      </c>
    </row>
    <row r="23" spans="1:58" x14ac:dyDescent="0.2">
      <c r="AO23" s="3">
        <f t="shared" si="1"/>
        <v>120</v>
      </c>
      <c r="AP23" s="3">
        <f t="shared" ref="AP23:BC23" si="5">AP11/AP$20</f>
        <v>11.716621253405995</v>
      </c>
      <c r="AQ23" s="3">
        <f t="shared" si="5"/>
        <v>17.868338557993731</v>
      </c>
      <c r="AR23" s="3">
        <f t="shared" si="5"/>
        <v>10.072992700729925</v>
      </c>
      <c r="AS23" s="3">
        <f t="shared" si="5"/>
        <v>8.5794655414908583</v>
      </c>
      <c r="AT23" s="3">
        <f t="shared" si="5"/>
        <v>6.4935064935064934</v>
      </c>
      <c r="AU23" s="3">
        <f t="shared" si="5"/>
        <v>5.0574712643678161</v>
      </c>
      <c r="AV23" s="3">
        <f t="shared" si="5"/>
        <v>3.9215686274509802</v>
      </c>
      <c r="AW23" s="3">
        <f t="shared" si="5"/>
        <v>3.4482758620689657</v>
      </c>
      <c r="AX23" s="3">
        <f t="shared" si="5"/>
        <v>3.4120734908136483</v>
      </c>
      <c r="AY23" s="3">
        <f t="shared" si="5"/>
        <v>2.3529411764705883</v>
      </c>
      <c r="AZ23" s="3">
        <f t="shared" si="5"/>
        <v>2.8112449799196786</v>
      </c>
      <c r="BA23" s="3">
        <f t="shared" si="5"/>
        <v>3.0555555555555558</v>
      </c>
      <c r="BB23" s="3">
        <f t="shared" si="5"/>
        <v>3.6290322580645165</v>
      </c>
      <c r="BC23" s="3">
        <f t="shared" si="5"/>
        <v>3.6842105263157898</v>
      </c>
      <c r="BD23" s="24">
        <f t="shared" si="3"/>
        <v>35.570000000000007</v>
      </c>
      <c r="BF23" s="333">
        <f t="shared" si="4"/>
        <v>1.6744917547462237</v>
      </c>
    </row>
    <row r="24" spans="1:58" x14ac:dyDescent="0.2">
      <c r="AO24" s="3">
        <f t="shared" si="1"/>
        <v>170</v>
      </c>
      <c r="AP24" s="3">
        <f t="shared" ref="AP24:BC24" si="6">AP12/AP$20</f>
        <v>14.441416893732971</v>
      </c>
      <c r="AQ24" s="3">
        <f t="shared" si="6"/>
        <v>26.959247648902824</v>
      </c>
      <c r="AR24" s="3">
        <f t="shared" si="6"/>
        <v>12.116788321167881</v>
      </c>
      <c r="AS24" s="3">
        <f t="shared" si="6"/>
        <v>10.267229254571028</v>
      </c>
      <c r="AT24" s="3">
        <f t="shared" si="6"/>
        <v>7.7922077922077921</v>
      </c>
      <c r="AU24" s="3">
        <f t="shared" si="6"/>
        <v>5.7471264367816097</v>
      </c>
      <c r="AV24" s="3">
        <f t="shared" si="6"/>
        <v>4.2483660130718954</v>
      </c>
      <c r="AW24" s="3">
        <f t="shared" si="6"/>
        <v>3.4482758620689657</v>
      </c>
      <c r="AX24" s="3">
        <f t="shared" si="6"/>
        <v>3.9370078740157481</v>
      </c>
      <c r="AY24" s="3">
        <f t="shared" si="6"/>
        <v>3.5294117647058818</v>
      </c>
      <c r="AZ24" s="3">
        <f t="shared" si="6"/>
        <v>4.0160642570281126</v>
      </c>
      <c r="BA24" s="3">
        <f t="shared" si="6"/>
        <v>4.7222222222222232</v>
      </c>
      <c r="BB24" s="3">
        <f t="shared" si="6"/>
        <v>5.241935483870968</v>
      </c>
      <c r="BC24" s="3">
        <f t="shared" si="6"/>
        <v>5</v>
      </c>
      <c r="BD24" s="24">
        <f t="shared" si="3"/>
        <v>48.319999999999986</v>
      </c>
      <c r="BF24" s="333">
        <f t="shared" si="4"/>
        <v>2.0658394051592421</v>
      </c>
    </row>
    <row r="25" spans="1:58" x14ac:dyDescent="0.2">
      <c r="AO25" s="3">
        <f t="shared" si="1"/>
        <v>170</v>
      </c>
      <c r="AP25" s="3">
        <f t="shared" ref="AP25:BC25" si="7">AP13/AP$20</f>
        <v>13.896457765667574</v>
      </c>
      <c r="AQ25" s="3">
        <f t="shared" si="7"/>
        <v>26.332288401253919</v>
      </c>
      <c r="AR25" s="3">
        <f t="shared" si="7"/>
        <v>12.262773722627736</v>
      </c>
      <c r="AS25" s="3">
        <f t="shared" si="7"/>
        <v>10.407876230661042</v>
      </c>
      <c r="AT25" s="3">
        <f t="shared" si="7"/>
        <v>8.2251082251082241</v>
      </c>
      <c r="AU25" s="3">
        <f t="shared" si="7"/>
        <v>6.8965517241379315</v>
      </c>
      <c r="AV25" s="3">
        <f t="shared" si="7"/>
        <v>4.9019607843137258</v>
      </c>
      <c r="AW25" s="3">
        <f t="shared" si="7"/>
        <v>3.4482758620689657</v>
      </c>
      <c r="AX25" s="3">
        <f t="shared" si="7"/>
        <v>3.9370078740157481</v>
      </c>
      <c r="AY25" s="3">
        <f t="shared" si="7"/>
        <v>3.5294117647058818</v>
      </c>
      <c r="AZ25" s="3">
        <f t="shared" si="7"/>
        <v>3.6144578313253013</v>
      </c>
      <c r="BA25" s="3">
        <f t="shared" si="7"/>
        <v>4.7222222222222232</v>
      </c>
      <c r="BB25" s="3">
        <f t="shared" si="7"/>
        <v>4.838709677419355</v>
      </c>
      <c r="BC25" s="3">
        <f t="shared" si="7"/>
        <v>5</v>
      </c>
      <c r="BD25" s="24">
        <f t="shared" si="3"/>
        <v>47.839999999999996</v>
      </c>
      <c r="BF25" s="333">
        <f t="shared" si="4"/>
        <v>2.0679379028565394</v>
      </c>
    </row>
    <row r="26" spans="1:58" x14ac:dyDescent="0.2">
      <c r="AO26" s="3">
        <f t="shared" si="1"/>
        <v>230</v>
      </c>
      <c r="AP26" s="3">
        <f t="shared" ref="AP26:BC26" si="8">AP14/AP$20</f>
        <v>14.713896457765669</v>
      </c>
      <c r="AQ26" s="3">
        <f t="shared" si="8"/>
        <v>22.570532915360506</v>
      </c>
      <c r="AR26" s="3">
        <f t="shared" si="8"/>
        <v>12.189781021897808</v>
      </c>
      <c r="AS26" s="3">
        <f t="shared" si="8"/>
        <v>9.8452883263009845</v>
      </c>
      <c r="AT26" s="3">
        <f t="shared" si="8"/>
        <v>7.3593073593073584</v>
      </c>
      <c r="AU26" s="3">
        <f t="shared" si="8"/>
        <v>5.9770114942528743</v>
      </c>
      <c r="AV26" s="3">
        <f t="shared" si="8"/>
        <v>4.2483660130718954</v>
      </c>
      <c r="AW26" s="3">
        <f t="shared" si="8"/>
        <v>3.4482758620689657</v>
      </c>
      <c r="AX26" s="3">
        <f t="shared" si="8"/>
        <v>3.4120734908136483</v>
      </c>
      <c r="AY26" s="3">
        <f t="shared" si="8"/>
        <v>3.5294117647058818</v>
      </c>
      <c r="AZ26" s="3">
        <f t="shared" si="8"/>
        <v>3.2128514056224899</v>
      </c>
      <c r="BA26" s="3">
        <f t="shared" si="8"/>
        <v>3.3333333333333335</v>
      </c>
      <c r="BB26" s="3">
        <f t="shared" si="8"/>
        <v>3.6290322580645165</v>
      </c>
      <c r="BC26" s="3">
        <f t="shared" si="8"/>
        <v>3.9473684210526314</v>
      </c>
      <c r="BD26" s="24">
        <f t="shared" si="3"/>
        <v>42.959999999999994</v>
      </c>
      <c r="BF26" s="333">
        <f t="shared" si="4"/>
        <v>1.724122391343144</v>
      </c>
    </row>
    <row r="27" spans="1:58" x14ac:dyDescent="0.2">
      <c r="A27" t="s">
        <v>469</v>
      </c>
      <c r="B27" t="s">
        <v>466</v>
      </c>
      <c r="C27" t="s">
        <v>467</v>
      </c>
      <c r="D27" t="s">
        <v>468</v>
      </c>
      <c r="AO27" s="3">
        <f t="shared" si="1"/>
        <v>280</v>
      </c>
      <c r="AP27" s="3">
        <f t="shared" ref="AP27:BC27" si="9">AP15/AP$20</f>
        <v>14.441416893732971</v>
      </c>
      <c r="AQ27" s="3">
        <f t="shared" si="9"/>
        <v>19.958202716823408</v>
      </c>
      <c r="AR27" s="3">
        <f t="shared" si="9"/>
        <v>12.846715328467152</v>
      </c>
      <c r="AS27" s="3">
        <f t="shared" si="9"/>
        <v>10.407876230661042</v>
      </c>
      <c r="AT27" s="3">
        <f t="shared" si="9"/>
        <v>8.2251082251082241</v>
      </c>
      <c r="AU27" s="3">
        <f t="shared" si="9"/>
        <v>6.666666666666667</v>
      </c>
      <c r="AV27" s="3">
        <f t="shared" si="9"/>
        <v>4.9019607843137258</v>
      </c>
      <c r="AW27" s="3">
        <f t="shared" si="9"/>
        <v>5.1724137931034475</v>
      </c>
      <c r="AX27" s="3">
        <f t="shared" si="9"/>
        <v>4.1994750656167978</v>
      </c>
      <c r="AY27" s="3">
        <f t="shared" si="9"/>
        <v>3.5294117647058818</v>
      </c>
      <c r="AZ27" s="3">
        <f t="shared" si="9"/>
        <v>3.6144578313253013</v>
      </c>
      <c r="BA27" s="3">
        <f t="shared" si="9"/>
        <v>3.8888888888888897</v>
      </c>
      <c r="BB27" s="3">
        <f t="shared" si="9"/>
        <v>4.435483870967742</v>
      </c>
      <c r="BC27" s="3">
        <f t="shared" si="9"/>
        <v>4.4736842105263159</v>
      </c>
      <c r="BD27" s="24">
        <f t="shared" si="3"/>
        <v>42.05</v>
      </c>
      <c r="BF27" s="333">
        <f t="shared" si="4"/>
        <v>1.5238871510045693</v>
      </c>
    </row>
    <row r="28" spans="1:58" x14ac:dyDescent="0.2">
      <c r="A28" t="str">
        <f>A7</f>
        <v xml:space="preserve">_CZO-GNEISS </v>
      </c>
      <c r="B28" s="25">
        <f>100*G7/(G7+K7+L7)</f>
        <v>65.366317792578499</v>
      </c>
      <c r="C28" s="25">
        <f>100*G7/(G7+K7+M7+L7)</f>
        <v>62.625341841385591</v>
      </c>
      <c r="D28" s="25">
        <f>100*((2*L7/0.35)+(J7/0.9)+(2*M7/0.25)+(K7/0.7))</f>
        <v>3461.7142857142858</v>
      </c>
      <c r="AO28" s="3">
        <f t="shared" si="1"/>
        <v>340</v>
      </c>
      <c r="AP28" s="3">
        <f t="shared" ref="AP28:BC28" si="10">AP16/AP$20</f>
        <v>18.528610354223432</v>
      </c>
      <c r="AQ28" s="3">
        <f t="shared" si="10"/>
        <v>11.912225705329154</v>
      </c>
      <c r="AR28" s="3">
        <f t="shared" si="10"/>
        <v>12.554744525547443</v>
      </c>
      <c r="AS28" s="3">
        <f t="shared" si="10"/>
        <v>10.126582278481013</v>
      </c>
      <c r="AT28" s="3">
        <f t="shared" si="10"/>
        <v>6.9264069264069263</v>
      </c>
      <c r="AU28" s="3">
        <f t="shared" si="10"/>
        <v>5.5172413793103452</v>
      </c>
      <c r="AV28" s="3">
        <f t="shared" si="10"/>
        <v>4.9019607843137258</v>
      </c>
      <c r="AW28" s="3">
        <f t="shared" si="10"/>
        <v>3.4482758620689657</v>
      </c>
      <c r="AX28" s="3">
        <f t="shared" si="10"/>
        <v>3.4120734908136483</v>
      </c>
      <c r="AY28" s="3">
        <f t="shared" si="10"/>
        <v>2.3529411764705883</v>
      </c>
      <c r="AZ28" s="3">
        <f t="shared" si="10"/>
        <v>2.8112449799196786</v>
      </c>
      <c r="BA28" s="3">
        <f t="shared" si="10"/>
        <v>3.3333333333333335</v>
      </c>
      <c r="BB28" s="3">
        <f t="shared" si="10"/>
        <v>3.2258064516129035</v>
      </c>
      <c r="BC28" s="3">
        <f t="shared" si="10"/>
        <v>3.4210526315789478</v>
      </c>
      <c r="BD28" s="24">
        <f t="shared" si="3"/>
        <v>34.15</v>
      </c>
      <c r="BF28" s="333">
        <f t="shared" si="4"/>
        <v>0.75739289446186009</v>
      </c>
    </row>
    <row r="29" spans="1:58" x14ac:dyDescent="0.2">
      <c r="A29" t="str">
        <f t="shared" ref="A29:A37" si="11">A8</f>
        <v xml:space="preserve">_MLG </v>
      </c>
      <c r="B29" s="25">
        <f t="shared" ref="B29:B36" si="12">100*G8/(G8+K8+L8)</f>
        <v>69.180470793374013</v>
      </c>
      <c r="C29" s="25">
        <f t="shared" ref="C29:C36" si="13">100*G8/(G8+K8+M8+L8)</f>
        <v>60.781309842972036</v>
      </c>
      <c r="D29" s="25">
        <f t="shared" ref="D29:D36" si="14">100*((2*L8/0.35)+(J8/0.9)+(2*M8/0.25)+(K8/0.7))</f>
        <v>5726.4761904761908</v>
      </c>
      <c r="BF29" s="333"/>
    </row>
    <row r="30" spans="1:58" x14ac:dyDescent="0.2">
      <c r="A30" t="str">
        <f t="shared" si="11"/>
        <v xml:space="preserve">RHH 16-002 </v>
      </c>
      <c r="B30" s="25">
        <f t="shared" si="12"/>
        <v>98.872886662492178</v>
      </c>
      <c r="C30" s="25">
        <f t="shared" si="13"/>
        <v>96.280487804878064</v>
      </c>
      <c r="D30" s="25">
        <f t="shared" si="14"/>
        <v>429.55555555555554</v>
      </c>
    </row>
    <row r="31" spans="1:58" x14ac:dyDescent="0.2">
      <c r="A31" t="str">
        <f t="shared" si="11"/>
        <v xml:space="preserve">RHH 16-007 </v>
      </c>
      <c r="B31" s="25">
        <f t="shared" si="12"/>
        <v>99.776286353467555</v>
      </c>
      <c r="C31" s="25">
        <f t="shared" si="13"/>
        <v>98.854820834872555</v>
      </c>
      <c r="D31" s="25">
        <f t="shared" si="14"/>
        <v>242.69841269841268</v>
      </c>
    </row>
    <row r="32" spans="1:58" x14ac:dyDescent="0.2">
      <c r="A32" t="str">
        <f t="shared" si="11"/>
        <v xml:space="preserve">RHH 16-012 </v>
      </c>
      <c r="B32" s="25">
        <f t="shared" si="12"/>
        <v>99.804687500000014</v>
      </c>
      <c r="C32" s="25">
        <f t="shared" si="13"/>
        <v>98.363811357074113</v>
      </c>
      <c r="D32" s="25">
        <f t="shared" si="14"/>
        <v>298.73015873015873</v>
      </c>
    </row>
    <row r="33" spans="1:4" x14ac:dyDescent="0.2">
      <c r="A33" t="str">
        <f t="shared" si="11"/>
        <v xml:space="preserve">RHH 16-017 </v>
      </c>
      <c r="B33" s="25">
        <f t="shared" si="12"/>
        <v>99.783643444396361</v>
      </c>
      <c r="C33" s="25">
        <f t="shared" si="13"/>
        <v>98.169433801617714</v>
      </c>
      <c r="D33" s="25">
        <f t="shared" si="14"/>
        <v>371.77777777777777</v>
      </c>
    </row>
    <row r="34" spans="1:4" x14ac:dyDescent="0.2">
      <c r="A34" t="str">
        <f t="shared" si="11"/>
        <v xml:space="preserve">RHH 16-017 </v>
      </c>
      <c r="B34" s="25">
        <f t="shared" si="12"/>
        <v>99.736726634488804</v>
      </c>
      <c r="C34" s="25">
        <f t="shared" si="13"/>
        <v>98.016386373436816</v>
      </c>
      <c r="D34" s="25">
        <f t="shared" si="14"/>
        <v>391.42857142857144</v>
      </c>
    </row>
    <row r="35" spans="1:4" x14ac:dyDescent="0.2">
      <c r="A35" t="str">
        <f t="shared" si="11"/>
        <v xml:space="preserve">RHH 16-023 </v>
      </c>
      <c r="B35" s="25">
        <f t="shared" si="12"/>
        <v>99.82570806100216</v>
      </c>
      <c r="C35" s="25">
        <f t="shared" si="13"/>
        <v>98.199742820402903</v>
      </c>
      <c r="D35" s="25">
        <f t="shared" si="14"/>
        <v>371.46031746031747</v>
      </c>
    </row>
    <row r="36" spans="1:4" x14ac:dyDescent="0.2">
      <c r="A36" t="str">
        <f t="shared" si="11"/>
        <v xml:space="preserve">RHH 16-028 </v>
      </c>
      <c r="B36" s="25">
        <f t="shared" si="12"/>
        <v>99.87644151565074</v>
      </c>
      <c r="C36" s="25">
        <f t="shared" si="13"/>
        <v>98.898858075040778</v>
      </c>
      <c r="D36" s="25">
        <f t="shared" si="14"/>
        <v>237.07936507936509</v>
      </c>
    </row>
    <row r="37" spans="1:4" x14ac:dyDescent="0.2">
      <c r="A37" t="str">
        <f t="shared" si="11"/>
        <v xml:space="preserve">RHH 16-034 </v>
      </c>
      <c r="B37" s="25">
        <f t="shared" ref="B37" si="15">100*G16/(G16+K16+L16)</f>
        <v>99.652777777777771</v>
      </c>
      <c r="C37" s="25">
        <f t="shared" ref="C37" si="16">100*G16/(G16+K16+M16+L16)</f>
        <v>95.507487520798662</v>
      </c>
      <c r="D37" s="25">
        <f t="shared" ref="D37" si="17">100*((2*L16/0.35)+(J16/0.9)+(2*M16/0.25)+(K16/0.7))</f>
        <v>705.8730158730159</v>
      </c>
    </row>
  </sheetData>
  <sortState xmlns:xlrd2="http://schemas.microsoft.com/office/spreadsheetml/2017/richdata2" ref="A7:BF16">
    <sortCondition ref="A7:A16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F46"/>
  <sheetViews>
    <sheetView workbookViewId="0">
      <pane xSplit="1" ySplit="6" topLeftCell="B7" activePane="bottomRight" state="frozen"/>
      <selection activeCell="BF46" sqref="BF46"/>
      <selection pane="topRight"/>
      <selection pane="bottomLeft"/>
      <selection pane="bottomRight" activeCell="B7" sqref="B7"/>
    </sheetView>
  </sheetViews>
  <sheetFormatPr baseColWidth="10" defaultColWidth="8.83203125" defaultRowHeight="15" x14ac:dyDescent="0.2"/>
  <cols>
    <col min="1" max="1" width="26" style="1" bestFit="1" customWidth="1"/>
    <col min="2" max="58" width="19" style="3" customWidth="1"/>
  </cols>
  <sheetData>
    <row r="1" spans="1:58" x14ac:dyDescent="0.2">
      <c r="A1" s="2" t="s">
        <v>0</v>
      </c>
    </row>
    <row r="2" spans="1:58" x14ac:dyDescent="0.2">
      <c r="A2" s="4" t="s">
        <v>1</v>
      </c>
    </row>
    <row r="3" spans="1:58" x14ac:dyDescent="0.2">
      <c r="A3" s="2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4" t="s">
        <v>58</v>
      </c>
      <c r="BF3" s="4" t="s">
        <v>59</v>
      </c>
    </row>
    <row r="4" spans="1:58" x14ac:dyDescent="0.2">
      <c r="A4" s="2" t="s">
        <v>60</v>
      </c>
      <c r="B4" s="4" t="s">
        <v>61</v>
      </c>
      <c r="C4" s="4" t="s">
        <v>61</v>
      </c>
      <c r="D4" s="4" t="s">
        <v>61</v>
      </c>
      <c r="E4" s="4" t="s">
        <v>61</v>
      </c>
      <c r="F4" s="4" t="s">
        <v>61</v>
      </c>
      <c r="G4" s="4" t="s">
        <v>61</v>
      </c>
      <c r="H4" s="4" t="s">
        <v>61</v>
      </c>
      <c r="I4" s="4" t="s">
        <v>61</v>
      </c>
      <c r="J4" s="4" t="s">
        <v>61</v>
      </c>
      <c r="K4" s="4" t="s">
        <v>61</v>
      </c>
      <c r="L4" s="4" t="s">
        <v>61</v>
      </c>
      <c r="M4" s="4" t="s">
        <v>61</v>
      </c>
      <c r="N4" s="4" t="s">
        <v>62</v>
      </c>
      <c r="O4" s="4" t="s">
        <v>62</v>
      </c>
      <c r="P4" s="4" t="s">
        <v>62</v>
      </c>
      <c r="Q4" s="4" t="s">
        <v>62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  <c r="AF4" s="4" t="s">
        <v>62</v>
      </c>
      <c r="AG4" s="4" t="s">
        <v>62</v>
      </c>
      <c r="AH4" s="4" t="s">
        <v>62</v>
      </c>
      <c r="AI4" s="4" t="s">
        <v>62</v>
      </c>
      <c r="AJ4" s="4" t="s">
        <v>62</v>
      </c>
      <c r="AK4" s="4" t="s">
        <v>62</v>
      </c>
      <c r="AL4" s="4" t="s">
        <v>62</v>
      </c>
      <c r="AM4" s="4" t="s">
        <v>62</v>
      </c>
      <c r="AN4" s="4" t="s">
        <v>62</v>
      </c>
      <c r="AO4" s="4" t="s">
        <v>62</v>
      </c>
      <c r="AP4" s="4" t="s">
        <v>62</v>
      </c>
      <c r="AQ4" s="4" t="s">
        <v>62</v>
      </c>
      <c r="AR4" s="4" t="s">
        <v>62</v>
      </c>
      <c r="AS4" s="4" t="s">
        <v>62</v>
      </c>
      <c r="AT4" s="4" t="s">
        <v>62</v>
      </c>
      <c r="AU4" s="4" t="s">
        <v>62</v>
      </c>
      <c r="AV4" s="4" t="s">
        <v>62</v>
      </c>
      <c r="AW4" s="4" t="s">
        <v>62</v>
      </c>
      <c r="AX4" s="4" t="s">
        <v>62</v>
      </c>
      <c r="AY4" s="4" t="s">
        <v>62</v>
      </c>
      <c r="AZ4" s="4" t="s">
        <v>62</v>
      </c>
      <c r="BA4" s="4" t="s">
        <v>62</v>
      </c>
      <c r="BB4" s="4" t="s">
        <v>62</v>
      </c>
      <c r="BC4" s="4" t="s">
        <v>62</v>
      </c>
      <c r="BD4" s="4" t="s">
        <v>62</v>
      </c>
      <c r="BE4" s="4" t="s">
        <v>62</v>
      </c>
      <c r="BF4" s="4" t="s">
        <v>62</v>
      </c>
    </row>
    <row r="5" spans="1:58" x14ac:dyDescent="0.2">
      <c r="A5" s="2" t="s">
        <v>63</v>
      </c>
      <c r="B5" s="4">
        <v>0.01</v>
      </c>
      <c r="C5" s="4">
        <v>0.01</v>
      </c>
      <c r="D5" s="4">
        <v>0.01</v>
      </c>
      <c r="E5" s="4">
        <v>1E-3</v>
      </c>
      <c r="F5" s="4">
        <v>0.01</v>
      </c>
      <c r="G5" s="4">
        <v>0.01</v>
      </c>
      <c r="H5" s="4">
        <v>0.01</v>
      </c>
      <c r="I5" s="4">
        <v>0.01</v>
      </c>
      <c r="J5" s="4">
        <v>1E-3</v>
      </c>
      <c r="K5" s="4">
        <v>0.01</v>
      </c>
      <c r="L5" s="4"/>
      <c r="M5" s="4">
        <v>0.01</v>
      </c>
      <c r="N5" s="4">
        <v>1</v>
      </c>
      <c r="O5" s="4">
        <v>1</v>
      </c>
      <c r="P5" s="4">
        <v>5</v>
      </c>
      <c r="Q5" s="4">
        <v>20</v>
      </c>
      <c r="R5" s="4">
        <v>1</v>
      </c>
      <c r="S5" s="4">
        <v>20</v>
      </c>
      <c r="T5" s="4">
        <v>10</v>
      </c>
      <c r="U5" s="4">
        <v>30</v>
      </c>
      <c r="V5" s="4">
        <v>1</v>
      </c>
      <c r="W5" s="4">
        <v>1</v>
      </c>
      <c r="X5" s="4">
        <v>5</v>
      </c>
      <c r="Y5" s="4">
        <v>2</v>
      </c>
      <c r="Z5" s="4">
        <v>2</v>
      </c>
      <c r="AA5" s="4">
        <v>2</v>
      </c>
      <c r="AB5" s="4">
        <v>4</v>
      </c>
      <c r="AC5" s="4">
        <v>1</v>
      </c>
      <c r="AD5" s="4">
        <v>2</v>
      </c>
      <c r="AE5" s="4">
        <v>0.5</v>
      </c>
      <c r="AF5" s="4">
        <v>0.2</v>
      </c>
      <c r="AG5" s="4">
        <v>1</v>
      </c>
      <c r="AH5" s="4">
        <v>0.5</v>
      </c>
      <c r="AI5" s="4">
        <v>0.5</v>
      </c>
      <c r="AJ5" s="4">
        <v>3</v>
      </c>
      <c r="AK5" s="4">
        <v>0.4</v>
      </c>
      <c r="AL5" s="4">
        <v>0.1</v>
      </c>
      <c r="AM5" s="4">
        <v>0.1</v>
      </c>
      <c r="AN5" s="4">
        <v>0.05</v>
      </c>
      <c r="AO5" s="4">
        <v>0.1</v>
      </c>
      <c r="AP5" s="4">
        <v>0.1</v>
      </c>
      <c r="AQ5" s="4">
        <v>0.05</v>
      </c>
      <c r="AR5" s="4">
        <v>0.1</v>
      </c>
      <c r="AS5" s="4">
        <v>0.1</v>
      </c>
      <c r="AT5" s="4">
        <v>0.1</v>
      </c>
      <c r="AU5" s="4">
        <v>0.1</v>
      </c>
      <c r="AV5" s="4">
        <v>0.1</v>
      </c>
      <c r="AW5" s="4">
        <v>0.05</v>
      </c>
      <c r="AX5" s="4">
        <v>0.1</v>
      </c>
      <c r="AY5" s="4">
        <v>0.04</v>
      </c>
      <c r="AZ5" s="4">
        <v>0.2</v>
      </c>
      <c r="BA5" s="4">
        <v>0.1</v>
      </c>
      <c r="BB5" s="4">
        <v>1</v>
      </c>
      <c r="BC5" s="4">
        <v>0.1</v>
      </c>
      <c r="BD5" s="4">
        <v>5</v>
      </c>
      <c r="BE5" s="4">
        <v>0.1</v>
      </c>
      <c r="BF5" s="4">
        <v>0.1</v>
      </c>
    </row>
    <row r="6" spans="1:58" x14ac:dyDescent="0.2">
      <c r="A6" s="5" t="s">
        <v>64</v>
      </c>
      <c r="B6" s="6" t="s">
        <v>65</v>
      </c>
      <c r="C6" s="6" t="s">
        <v>65</v>
      </c>
      <c r="D6" s="6" t="s">
        <v>65</v>
      </c>
      <c r="E6" s="6" t="s">
        <v>65</v>
      </c>
      <c r="F6" s="6" t="s">
        <v>65</v>
      </c>
      <c r="G6" s="6" t="s">
        <v>65</v>
      </c>
      <c r="H6" s="6" t="s">
        <v>65</v>
      </c>
      <c r="I6" s="6" t="s">
        <v>65</v>
      </c>
      <c r="J6" s="6" t="s">
        <v>65</v>
      </c>
      <c r="K6" s="6" t="s">
        <v>65</v>
      </c>
      <c r="L6" s="6" t="s">
        <v>65</v>
      </c>
      <c r="M6" s="6" t="s">
        <v>65</v>
      </c>
      <c r="N6" s="6" t="s">
        <v>65</v>
      </c>
      <c r="O6" s="6" t="s">
        <v>65</v>
      </c>
      <c r="P6" s="6" t="s">
        <v>65</v>
      </c>
      <c r="Q6" s="6" t="s">
        <v>66</v>
      </c>
      <c r="R6" s="6" t="s">
        <v>66</v>
      </c>
      <c r="S6" s="6" t="s">
        <v>66</v>
      </c>
      <c r="T6" s="6" t="s">
        <v>66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6" t="s">
        <v>65</v>
      </c>
      <c r="AA6" s="6" t="s">
        <v>65</v>
      </c>
      <c r="AB6" s="6" t="s">
        <v>65</v>
      </c>
      <c r="AC6" s="6" t="s">
        <v>66</v>
      </c>
      <c r="AD6" s="6" t="s">
        <v>66</v>
      </c>
      <c r="AE6" s="6" t="s">
        <v>66</v>
      </c>
      <c r="AF6" s="6" t="s">
        <v>66</v>
      </c>
      <c r="AG6" s="6" t="s">
        <v>66</v>
      </c>
      <c r="AH6" s="6" t="s">
        <v>66</v>
      </c>
      <c r="AI6" s="6" t="s">
        <v>66</v>
      </c>
      <c r="AJ6" s="6" t="s">
        <v>65</v>
      </c>
      <c r="AK6" s="6" t="s">
        <v>66</v>
      </c>
      <c r="AL6" s="6" t="s">
        <v>66</v>
      </c>
      <c r="AM6" s="6" t="s">
        <v>66</v>
      </c>
      <c r="AN6" s="6" t="s">
        <v>66</v>
      </c>
      <c r="AO6" s="6" t="s">
        <v>66</v>
      </c>
      <c r="AP6" s="6" t="s">
        <v>66</v>
      </c>
      <c r="AQ6" s="6" t="s">
        <v>66</v>
      </c>
      <c r="AR6" s="6" t="s">
        <v>66</v>
      </c>
      <c r="AS6" s="6" t="s">
        <v>66</v>
      </c>
      <c r="AT6" s="6" t="s">
        <v>66</v>
      </c>
      <c r="AU6" s="6" t="s">
        <v>66</v>
      </c>
      <c r="AV6" s="6" t="s">
        <v>66</v>
      </c>
      <c r="AW6" s="6" t="s">
        <v>66</v>
      </c>
      <c r="AX6" s="6" t="s">
        <v>66</v>
      </c>
      <c r="AY6" s="6" t="s">
        <v>66</v>
      </c>
      <c r="AZ6" s="6" t="s">
        <v>66</v>
      </c>
      <c r="BA6" s="6" t="s">
        <v>66</v>
      </c>
      <c r="BB6" s="6" t="s">
        <v>66</v>
      </c>
      <c r="BC6" s="6" t="s">
        <v>66</v>
      </c>
      <c r="BD6" s="6" t="s">
        <v>66</v>
      </c>
      <c r="BE6" s="6" t="s">
        <v>66</v>
      </c>
      <c r="BF6" s="6" t="s">
        <v>66</v>
      </c>
    </row>
    <row r="7" spans="1:58" x14ac:dyDescent="0.2">
      <c r="A7" s="2" t="s">
        <v>182</v>
      </c>
      <c r="B7" s="4">
        <v>11.04</v>
      </c>
      <c r="C7" s="4">
        <v>1.95</v>
      </c>
      <c r="D7" s="4">
        <v>0.76</v>
      </c>
      <c r="E7" s="4">
        <v>1.2999999999999999E-2</v>
      </c>
      <c r="F7" s="4">
        <v>0.35</v>
      </c>
      <c r="G7" s="4">
        <v>42.79</v>
      </c>
      <c r="H7" s="4">
        <v>0.86</v>
      </c>
      <c r="I7" s="4">
        <v>0.55000000000000004</v>
      </c>
      <c r="J7" s="4">
        <v>0.123</v>
      </c>
      <c r="K7" s="4">
        <v>30.2</v>
      </c>
      <c r="L7" s="4"/>
      <c r="M7" s="4"/>
      <c r="N7" s="4"/>
      <c r="O7" s="4"/>
      <c r="P7" s="4">
        <v>1607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 x14ac:dyDescent="0.2">
      <c r="A8" s="2" t="s">
        <v>183</v>
      </c>
      <c r="B8" s="4">
        <v>11.2</v>
      </c>
      <c r="C8" s="4">
        <v>1.8</v>
      </c>
      <c r="D8" s="4">
        <v>0.79</v>
      </c>
      <c r="E8" s="4">
        <v>1.1599999999999999E-2</v>
      </c>
      <c r="F8" s="4">
        <v>0.33</v>
      </c>
      <c r="G8" s="4">
        <v>43.6</v>
      </c>
      <c r="H8" s="4">
        <v>0.86</v>
      </c>
      <c r="I8" s="4">
        <v>0.51</v>
      </c>
      <c r="J8" s="4">
        <v>0.11</v>
      </c>
      <c r="K8" s="4">
        <v>30.2</v>
      </c>
      <c r="L8" s="4"/>
      <c r="M8" s="4"/>
      <c r="N8" s="4"/>
      <c r="O8" s="4"/>
      <c r="P8" s="4">
        <v>1740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x14ac:dyDescent="0.2">
      <c r="A9" s="2" t="s">
        <v>184</v>
      </c>
      <c r="B9" s="4">
        <v>46.83</v>
      </c>
      <c r="C9" s="4">
        <v>18.5</v>
      </c>
      <c r="D9" s="4">
        <v>9.99</v>
      </c>
      <c r="E9" s="4">
        <v>0.14799999999999999</v>
      </c>
      <c r="F9" s="4">
        <v>10.01</v>
      </c>
      <c r="G9" s="4">
        <v>11.49</v>
      </c>
      <c r="H9" s="4">
        <v>1.86</v>
      </c>
      <c r="I9" s="4">
        <v>0.22</v>
      </c>
      <c r="J9" s="4">
        <v>0.49</v>
      </c>
      <c r="K9" s="4">
        <v>7.0000000000000007E-2</v>
      </c>
      <c r="L9" s="4"/>
      <c r="M9" s="4"/>
      <c r="N9" s="4">
        <v>31</v>
      </c>
      <c r="O9" s="4"/>
      <c r="P9" s="4">
        <v>149</v>
      </c>
      <c r="Q9" s="4">
        <v>270</v>
      </c>
      <c r="R9" s="4">
        <v>57</v>
      </c>
      <c r="S9" s="4">
        <v>260</v>
      </c>
      <c r="T9" s="4">
        <v>100</v>
      </c>
      <c r="U9" s="4">
        <v>70</v>
      </c>
      <c r="V9" s="4">
        <v>14</v>
      </c>
      <c r="W9" s="4"/>
      <c r="X9" s="4"/>
      <c r="Y9" s="4">
        <v>3</v>
      </c>
      <c r="Z9" s="4">
        <v>147</v>
      </c>
      <c r="AA9" s="4">
        <v>14</v>
      </c>
      <c r="AB9" s="4">
        <v>35</v>
      </c>
      <c r="AC9" s="4"/>
      <c r="AD9" s="4"/>
      <c r="AE9" s="4"/>
      <c r="AF9" s="4"/>
      <c r="AG9" s="4"/>
      <c r="AH9" s="4"/>
      <c r="AI9" s="4"/>
      <c r="AJ9" s="4">
        <v>113</v>
      </c>
      <c r="AK9" s="4"/>
      <c r="AL9" s="4">
        <v>3.8</v>
      </c>
      <c r="AM9" s="4"/>
      <c r="AN9" s="4"/>
      <c r="AO9" s="4">
        <v>5</v>
      </c>
      <c r="AP9" s="4"/>
      <c r="AQ9" s="4">
        <v>0.6</v>
      </c>
      <c r="AR9" s="4"/>
      <c r="AS9" s="4"/>
      <c r="AT9" s="4"/>
      <c r="AU9" s="4"/>
      <c r="AV9" s="4"/>
      <c r="AW9" s="4"/>
      <c r="AX9" s="4">
        <v>2.1</v>
      </c>
      <c r="AY9" s="4"/>
      <c r="AZ9" s="4"/>
      <c r="BA9" s="4"/>
      <c r="BB9" s="4"/>
      <c r="BC9" s="4"/>
      <c r="BD9" s="4" t="s">
        <v>71</v>
      </c>
      <c r="BE9" s="4"/>
      <c r="BF9" s="4"/>
    </row>
    <row r="10" spans="1:58" x14ac:dyDescent="0.2">
      <c r="A10" s="2" t="s">
        <v>185</v>
      </c>
      <c r="B10" s="4" t="s">
        <v>186</v>
      </c>
      <c r="C10" s="4" t="s">
        <v>187</v>
      </c>
      <c r="D10" s="4" t="s">
        <v>188</v>
      </c>
      <c r="E10" s="4" t="s">
        <v>189</v>
      </c>
      <c r="F10" s="4" t="s">
        <v>190</v>
      </c>
      <c r="G10" s="4" t="s">
        <v>191</v>
      </c>
      <c r="H10" s="4" t="s">
        <v>192</v>
      </c>
      <c r="I10" s="4" t="s">
        <v>193</v>
      </c>
      <c r="J10" s="4" t="s">
        <v>194</v>
      </c>
      <c r="K10" s="4" t="s">
        <v>195</v>
      </c>
      <c r="L10" s="4"/>
      <c r="M10" s="4"/>
      <c r="N10" s="4" t="s">
        <v>196</v>
      </c>
      <c r="O10" s="4"/>
      <c r="P10" s="4">
        <v>148</v>
      </c>
      <c r="Q10" s="4" t="s">
        <v>197</v>
      </c>
      <c r="R10" s="4" t="s">
        <v>198</v>
      </c>
      <c r="S10" s="4" t="s">
        <v>199</v>
      </c>
      <c r="T10" s="4" t="s">
        <v>200</v>
      </c>
      <c r="U10" s="4" t="s">
        <v>201</v>
      </c>
      <c r="V10" s="4" t="s">
        <v>202</v>
      </c>
      <c r="W10" s="4"/>
      <c r="X10" s="4"/>
      <c r="Y10" s="4" t="s">
        <v>203</v>
      </c>
      <c r="Z10" s="4" t="s">
        <v>204</v>
      </c>
      <c r="AA10" s="4" t="s">
        <v>205</v>
      </c>
      <c r="AB10" s="4">
        <v>38</v>
      </c>
      <c r="AC10" s="4"/>
      <c r="AD10" s="4"/>
      <c r="AE10" s="4"/>
      <c r="AF10" s="4"/>
      <c r="AG10" s="4"/>
      <c r="AH10" s="4"/>
      <c r="AI10" s="4"/>
      <c r="AJ10" s="4" t="s">
        <v>206</v>
      </c>
      <c r="AK10" s="4"/>
      <c r="AL10" s="4" t="s">
        <v>207</v>
      </c>
      <c r="AM10" s="4"/>
      <c r="AN10" s="4"/>
      <c r="AO10" s="4" t="s">
        <v>208</v>
      </c>
      <c r="AP10" s="4"/>
      <c r="AQ10" s="4" t="s">
        <v>209</v>
      </c>
      <c r="AR10" s="4"/>
      <c r="AS10" s="4"/>
      <c r="AT10" s="4"/>
      <c r="AU10" s="4"/>
      <c r="AV10" s="4"/>
      <c r="AW10" s="4"/>
      <c r="AX10" s="4" t="s">
        <v>210</v>
      </c>
      <c r="AY10" s="4"/>
      <c r="AZ10" s="4"/>
      <c r="BA10" s="4"/>
      <c r="BB10" s="4"/>
      <c r="BC10" s="4"/>
      <c r="BD10" s="4" t="s">
        <v>211</v>
      </c>
      <c r="BE10" s="4"/>
      <c r="BF10" s="4"/>
    </row>
    <row r="11" spans="1:58" x14ac:dyDescent="0.2">
      <c r="A11" s="2" t="s">
        <v>212</v>
      </c>
      <c r="B11" s="4">
        <v>70.62</v>
      </c>
      <c r="C11" s="4">
        <v>12.8</v>
      </c>
      <c r="D11" s="4">
        <v>3.17</v>
      </c>
      <c r="E11" s="4">
        <v>0.14599999999999999</v>
      </c>
      <c r="F11" s="4">
        <v>0.15</v>
      </c>
      <c r="G11" s="4">
        <v>0.6</v>
      </c>
      <c r="H11" s="4">
        <v>2.4700000000000002</v>
      </c>
      <c r="I11" s="4">
        <v>5.4</v>
      </c>
      <c r="J11" s="4">
        <v>0.28000000000000003</v>
      </c>
      <c r="K11" s="4">
        <v>0.04</v>
      </c>
      <c r="L11" s="4"/>
      <c r="M11" s="4"/>
      <c r="N11" s="4">
        <v>5</v>
      </c>
      <c r="O11" s="4">
        <v>4</v>
      </c>
      <c r="P11" s="4">
        <v>5</v>
      </c>
      <c r="Q11" s="4"/>
      <c r="R11" s="4"/>
      <c r="S11" s="4"/>
      <c r="T11" s="4"/>
      <c r="U11" s="4"/>
      <c r="V11" s="4"/>
      <c r="W11" s="4"/>
      <c r="X11" s="4"/>
      <c r="Y11" s="4"/>
      <c r="Z11" s="4">
        <v>40</v>
      </c>
      <c r="AA11" s="4">
        <v>44</v>
      </c>
      <c r="AB11" s="4">
        <v>387</v>
      </c>
      <c r="AC11" s="4"/>
      <c r="AD11" s="4"/>
      <c r="AE11" s="4"/>
      <c r="AF11" s="4"/>
      <c r="AG11" s="4"/>
      <c r="AH11" s="4"/>
      <c r="AI11" s="4"/>
      <c r="AJ11" s="4">
        <v>498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x14ac:dyDescent="0.2">
      <c r="A12" s="2" t="s">
        <v>213</v>
      </c>
      <c r="B12" s="4">
        <v>72.8</v>
      </c>
      <c r="C12" s="4">
        <v>13</v>
      </c>
      <c r="D12" s="4">
        <v>3.21</v>
      </c>
      <c r="E12" s="4">
        <v>0.14000000000000001</v>
      </c>
      <c r="F12" s="4">
        <v>0.16</v>
      </c>
      <c r="G12" s="4">
        <v>0.59</v>
      </c>
      <c r="H12" s="4">
        <v>2.57</v>
      </c>
      <c r="I12" s="4">
        <v>5.43</v>
      </c>
      <c r="J12" s="4">
        <v>0.3</v>
      </c>
      <c r="K12" s="4">
        <v>0.05</v>
      </c>
      <c r="L12" s="4"/>
      <c r="M12" s="4"/>
      <c r="N12" s="4">
        <v>5</v>
      </c>
      <c r="O12" s="4">
        <v>4</v>
      </c>
      <c r="P12" s="4">
        <v>5</v>
      </c>
      <c r="Q12" s="4"/>
      <c r="R12" s="4"/>
      <c r="S12" s="4"/>
      <c r="T12" s="4"/>
      <c r="U12" s="4"/>
      <c r="V12" s="4"/>
      <c r="W12" s="4"/>
      <c r="X12" s="4"/>
      <c r="Y12" s="4"/>
      <c r="Z12" s="4">
        <v>43</v>
      </c>
      <c r="AA12" s="4">
        <v>43</v>
      </c>
      <c r="AB12" s="4">
        <v>403</v>
      </c>
      <c r="AC12" s="4"/>
      <c r="AD12" s="4"/>
      <c r="AE12" s="4"/>
      <c r="AF12" s="4"/>
      <c r="AG12" s="4"/>
      <c r="AH12" s="4"/>
      <c r="AI12" s="4"/>
      <c r="AJ12" s="4">
        <v>506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x14ac:dyDescent="0.2">
      <c r="A13" s="2" t="s">
        <v>214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90</v>
      </c>
      <c r="R13" s="4">
        <v>30</v>
      </c>
      <c r="S13" s="4">
        <v>50</v>
      </c>
      <c r="T13" s="4">
        <v>30</v>
      </c>
      <c r="U13" s="4"/>
      <c r="V13" s="4"/>
      <c r="W13" s="4"/>
      <c r="X13" s="4">
        <v>26</v>
      </c>
      <c r="Y13" s="4">
        <v>72</v>
      </c>
      <c r="Z13" s="4"/>
      <c r="AA13" s="4"/>
      <c r="AB13" s="4"/>
      <c r="AC13" s="4"/>
      <c r="AD13" s="4" t="s">
        <v>72</v>
      </c>
      <c r="AE13" s="4">
        <v>2.6</v>
      </c>
      <c r="AF13" s="4"/>
      <c r="AG13" s="4">
        <v>2</v>
      </c>
      <c r="AH13" s="4"/>
      <c r="AI13" s="4">
        <v>2.2999999999999998</v>
      </c>
      <c r="AJ13" s="4"/>
      <c r="AK13" s="4"/>
      <c r="AL13" s="4">
        <v>49.5</v>
      </c>
      <c r="AM13" s="4">
        <v>93.9</v>
      </c>
      <c r="AN13" s="4"/>
      <c r="AO13" s="4">
        <v>44.2</v>
      </c>
      <c r="AP13" s="4">
        <v>8</v>
      </c>
      <c r="AQ13" s="4">
        <v>1.5</v>
      </c>
      <c r="AR13" s="4"/>
      <c r="AS13" s="4"/>
      <c r="AT13" s="4">
        <v>5</v>
      </c>
      <c r="AU13" s="4"/>
      <c r="AV13" s="4"/>
      <c r="AW13" s="4"/>
      <c r="AX13" s="4">
        <v>2.7</v>
      </c>
      <c r="AY13" s="4">
        <v>0.43</v>
      </c>
      <c r="AZ13" s="4">
        <v>4.5</v>
      </c>
      <c r="BA13" s="4">
        <v>0.7</v>
      </c>
      <c r="BB13" s="4"/>
      <c r="BC13" s="4"/>
      <c r="BD13" s="4"/>
      <c r="BE13" s="4">
        <v>10.5</v>
      </c>
      <c r="BF13" s="4">
        <v>4.4000000000000004</v>
      </c>
    </row>
    <row r="14" spans="1:58" x14ac:dyDescent="0.2">
      <c r="A14" s="2" t="s">
        <v>215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87</v>
      </c>
      <c r="R14" s="4">
        <v>30</v>
      </c>
      <c r="S14" s="4">
        <v>47</v>
      </c>
      <c r="T14" s="4">
        <v>35</v>
      </c>
      <c r="U14" s="4"/>
      <c r="V14" s="4"/>
      <c r="W14" s="4"/>
      <c r="X14" s="4">
        <v>27</v>
      </c>
      <c r="Y14" s="4">
        <v>78</v>
      </c>
      <c r="Z14" s="4"/>
      <c r="AA14" s="4"/>
      <c r="AB14" s="4"/>
      <c r="AC14" s="4"/>
      <c r="AD14" s="4">
        <v>2</v>
      </c>
      <c r="AE14" s="4">
        <v>2.7</v>
      </c>
      <c r="AF14" s="4"/>
      <c r="AG14" s="4">
        <v>3</v>
      </c>
      <c r="AH14" s="4"/>
      <c r="AI14" s="4">
        <v>2.2999999999999998</v>
      </c>
      <c r="AJ14" s="4"/>
      <c r="AK14" s="4"/>
      <c r="AL14" s="4">
        <v>52</v>
      </c>
      <c r="AM14" s="4">
        <v>90</v>
      </c>
      <c r="AN14" s="4"/>
      <c r="AO14" s="4">
        <v>44</v>
      </c>
      <c r="AP14" s="4">
        <v>8</v>
      </c>
      <c r="AQ14" s="4">
        <v>1.5</v>
      </c>
      <c r="AR14" s="4"/>
      <c r="AS14" s="4"/>
      <c r="AT14" s="4">
        <v>4.9000000000000004</v>
      </c>
      <c r="AU14" s="4"/>
      <c r="AV14" s="4"/>
      <c r="AW14" s="4"/>
      <c r="AX14" s="4">
        <v>2.7</v>
      </c>
      <c r="AY14" s="4">
        <v>0.4</v>
      </c>
      <c r="AZ14" s="4">
        <v>4.8</v>
      </c>
      <c r="BA14" s="4">
        <v>0.7</v>
      </c>
      <c r="BB14" s="4"/>
      <c r="BC14" s="4"/>
      <c r="BD14" s="4"/>
      <c r="BE14" s="4">
        <v>11.4</v>
      </c>
      <c r="BF14" s="4">
        <v>4.5999999999999996</v>
      </c>
    </row>
    <row r="15" spans="1:58" x14ac:dyDescent="0.2">
      <c r="A15" s="2" t="s">
        <v>216</v>
      </c>
      <c r="B15" s="4">
        <v>52.85</v>
      </c>
      <c r="C15" s="4">
        <v>15.5</v>
      </c>
      <c r="D15" s="4">
        <v>10.57</v>
      </c>
      <c r="E15" s="4">
        <v>0.16500000000000001</v>
      </c>
      <c r="F15" s="4">
        <v>6.33</v>
      </c>
      <c r="G15" s="4">
        <v>11.1</v>
      </c>
      <c r="H15" s="4">
        <v>2.2200000000000002</v>
      </c>
      <c r="I15" s="4">
        <v>0.62</v>
      </c>
      <c r="J15" s="4">
        <v>1.083</v>
      </c>
      <c r="K15" s="4">
        <v>0.15</v>
      </c>
      <c r="L15" s="4"/>
      <c r="M15" s="4"/>
      <c r="N15" s="4">
        <v>35</v>
      </c>
      <c r="O15" s="4" t="s">
        <v>68</v>
      </c>
      <c r="P15" s="4">
        <v>269</v>
      </c>
      <c r="Q15" s="4">
        <v>100</v>
      </c>
      <c r="R15" s="4">
        <v>44</v>
      </c>
      <c r="S15" s="4">
        <v>80</v>
      </c>
      <c r="T15" s="4">
        <v>110</v>
      </c>
      <c r="U15" s="4">
        <v>80</v>
      </c>
      <c r="V15" s="4">
        <v>18</v>
      </c>
      <c r="W15" s="4">
        <v>2</v>
      </c>
      <c r="X15" s="4" t="s">
        <v>71</v>
      </c>
      <c r="Y15" s="4">
        <v>21</v>
      </c>
      <c r="Z15" s="4">
        <v>203</v>
      </c>
      <c r="AA15" s="4">
        <v>19</v>
      </c>
      <c r="AB15" s="4">
        <v>84</v>
      </c>
      <c r="AC15" s="4"/>
      <c r="AD15" s="4" t="s">
        <v>72</v>
      </c>
      <c r="AE15" s="4"/>
      <c r="AF15" s="4"/>
      <c r="AG15" s="4"/>
      <c r="AH15" s="4"/>
      <c r="AI15" s="4"/>
      <c r="AJ15" s="4">
        <v>173</v>
      </c>
      <c r="AK15" s="4" t="s">
        <v>75</v>
      </c>
      <c r="AL15" s="4"/>
      <c r="AM15" s="4"/>
      <c r="AN15" s="4"/>
      <c r="AO15" s="4">
        <v>13.4</v>
      </c>
      <c r="AP15" s="4">
        <v>3.4</v>
      </c>
      <c r="AQ15" s="4"/>
      <c r="AR15" s="4"/>
      <c r="AS15" s="4">
        <v>0.7</v>
      </c>
      <c r="AT15" s="4"/>
      <c r="AU15" s="4">
        <v>0.8</v>
      </c>
      <c r="AV15" s="4">
        <v>2.2999999999999998</v>
      </c>
      <c r="AW15" s="4"/>
      <c r="AX15" s="4">
        <v>2.2000000000000002</v>
      </c>
      <c r="AY15" s="4">
        <v>0.33</v>
      </c>
      <c r="AZ15" s="4"/>
      <c r="BA15" s="4"/>
      <c r="BB15" s="4" t="s">
        <v>68</v>
      </c>
      <c r="BC15" s="4" t="s">
        <v>79</v>
      </c>
      <c r="BD15" s="4"/>
      <c r="BE15" s="4">
        <v>2.2999999999999998</v>
      </c>
      <c r="BF15" s="4">
        <v>0.6</v>
      </c>
    </row>
    <row r="16" spans="1:58" x14ac:dyDescent="0.2">
      <c r="A16" s="2" t="s">
        <v>217</v>
      </c>
      <c r="B16" s="4">
        <v>52.4</v>
      </c>
      <c r="C16" s="4">
        <v>15.4</v>
      </c>
      <c r="D16" s="4">
        <v>10.7</v>
      </c>
      <c r="E16" s="4">
        <v>0.16300000000000001</v>
      </c>
      <c r="F16" s="4">
        <v>6.37</v>
      </c>
      <c r="G16" s="4">
        <v>10.9</v>
      </c>
      <c r="H16" s="4">
        <v>2.14</v>
      </c>
      <c r="I16" s="4">
        <v>0.626</v>
      </c>
      <c r="J16" s="4">
        <v>1.06</v>
      </c>
      <c r="K16" s="4">
        <v>0.13</v>
      </c>
      <c r="L16" s="4"/>
      <c r="M16" s="4"/>
      <c r="N16" s="4">
        <v>36</v>
      </c>
      <c r="O16" s="4">
        <v>1.3</v>
      </c>
      <c r="P16" s="4">
        <v>262</v>
      </c>
      <c r="Q16" s="4">
        <v>92</v>
      </c>
      <c r="R16" s="4">
        <v>43</v>
      </c>
      <c r="S16" s="4">
        <v>70</v>
      </c>
      <c r="T16" s="4">
        <v>110</v>
      </c>
      <c r="U16" s="4">
        <v>80</v>
      </c>
      <c r="V16" s="4">
        <v>17</v>
      </c>
      <c r="W16" s="4">
        <v>1</v>
      </c>
      <c r="X16" s="4">
        <v>1.2</v>
      </c>
      <c r="Y16" s="4">
        <v>21</v>
      </c>
      <c r="Z16" s="4">
        <v>190</v>
      </c>
      <c r="AA16" s="4">
        <v>24</v>
      </c>
      <c r="AB16" s="4">
        <v>94</v>
      </c>
      <c r="AC16" s="4"/>
      <c r="AD16" s="4">
        <v>0.6</v>
      </c>
      <c r="AE16" s="4"/>
      <c r="AF16" s="4"/>
      <c r="AG16" s="4"/>
      <c r="AH16" s="4"/>
      <c r="AI16" s="4"/>
      <c r="AJ16" s="4">
        <v>182</v>
      </c>
      <c r="AK16" s="4">
        <v>0.03</v>
      </c>
      <c r="AL16" s="4"/>
      <c r="AM16" s="4"/>
      <c r="AN16" s="4"/>
      <c r="AO16" s="4">
        <v>13</v>
      </c>
      <c r="AP16" s="4">
        <v>3.3</v>
      </c>
      <c r="AQ16" s="4"/>
      <c r="AR16" s="4"/>
      <c r="AS16" s="4">
        <v>0.63</v>
      </c>
      <c r="AT16" s="4"/>
      <c r="AU16" s="4">
        <v>0.76</v>
      </c>
      <c r="AV16" s="4">
        <v>2.5</v>
      </c>
      <c r="AW16" s="4"/>
      <c r="AX16" s="4">
        <v>2.1</v>
      </c>
      <c r="AY16" s="4">
        <v>0.33</v>
      </c>
      <c r="AZ16" s="4"/>
      <c r="BA16" s="4"/>
      <c r="BB16" s="4">
        <v>0.3</v>
      </c>
      <c r="BC16" s="4">
        <v>0.2</v>
      </c>
      <c r="BD16" s="4"/>
      <c r="BE16" s="4">
        <v>2.4</v>
      </c>
      <c r="BF16" s="4">
        <v>0.53</v>
      </c>
    </row>
    <row r="17" spans="1:58" x14ac:dyDescent="0.2">
      <c r="A17" s="2" t="s">
        <v>218</v>
      </c>
      <c r="B17" s="4">
        <v>49.86</v>
      </c>
      <c r="C17" s="4">
        <v>20.29</v>
      </c>
      <c r="D17" s="4">
        <v>6.25</v>
      </c>
      <c r="E17" s="4">
        <v>0.107</v>
      </c>
      <c r="F17" s="4">
        <v>0.51</v>
      </c>
      <c r="G17" s="4">
        <v>8.0500000000000007</v>
      </c>
      <c r="H17" s="4">
        <v>6.98</v>
      </c>
      <c r="I17" s="4">
        <v>1.67</v>
      </c>
      <c r="J17" s="4">
        <v>0.28999999999999998</v>
      </c>
      <c r="K17" s="4">
        <v>0.12</v>
      </c>
      <c r="L17" s="4"/>
      <c r="M17" s="4"/>
      <c r="N17" s="4" t="s">
        <v>68</v>
      </c>
      <c r="O17" s="4">
        <v>3</v>
      </c>
      <c r="P17" s="4">
        <v>9</v>
      </c>
      <c r="Q17" s="4"/>
      <c r="R17" s="4"/>
      <c r="S17" s="4"/>
      <c r="T17" s="4"/>
      <c r="U17" s="4"/>
      <c r="V17" s="4"/>
      <c r="W17" s="4"/>
      <c r="X17" s="4"/>
      <c r="Y17" s="4"/>
      <c r="Z17" s="4">
        <v>1194</v>
      </c>
      <c r="AA17" s="4">
        <v>115</v>
      </c>
      <c r="AB17" s="4">
        <v>561</v>
      </c>
      <c r="AC17" s="4"/>
      <c r="AD17" s="4"/>
      <c r="AE17" s="4"/>
      <c r="AF17" s="4"/>
      <c r="AG17" s="4"/>
      <c r="AH17" s="4"/>
      <c r="AI17" s="4"/>
      <c r="AJ17" s="4">
        <v>347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x14ac:dyDescent="0.2">
      <c r="A18" s="2" t="s">
        <v>219</v>
      </c>
      <c r="B18" s="4" t="s">
        <v>220</v>
      </c>
      <c r="C18" s="4" t="s">
        <v>221</v>
      </c>
      <c r="D18" s="4" t="s">
        <v>222</v>
      </c>
      <c r="E18" s="4" t="s">
        <v>223</v>
      </c>
      <c r="F18" s="4" t="s">
        <v>224</v>
      </c>
      <c r="G18" s="4" t="s">
        <v>225</v>
      </c>
      <c r="H18" s="4" t="s">
        <v>226</v>
      </c>
      <c r="I18" s="4" t="s">
        <v>227</v>
      </c>
      <c r="J18" s="4" t="s">
        <v>228</v>
      </c>
      <c r="K18" s="4" t="s">
        <v>229</v>
      </c>
      <c r="L18" s="4"/>
      <c r="M18" s="4"/>
      <c r="N18" s="4" t="s">
        <v>230</v>
      </c>
      <c r="O18" s="4" t="s">
        <v>231</v>
      </c>
      <c r="P18" s="4" t="s">
        <v>232</v>
      </c>
      <c r="Q18" s="4"/>
      <c r="R18" s="4"/>
      <c r="S18" s="4"/>
      <c r="T18" s="4"/>
      <c r="U18" s="4"/>
      <c r="V18" s="4"/>
      <c r="W18" s="4"/>
      <c r="X18" s="4"/>
      <c r="Y18" s="4"/>
      <c r="Z18" s="4" t="s">
        <v>233</v>
      </c>
      <c r="AA18" s="4" t="s">
        <v>234</v>
      </c>
      <c r="AB18" s="4" t="s">
        <v>235</v>
      </c>
      <c r="AC18" s="4"/>
      <c r="AD18" s="4"/>
      <c r="AE18" s="4"/>
      <c r="AF18" s="4"/>
      <c r="AG18" s="4"/>
      <c r="AH18" s="4"/>
      <c r="AI18" s="4"/>
      <c r="AJ18" s="4" t="s">
        <v>236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x14ac:dyDescent="0.2">
      <c r="A19" s="2" t="s">
        <v>237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60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>
        <v>2210</v>
      </c>
      <c r="AM19" s="4">
        <v>3410</v>
      </c>
      <c r="AN19" s="4"/>
      <c r="AO19" s="4">
        <v>1170</v>
      </c>
      <c r="AP19" s="4">
        <v>167</v>
      </c>
      <c r="AQ19" s="4">
        <v>47.1</v>
      </c>
      <c r="AR19" s="4">
        <v>130</v>
      </c>
      <c r="AS19" s="4">
        <v>13.9</v>
      </c>
      <c r="AT19" s="4"/>
      <c r="AU19" s="4"/>
      <c r="AV19" s="4"/>
      <c r="AW19" s="4"/>
      <c r="AX19" s="4">
        <v>10.8</v>
      </c>
      <c r="AY19" s="4">
        <v>1.18</v>
      </c>
      <c r="AZ19" s="4"/>
      <c r="BA19" s="4">
        <v>2.5</v>
      </c>
      <c r="BB19" s="4"/>
      <c r="BC19" s="4"/>
      <c r="BD19" s="4"/>
      <c r="BE19" s="4">
        <v>23.8</v>
      </c>
      <c r="BF19" s="4">
        <v>4.0999999999999996</v>
      </c>
    </row>
    <row r="20" spans="1:58" x14ac:dyDescent="0.2">
      <c r="A20" s="2" t="s">
        <v>238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 t="s">
        <v>239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 t="s">
        <v>240</v>
      </c>
      <c r="AM20" s="4" t="s">
        <v>241</v>
      </c>
      <c r="AN20" s="4"/>
      <c r="AO20" s="4" t="s">
        <v>242</v>
      </c>
      <c r="AP20" s="4" t="s">
        <v>243</v>
      </c>
      <c r="AQ20" s="4" t="s">
        <v>244</v>
      </c>
      <c r="AR20" s="4" t="s">
        <v>245</v>
      </c>
      <c r="AS20" s="4" t="s">
        <v>246</v>
      </c>
      <c r="AT20" s="4"/>
      <c r="AU20" s="4"/>
      <c r="AV20" s="4"/>
      <c r="AW20" s="4"/>
      <c r="AX20" s="4" t="s">
        <v>247</v>
      </c>
      <c r="AY20" s="4" t="s">
        <v>248</v>
      </c>
      <c r="AZ20" s="4"/>
      <c r="BA20" s="4" t="s">
        <v>249</v>
      </c>
      <c r="BB20" s="4"/>
      <c r="BC20" s="4"/>
      <c r="BD20" s="4"/>
      <c r="BE20" s="4" t="s">
        <v>250</v>
      </c>
      <c r="BF20" s="4" t="s">
        <v>251</v>
      </c>
    </row>
    <row r="21" spans="1:58" x14ac:dyDescent="0.2">
      <c r="A21" s="2" t="s">
        <v>252</v>
      </c>
      <c r="B21" s="4">
        <v>48.27</v>
      </c>
      <c r="C21" s="4">
        <v>15.93</v>
      </c>
      <c r="D21" s="4">
        <v>11.48</v>
      </c>
      <c r="E21" s="4">
        <v>0.16900000000000001</v>
      </c>
      <c r="F21" s="4">
        <v>9.51</v>
      </c>
      <c r="G21" s="4">
        <v>13.53</v>
      </c>
      <c r="H21" s="4">
        <v>1.8</v>
      </c>
      <c r="I21" s="4">
        <v>0.02</v>
      </c>
      <c r="J21" s="4">
        <v>0.999</v>
      </c>
      <c r="K21" s="4">
        <v>0.02</v>
      </c>
      <c r="L21" s="4"/>
      <c r="M21" s="4"/>
      <c r="N21" s="4">
        <v>44</v>
      </c>
      <c r="O21" s="4" t="s">
        <v>68</v>
      </c>
      <c r="P21" s="4">
        <v>324</v>
      </c>
      <c r="Q21" s="4">
        <v>390</v>
      </c>
      <c r="R21" s="4">
        <v>54</v>
      </c>
      <c r="S21" s="4">
        <v>190</v>
      </c>
      <c r="T21" s="4">
        <v>130</v>
      </c>
      <c r="U21" s="4">
        <v>80</v>
      </c>
      <c r="V21" s="4">
        <v>16</v>
      </c>
      <c r="W21" s="4"/>
      <c r="X21" s="4"/>
      <c r="Y21" s="4"/>
      <c r="Z21" s="4">
        <v>111</v>
      </c>
      <c r="AA21" s="4">
        <v>13</v>
      </c>
      <c r="AB21" s="4">
        <v>14</v>
      </c>
      <c r="AC21" s="4"/>
      <c r="AD21" s="4"/>
      <c r="AE21" s="4"/>
      <c r="AF21" s="4"/>
      <c r="AG21" s="4"/>
      <c r="AH21" s="4"/>
      <c r="AI21" s="4"/>
      <c r="AJ21" s="4">
        <v>8</v>
      </c>
      <c r="AK21" s="4"/>
      <c r="AL21" s="4">
        <v>0.7</v>
      </c>
      <c r="AM21" s="4"/>
      <c r="AN21" s="4"/>
      <c r="AO21" s="4">
        <v>2.5</v>
      </c>
      <c r="AP21" s="4">
        <v>1.1000000000000001</v>
      </c>
      <c r="AQ21" s="4">
        <v>0.55000000000000004</v>
      </c>
      <c r="AR21" s="4">
        <v>1.9</v>
      </c>
      <c r="AS21" s="4"/>
      <c r="AT21" s="4"/>
      <c r="AU21" s="4"/>
      <c r="AV21" s="4"/>
      <c r="AW21" s="4"/>
      <c r="AX21" s="4">
        <v>1.8</v>
      </c>
      <c r="AY21" s="4"/>
      <c r="AZ21" s="4">
        <v>0.6</v>
      </c>
      <c r="BA21" s="4"/>
      <c r="BB21" s="4"/>
      <c r="BC21" s="4"/>
      <c r="BD21" s="4" t="s">
        <v>71</v>
      </c>
      <c r="BE21" s="4"/>
      <c r="BF21" s="4"/>
    </row>
    <row r="22" spans="1:58" x14ac:dyDescent="0.2">
      <c r="A22" s="2" t="s">
        <v>253</v>
      </c>
      <c r="B22" s="4" t="s">
        <v>254</v>
      </c>
      <c r="C22" s="4" t="s">
        <v>255</v>
      </c>
      <c r="D22" s="4" t="s">
        <v>256</v>
      </c>
      <c r="E22" s="4" t="s">
        <v>257</v>
      </c>
      <c r="F22" s="4" t="s">
        <v>258</v>
      </c>
      <c r="G22" s="4" t="s">
        <v>259</v>
      </c>
      <c r="H22" s="4" t="s">
        <v>260</v>
      </c>
      <c r="I22" s="4" t="s">
        <v>261</v>
      </c>
      <c r="J22" s="4" t="s">
        <v>262</v>
      </c>
      <c r="K22" s="4" t="s">
        <v>263</v>
      </c>
      <c r="L22" s="4"/>
      <c r="M22" s="4"/>
      <c r="N22" s="4" t="s">
        <v>264</v>
      </c>
      <c r="O22" s="4" t="s">
        <v>265</v>
      </c>
      <c r="P22" s="4">
        <v>310</v>
      </c>
      <c r="Q22" s="4" t="s">
        <v>266</v>
      </c>
      <c r="R22" s="4" t="s">
        <v>267</v>
      </c>
      <c r="S22" s="4" t="s">
        <v>268</v>
      </c>
      <c r="T22" s="4" t="s">
        <v>269</v>
      </c>
      <c r="U22" s="4" t="s">
        <v>201</v>
      </c>
      <c r="V22" s="4" t="s">
        <v>270</v>
      </c>
      <c r="W22" s="4"/>
      <c r="X22" s="4"/>
      <c r="Y22" s="4"/>
      <c r="Z22" s="4" t="s">
        <v>271</v>
      </c>
      <c r="AA22" s="4" t="s">
        <v>270</v>
      </c>
      <c r="AB22" s="4">
        <v>18</v>
      </c>
      <c r="AC22" s="4"/>
      <c r="AD22" s="4"/>
      <c r="AE22" s="4"/>
      <c r="AF22" s="4"/>
      <c r="AG22" s="4"/>
      <c r="AH22" s="4"/>
      <c r="AI22" s="4"/>
      <c r="AJ22" s="4" t="s">
        <v>272</v>
      </c>
      <c r="AK22" s="4"/>
      <c r="AL22" s="4" t="s">
        <v>273</v>
      </c>
      <c r="AM22" s="4"/>
      <c r="AN22" s="4"/>
      <c r="AO22" s="4" t="s">
        <v>274</v>
      </c>
      <c r="AP22" s="4" t="s">
        <v>230</v>
      </c>
      <c r="AQ22" s="4" t="s">
        <v>275</v>
      </c>
      <c r="AR22" s="4" t="s">
        <v>210</v>
      </c>
      <c r="AS22" s="4"/>
      <c r="AT22" s="4"/>
      <c r="AU22" s="4"/>
      <c r="AV22" s="4"/>
      <c r="AW22" s="4"/>
      <c r="AX22" s="4" t="s">
        <v>276</v>
      </c>
      <c r="AY22" s="4"/>
      <c r="AZ22" s="4" t="s">
        <v>277</v>
      </c>
      <c r="BA22" s="4"/>
      <c r="BB22" s="4"/>
      <c r="BC22" s="4"/>
      <c r="BD22" s="4" t="s">
        <v>278</v>
      </c>
      <c r="BE22" s="4"/>
      <c r="BF22" s="4"/>
    </row>
    <row r="23" spans="1:58" x14ac:dyDescent="0.2">
      <c r="A23" s="2" t="s">
        <v>279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2370</v>
      </c>
      <c r="AM23" s="4">
        <v>180</v>
      </c>
      <c r="AN23" s="4"/>
      <c r="AO23" s="4">
        <v>1620</v>
      </c>
      <c r="AP23" s="4"/>
      <c r="AQ23" s="4"/>
      <c r="AR23" s="4">
        <v>236</v>
      </c>
      <c r="AS23" s="4">
        <v>31.5</v>
      </c>
      <c r="AT23" s="4">
        <v>184</v>
      </c>
      <c r="AU23" s="4">
        <v>35.299999999999997</v>
      </c>
      <c r="AV23" s="4">
        <v>101</v>
      </c>
      <c r="AW23" s="4">
        <v>13.8</v>
      </c>
      <c r="AX23" s="4">
        <v>87.2</v>
      </c>
      <c r="AY23" s="4">
        <v>12.6</v>
      </c>
      <c r="AZ23" s="4"/>
      <c r="BA23" s="4"/>
      <c r="BB23" s="4"/>
      <c r="BC23" s="4"/>
      <c r="BD23" s="4"/>
      <c r="BE23" s="4">
        <v>25.4</v>
      </c>
      <c r="BF23" s="4"/>
    </row>
    <row r="24" spans="1:58" x14ac:dyDescent="0.2">
      <c r="A24" s="2" t="s">
        <v>280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 t="s">
        <v>281</v>
      </c>
      <c r="AM24" s="4" t="s">
        <v>282</v>
      </c>
      <c r="AN24" s="4"/>
      <c r="AO24" s="4" t="s">
        <v>283</v>
      </c>
      <c r="AP24" s="4"/>
      <c r="AQ24" s="4"/>
      <c r="AR24" s="4" t="s">
        <v>284</v>
      </c>
      <c r="AS24" s="4" t="s">
        <v>285</v>
      </c>
      <c r="AT24" s="4" t="s">
        <v>286</v>
      </c>
      <c r="AU24" s="4" t="s">
        <v>287</v>
      </c>
      <c r="AV24" s="4" t="s">
        <v>288</v>
      </c>
      <c r="AW24" s="4" t="s">
        <v>289</v>
      </c>
      <c r="AX24" s="4" t="s">
        <v>290</v>
      </c>
      <c r="AY24" s="4" t="s">
        <v>291</v>
      </c>
      <c r="AZ24" s="4"/>
      <c r="BA24" s="4"/>
      <c r="BB24" s="4"/>
      <c r="BC24" s="4"/>
      <c r="BD24" s="4"/>
      <c r="BE24" s="4" t="s">
        <v>292</v>
      </c>
      <c r="BF24" s="4"/>
    </row>
    <row r="25" spans="1:58" x14ac:dyDescent="0.2">
      <c r="A25" s="2" t="s">
        <v>293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 t="s">
        <v>69</v>
      </c>
      <c r="T25" s="4">
        <v>960</v>
      </c>
      <c r="U25" s="4">
        <v>100</v>
      </c>
      <c r="V25" s="4">
        <v>17</v>
      </c>
      <c r="W25" s="4">
        <v>11</v>
      </c>
      <c r="X25" s="4">
        <v>65</v>
      </c>
      <c r="Y25" s="4">
        <v>505</v>
      </c>
      <c r="Z25" s="4"/>
      <c r="AA25" s="4"/>
      <c r="AB25" s="4"/>
      <c r="AC25" s="4"/>
      <c r="AD25" s="4"/>
      <c r="AE25" s="4">
        <v>1.8</v>
      </c>
      <c r="AF25" s="4">
        <v>1</v>
      </c>
      <c r="AG25" s="4">
        <v>1630</v>
      </c>
      <c r="AH25" s="4">
        <v>2.8</v>
      </c>
      <c r="AI25" s="4">
        <v>41.5</v>
      </c>
      <c r="AJ25" s="4"/>
      <c r="AK25" s="4"/>
      <c r="AL25" s="4">
        <v>23.6</v>
      </c>
      <c r="AM25" s="4">
        <v>60.1</v>
      </c>
      <c r="AN25" s="4">
        <v>7.8</v>
      </c>
      <c r="AO25" s="4">
        <v>33.1</v>
      </c>
      <c r="AP25" s="4">
        <v>12.3</v>
      </c>
      <c r="AQ25" s="4"/>
      <c r="AR25" s="4">
        <v>15.2</v>
      </c>
      <c r="AS25" s="4">
        <v>3.1</v>
      </c>
      <c r="AT25" s="4">
        <v>21.5</v>
      </c>
      <c r="AU25" s="4">
        <v>4.4000000000000004</v>
      </c>
      <c r="AV25" s="4">
        <v>13.6</v>
      </c>
      <c r="AW25" s="4">
        <v>2.2999999999999998</v>
      </c>
      <c r="AX25" s="4">
        <v>16.2</v>
      </c>
      <c r="AY25" s="4">
        <v>2.3199999999999998</v>
      </c>
      <c r="AZ25" s="4"/>
      <c r="BA25" s="4"/>
      <c r="BB25" s="4">
        <v>2020</v>
      </c>
      <c r="BC25" s="4"/>
      <c r="BD25" s="4"/>
      <c r="BE25" s="4">
        <v>29.1</v>
      </c>
      <c r="BF25" s="4"/>
    </row>
    <row r="26" spans="1:58" x14ac:dyDescent="0.2">
      <c r="A26" s="2" t="s">
        <v>294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 t="s">
        <v>295</v>
      </c>
      <c r="T26" s="4" t="s">
        <v>296</v>
      </c>
      <c r="U26" s="4" t="s">
        <v>200</v>
      </c>
      <c r="V26" s="4" t="s">
        <v>297</v>
      </c>
      <c r="W26" s="4" t="s">
        <v>298</v>
      </c>
      <c r="X26" s="4" t="s">
        <v>299</v>
      </c>
      <c r="Y26" s="4" t="s">
        <v>300</v>
      </c>
      <c r="Z26" s="4"/>
      <c r="AA26" s="4"/>
      <c r="AB26" s="4"/>
      <c r="AC26" s="4"/>
      <c r="AD26" s="4"/>
      <c r="AE26" s="4" t="s">
        <v>301</v>
      </c>
      <c r="AF26" s="4" t="s">
        <v>302</v>
      </c>
      <c r="AG26" s="4" t="s">
        <v>303</v>
      </c>
      <c r="AH26" s="4" t="s">
        <v>304</v>
      </c>
      <c r="AI26" s="4" t="s">
        <v>305</v>
      </c>
      <c r="AJ26" s="4"/>
      <c r="AK26" s="4"/>
      <c r="AL26" s="4" t="s">
        <v>306</v>
      </c>
      <c r="AM26" s="4" t="s">
        <v>307</v>
      </c>
      <c r="AN26" s="4" t="s">
        <v>308</v>
      </c>
      <c r="AO26" s="4" t="s">
        <v>309</v>
      </c>
      <c r="AP26" s="4" t="s">
        <v>310</v>
      </c>
      <c r="AQ26" s="4"/>
      <c r="AR26" s="4" t="s">
        <v>311</v>
      </c>
      <c r="AS26" s="4" t="s">
        <v>312</v>
      </c>
      <c r="AT26" s="4" t="s">
        <v>313</v>
      </c>
      <c r="AU26" s="4" t="s">
        <v>314</v>
      </c>
      <c r="AV26" s="4" t="s">
        <v>315</v>
      </c>
      <c r="AW26" s="4" t="s">
        <v>316</v>
      </c>
      <c r="AX26" s="4" t="s">
        <v>317</v>
      </c>
      <c r="AY26" s="4" t="s">
        <v>318</v>
      </c>
      <c r="AZ26" s="4"/>
      <c r="BA26" s="4"/>
      <c r="BB26" s="4" t="s">
        <v>319</v>
      </c>
      <c r="BC26" s="4"/>
      <c r="BD26" s="4"/>
      <c r="BE26" s="4" t="s">
        <v>320</v>
      </c>
      <c r="BF26" s="4"/>
    </row>
    <row r="27" spans="1:58" x14ac:dyDescent="0.2">
      <c r="A27" s="2" t="s">
        <v>321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17</v>
      </c>
      <c r="S27" s="4"/>
      <c r="T27" s="4">
        <v>170</v>
      </c>
      <c r="U27" s="4"/>
      <c r="V27" s="4"/>
      <c r="W27" s="4"/>
      <c r="X27" s="4"/>
      <c r="Y27" s="4"/>
      <c r="Z27" s="4"/>
      <c r="AA27" s="4"/>
      <c r="AB27" s="4"/>
      <c r="AC27" s="4"/>
      <c r="AD27" s="4">
        <v>24</v>
      </c>
      <c r="AE27" s="4"/>
      <c r="AF27" s="4"/>
      <c r="AG27" s="4"/>
      <c r="AH27" s="4"/>
      <c r="AI27" s="4"/>
      <c r="AJ27" s="4"/>
      <c r="AK27" s="4"/>
      <c r="AL27" s="4">
        <v>268</v>
      </c>
      <c r="AM27" s="4">
        <v>487</v>
      </c>
      <c r="AN27" s="4">
        <v>47.7</v>
      </c>
      <c r="AO27" s="4">
        <v>156</v>
      </c>
      <c r="AP27" s="4">
        <v>24.4</v>
      </c>
      <c r="AQ27" s="4">
        <v>3.76</v>
      </c>
      <c r="AR27" s="4">
        <v>21.4</v>
      </c>
      <c r="AS27" s="4">
        <v>3.5</v>
      </c>
      <c r="AT27" s="4">
        <v>23.9</v>
      </c>
      <c r="AU27" s="4">
        <v>5.0999999999999996</v>
      </c>
      <c r="AV27" s="4">
        <v>15.5</v>
      </c>
      <c r="AW27" s="4">
        <v>2.36</v>
      </c>
      <c r="AX27" s="4">
        <v>15.8</v>
      </c>
      <c r="AY27" s="4">
        <v>2.27</v>
      </c>
      <c r="AZ27" s="4"/>
      <c r="BA27" s="4"/>
      <c r="BB27" s="4"/>
      <c r="BC27" s="4"/>
      <c r="BD27" s="4"/>
      <c r="BE27" s="4">
        <v>53</v>
      </c>
      <c r="BF27" s="4">
        <v>140</v>
      </c>
    </row>
    <row r="28" spans="1:58" x14ac:dyDescent="0.2">
      <c r="A28" s="2" t="s">
        <v>322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 t="s">
        <v>323</v>
      </c>
      <c r="S28" s="4"/>
      <c r="T28" s="4" t="s">
        <v>324</v>
      </c>
      <c r="U28" s="4"/>
      <c r="V28" s="4"/>
      <c r="W28" s="4"/>
      <c r="X28" s="4"/>
      <c r="Y28" s="4"/>
      <c r="Z28" s="4"/>
      <c r="AA28" s="4"/>
      <c r="AB28" s="4"/>
      <c r="AC28" s="4"/>
      <c r="AD28" s="4" t="s">
        <v>325</v>
      </c>
      <c r="AE28" s="4"/>
      <c r="AF28" s="4"/>
      <c r="AG28" s="4"/>
      <c r="AH28" s="4"/>
      <c r="AI28" s="4"/>
      <c r="AJ28" s="4"/>
      <c r="AK28" s="4"/>
      <c r="AL28" s="4" t="s">
        <v>326</v>
      </c>
      <c r="AM28" s="4" t="s">
        <v>327</v>
      </c>
      <c r="AN28" s="4" t="s">
        <v>328</v>
      </c>
      <c r="AO28" s="4" t="s">
        <v>329</v>
      </c>
      <c r="AP28" s="4" t="s">
        <v>292</v>
      </c>
      <c r="AQ28" s="4" t="s">
        <v>330</v>
      </c>
      <c r="AR28" s="4" t="s">
        <v>292</v>
      </c>
      <c r="AS28" s="4" t="s">
        <v>331</v>
      </c>
      <c r="AT28" s="4" t="s">
        <v>332</v>
      </c>
      <c r="AU28" s="4" t="s">
        <v>333</v>
      </c>
      <c r="AV28" s="4" t="s">
        <v>317</v>
      </c>
      <c r="AW28" s="4" t="s">
        <v>334</v>
      </c>
      <c r="AX28" s="4" t="s">
        <v>317</v>
      </c>
      <c r="AY28" s="4" t="s">
        <v>335</v>
      </c>
      <c r="AZ28" s="4"/>
      <c r="BA28" s="4"/>
      <c r="BB28" s="4"/>
      <c r="BC28" s="4"/>
      <c r="BD28" s="4"/>
      <c r="BE28" s="4" t="s">
        <v>336</v>
      </c>
      <c r="BF28" s="4" t="s">
        <v>337</v>
      </c>
    </row>
    <row r="29" spans="1:58" x14ac:dyDescent="0.2">
      <c r="A29" s="2" t="s">
        <v>338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>
        <v>48</v>
      </c>
      <c r="S29" s="4"/>
      <c r="T29" s="4">
        <v>420</v>
      </c>
      <c r="U29" s="4"/>
      <c r="V29" s="4"/>
      <c r="W29" s="4"/>
      <c r="X29" s="4"/>
      <c r="Y29" s="4"/>
      <c r="Z29" s="4"/>
      <c r="AA29" s="4"/>
      <c r="AB29" s="4"/>
      <c r="AC29" s="4"/>
      <c r="AD29" s="4">
        <v>21</v>
      </c>
      <c r="AE29" s="4"/>
      <c r="AF29" s="4"/>
      <c r="AG29" s="4"/>
      <c r="AH29" s="4"/>
      <c r="AI29" s="4"/>
      <c r="AJ29" s="4"/>
      <c r="AK29" s="4"/>
      <c r="AL29" s="4">
        <v>822</v>
      </c>
      <c r="AM29" s="4">
        <v>1430</v>
      </c>
      <c r="AN29" s="4">
        <v>135</v>
      </c>
      <c r="AO29" s="4">
        <v>412</v>
      </c>
      <c r="AP29" s="4">
        <v>52.5</v>
      </c>
      <c r="AQ29" s="4">
        <v>8.3800000000000008</v>
      </c>
      <c r="AR29" s="4"/>
      <c r="AS29" s="4"/>
      <c r="AT29" s="4">
        <v>32.700000000000003</v>
      </c>
      <c r="AU29" s="4">
        <v>6.7</v>
      </c>
      <c r="AV29" s="4">
        <v>20.6</v>
      </c>
      <c r="AW29" s="4">
        <v>2.9</v>
      </c>
      <c r="AX29" s="4">
        <v>18.5</v>
      </c>
      <c r="AY29" s="4">
        <v>2.61</v>
      </c>
      <c r="AZ29" s="4"/>
      <c r="BA29" s="4"/>
      <c r="BB29" s="4"/>
      <c r="BC29" s="4"/>
      <c r="BD29" s="4"/>
      <c r="BE29" s="4">
        <v>36.299999999999997</v>
      </c>
      <c r="BF29" s="4">
        <v>427</v>
      </c>
    </row>
    <row r="30" spans="1:58" x14ac:dyDescent="0.2">
      <c r="A30" s="2" t="s">
        <v>339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 t="s">
        <v>340</v>
      </c>
      <c r="S30" s="4"/>
      <c r="T30" s="4" t="s">
        <v>341</v>
      </c>
      <c r="U30" s="4"/>
      <c r="V30" s="4"/>
      <c r="W30" s="4"/>
      <c r="X30" s="4"/>
      <c r="Y30" s="4"/>
      <c r="Z30" s="4"/>
      <c r="AA30" s="4"/>
      <c r="AB30" s="4"/>
      <c r="AC30" s="4"/>
      <c r="AD30" s="4" t="s">
        <v>342</v>
      </c>
      <c r="AE30" s="4"/>
      <c r="AF30" s="4"/>
      <c r="AG30" s="4"/>
      <c r="AH30" s="4"/>
      <c r="AI30" s="4"/>
      <c r="AJ30" s="4"/>
      <c r="AK30" s="4"/>
      <c r="AL30" s="4" t="s">
        <v>343</v>
      </c>
      <c r="AM30" s="4" t="s">
        <v>344</v>
      </c>
      <c r="AN30" s="4" t="s">
        <v>345</v>
      </c>
      <c r="AO30" s="4" t="s">
        <v>346</v>
      </c>
      <c r="AP30" s="4" t="s">
        <v>340</v>
      </c>
      <c r="AQ30" s="4" t="s">
        <v>347</v>
      </c>
      <c r="AR30" s="4"/>
      <c r="AS30" s="4"/>
      <c r="AT30" s="4" t="s">
        <v>348</v>
      </c>
      <c r="AU30" s="4" t="s">
        <v>349</v>
      </c>
      <c r="AV30" s="4" t="s">
        <v>350</v>
      </c>
      <c r="AW30" s="4" t="s">
        <v>351</v>
      </c>
      <c r="AX30" s="4" t="s">
        <v>352</v>
      </c>
      <c r="AY30" s="4" t="s">
        <v>353</v>
      </c>
      <c r="AZ30" s="4"/>
      <c r="BA30" s="4"/>
      <c r="BB30" s="4"/>
      <c r="BC30" s="4"/>
      <c r="BD30" s="4"/>
      <c r="BE30" s="4" t="s">
        <v>354</v>
      </c>
      <c r="BF30" s="4" t="s">
        <v>355</v>
      </c>
    </row>
    <row r="31" spans="1:58" x14ac:dyDescent="0.2">
      <c r="A31" s="2" t="s">
        <v>356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 t="s">
        <v>69</v>
      </c>
      <c r="T31" s="4"/>
      <c r="U31" s="4"/>
      <c r="V31" s="4">
        <v>17</v>
      </c>
      <c r="W31" s="4">
        <v>2</v>
      </c>
      <c r="X31" s="4">
        <v>15</v>
      </c>
      <c r="Y31" s="4">
        <v>247</v>
      </c>
      <c r="Z31" s="4"/>
      <c r="AA31" s="4"/>
      <c r="AB31" s="4"/>
      <c r="AC31" s="4">
        <v>15</v>
      </c>
      <c r="AD31" s="4">
        <v>3</v>
      </c>
      <c r="AE31" s="4"/>
      <c r="AF31" s="4" t="s">
        <v>73</v>
      </c>
      <c r="AG31" s="4">
        <v>3</v>
      </c>
      <c r="AH31" s="4">
        <v>1.2</v>
      </c>
      <c r="AI31" s="4">
        <v>20.100000000000001</v>
      </c>
      <c r="AJ31" s="4"/>
      <c r="AK31" s="4">
        <v>0.5</v>
      </c>
      <c r="AL31" s="4">
        <v>20.100000000000001</v>
      </c>
      <c r="AM31" s="4">
        <v>48.8</v>
      </c>
      <c r="AN31" s="4">
        <v>6</v>
      </c>
      <c r="AO31" s="4">
        <v>23.6</v>
      </c>
      <c r="AP31" s="4">
        <v>5.9</v>
      </c>
      <c r="AQ31" s="4">
        <v>0.28000000000000003</v>
      </c>
      <c r="AR31" s="4"/>
      <c r="AS31" s="4">
        <v>1</v>
      </c>
      <c r="AT31" s="4"/>
      <c r="AU31" s="4"/>
      <c r="AV31" s="4"/>
      <c r="AW31" s="4">
        <v>0.66</v>
      </c>
      <c r="AX31" s="4">
        <v>4.7</v>
      </c>
      <c r="AY31" s="4">
        <v>0.73</v>
      </c>
      <c r="AZ31" s="4">
        <v>4.0999999999999996</v>
      </c>
      <c r="BA31" s="4"/>
      <c r="BB31" s="4">
        <v>2</v>
      </c>
      <c r="BC31" s="4">
        <v>1.5</v>
      </c>
      <c r="BD31" s="4">
        <v>18</v>
      </c>
      <c r="BE31" s="4">
        <v>26.7</v>
      </c>
      <c r="BF31" s="4">
        <v>9</v>
      </c>
    </row>
    <row r="32" spans="1:58" x14ac:dyDescent="0.2">
      <c r="A32" s="2" t="s">
        <v>357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 t="s">
        <v>358</v>
      </c>
      <c r="T32" s="4"/>
      <c r="U32" s="4"/>
      <c r="V32" s="4" t="s">
        <v>359</v>
      </c>
      <c r="W32" s="4" t="s">
        <v>360</v>
      </c>
      <c r="X32" s="4" t="s">
        <v>361</v>
      </c>
      <c r="Y32" s="4" t="s">
        <v>362</v>
      </c>
      <c r="Z32" s="4"/>
      <c r="AA32" s="4"/>
      <c r="AB32" s="4"/>
      <c r="AC32" s="4" t="s">
        <v>363</v>
      </c>
      <c r="AD32" s="4" t="s">
        <v>364</v>
      </c>
      <c r="AE32" s="4"/>
      <c r="AF32" s="4" t="s">
        <v>365</v>
      </c>
      <c r="AG32" s="4" t="s">
        <v>366</v>
      </c>
      <c r="AH32" s="4" t="s">
        <v>367</v>
      </c>
      <c r="AI32" s="4" t="s">
        <v>368</v>
      </c>
      <c r="AJ32" s="4"/>
      <c r="AK32" s="4" t="s">
        <v>369</v>
      </c>
      <c r="AL32" s="4" t="s">
        <v>370</v>
      </c>
      <c r="AM32" s="4" t="s">
        <v>371</v>
      </c>
      <c r="AN32" s="4" t="s">
        <v>372</v>
      </c>
      <c r="AO32" s="4" t="s">
        <v>373</v>
      </c>
      <c r="AP32" s="4" t="s">
        <v>374</v>
      </c>
      <c r="AQ32" s="4" t="s">
        <v>375</v>
      </c>
      <c r="AR32" s="4"/>
      <c r="AS32" s="4" t="s">
        <v>376</v>
      </c>
      <c r="AT32" s="4"/>
      <c r="AU32" s="4"/>
      <c r="AV32" s="4"/>
      <c r="AW32" s="4" t="s">
        <v>377</v>
      </c>
      <c r="AX32" s="4" t="s">
        <v>378</v>
      </c>
      <c r="AY32" s="4" t="s">
        <v>379</v>
      </c>
      <c r="AZ32" s="4" t="s">
        <v>380</v>
      </c>
      <c r="BA32" s="4"/>
      <c r="BB32" s="4" t="s">
        <v>381</v>
      </c>
      <c r="BC32" s="4" t="s">
        <v>382</v>
      </c>
      <c r="BD32" s="4" t="s">
        <v>383</v>
      </c>
      <c r="BE32" s="4" t="s">
        <v>384</v>
      </c>
      <c r="BF32" s="4" t="s">
        <v>385</v>
      </c>
    </row>
    <row r="33" spans="1:58" x14ac:dyDescent="0.2">
      <c r="A33" s="2" t="s">
        <v>386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>
        <v>388</v>
      </c>
      <c r="Z33" s="4"/>
      <c r="AA33" s="4"/>
      <c r="AB33" s="4"/>
      <c r="AC33" s="4"/>
      <c r="AD33" s="4"/>
      <c r="AE33" s="4"/>
      <c r="AF33" s="4"/>
      <c r="AG33" s="4"/>
      <c r="AH33" s="4"/>
      <c r="AI33" s="4">
        <v>11</v>
      </c>
      <c r="AJ33" s="4"/>
      <c r="AK33" s="4"/>
      <c r="AL33" s="4">
        <v>1970</v>
      </c>
      <c r="AM33" s="4">
        <v>426</v>
      </c>
      <c r="AN33" s="4">
        <v>733</v>
      </c>
      <c r="AO33" s="4">
        <v>3200</v>
      </c>
      <c r="AP33" s="4">
        <v>1640</v>
      </c>
      <c r="AQ33" s="4">
        <v>19.5</v>
      </c>
      <c r="AR33" s="4">
        <v>2310</v>
      </c>
      <c r="AS33" s="4">
        <v>504</v>
      </c>
      <c r="AT33" s="4">
        <v>3150</v>
      </c>
      <c r="AU33" s="4">
        <v>591</v>
      </c>
      <c r="AV33" s="4">
        <v>1670</v>
      </c>
      <c r="AW33" s="4">
        <v>263</v>
      </c>
      <c r="AX33" s="4">
        <v>1760</v>
      </c>
      <c r="AY33" s="4">
        <v>251</v>
      </c>
      <c r="AZ33" s="4"/>
      <c r="BA33" s="4"/>
      <c r="BB33" s="4"/>
      <c r="BC33" s="4"/>
      <c r="BD33" s="4"/>
      <c r="BE33" s="4">
        <v>67.599999999999994</v>
      </c>
      <c r="BF33" s="4"/>
    </row>
    <row r="34" spans="1:58" x14ac:dyDescent="0.2">
      <c r="A34" s="2" t="s">
        <v>387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 t="s">
        <v>388</v>
      </c>
      <c r="Z34" s="4"/>
      <c r="AA34" s="4"/>
      <c r="AB34" s="4"/>
      <c r="AC34" s="4"/>
      <c r="AD34" s="4"/>
      <c r="AE34" s="4"/>
      <c r="AF34" s="4"/>
      <c r="AG34" s="4"/>
      <c r="AH34" s="4"/>
      <c r="AI34" s="4" t="s">
        <v>389</v>
      </c>
      <c r="AJ34" s="4"/>
      <c r="AK34" s="4"/>
      <c r="AL34" s="4">
        <v>1960</v>
      </c>
      <c r="AM34" s="4">
        <v>430</v>
      </c>
      <c r="AN34" s="4" t="s">
        <v>390</v>
      </c>
      <c r="AO34" s="4">
        <v>3430</v>
      </c>
      <c r="AP34" s="4" t="s">
        <v>391</v>
      </c>
      <c r="AQ34" s="4" t="s">
        <v>392</v>
      </c>
      <c r="AR34" s="4" t="s">
        <v>393</v>
      </c>
      <c r="AS34" s="4" t="s">
        <v>394</v>
      </c>
      <c r="AT34" s="4" t="s">
        <v>395</v>
      </c>
      <c r="AU34" s="4" t="s">
        <v>396</v>
      </c>
      <c r="AV34" s="4" t="s">
        <v>397</v>
      </c>
      <c r="AW34" s="4" t="s">
        <v>197</v>
      </c>
      <c r="AX34" s="4">
        <v>1840</v>
      </c>
      <c r="AY34" s="4" t="s">
        <v>398</v>
      </c>
      <c r="AZ34" s="4"/>
      <c r="BA34" s="4"/>
      <c r="BB34" s="4"/>
      <c r="BC34" s="4"/>
      <c r="BD34" s="4"/>
      <c r="BE34" s="4" t="s">
        <v>399</v>
      </c>
      <c r="BF34" s="4"/>
    </row>
    <row r="35" spans="1:58" x14ac:dyDescent="0.2">
      <c r="A35" s="2" t="s">
        <v>400</v>
      </c>
      <c r="B35" s="4">
        <v>69.040000000000006</v>
      </c>
      <c r="C35" s="4">
        <v>16.47</v>
      </c>
      <c r="D35" s="4">
        <v>3.33</v>
      </c>
      <c r="E35" s="4">
        <v>2.5000000000000001E-2</v>
      </c>
      <c r="F35" s="4">
        <v>0.26</v>
      </c>
      <c r="G35" s="4">
        <v>7.0000000000000007E-2</v>
      </c>
      <c r="H35" s="4">
        <v>0.32</v>
      </c>
      <c r="I35" s="4">
        <v>6.02</v>
      </c>
      <c r="J35" s="4">
        <v>0.36</v>
      </c>
      <c r="K35" s="4">
        <v>0.06</v>
      </c>
      <c r="L35" s="4">
        <v>4.51</v>
      </c>
      <c r="M35" s="4">
        <v>100.4</v>
      </c>
      <c r="N35" s="4">
        <v>6</v>
      </c>
      <c r="O35" s="4">
        <v>1</v>
      </c>
      <c r="P35" s="4">
        <v>38</v>
      </c>
      <c r="Q35" s="4" t="s">
        <v>69</v>
      </c>
      <c r="R35" s="4">
        <v>5</v>
      </c>
      <c r="S35" s="4" t="s">
        <v>69</v>
      </c>
      <c r="T35" s="4">
        <v>30</v>
      </c>
      <c r="U35" s="4" t="s">
        <v>70</v>
      </c>
      <c r="V35" s="4">
        <v>20</v>
      </c>
      <c r="W35" s="4">
        <v>1</v>
      </c>
      <c r="X35" s="4" t="s">
        <v>71</v>
      </c>
      <c r="Y35" s="4">
        <v>136</v>
      </c>
      <c r="Z35" s="4">
        <v>137</v>
      </c>
      <c r="AA35" s="4">
        <v>15</v>
      </c>
      <c r="AB35" s="4">
        <v>237</v>
      </c>
      <c r="AC35" s="4">
        <v>5</v>
      </c>
      <c r="AD35" s="4" t="s">
        <v>72</v>
      </c>
      <c r="AE35" s="4">
        <v>0.5</v>
      </c>
      <c r="AF35" s="4" t="s">
        <v>73</v>
      </c>
      <c r="AG35" s="4">
        <v>2</v>
      </c>
      <c r="AH35" s="4" t="s">
        <v>74</v>
      </c>
      <c r="AI35" s="4">
        <v>1.2</v>
      </c>
      <c r="AJ35" s="4">
        <v>605</v>
      </c>
      <c r="AK35" s="4" t="s">
        <v>75</v>
      </c>
      <c r="AL35" s="4">
        <v>218</v>
      </c>
      <c r="AM35" s="4">
        <v>382</v>
      </c>
      <c r="AN35" s="4">
        <v>43.6</v>
      </c>
      <c r="AO35" s="4">
        <v>133</v>
      </c>
      <c r="AP35" s="4">
        <v>15.3</v>
      </c>
      <c r="AQ35" s="4">
        <v>2.02</v>
      </c>
      <c r="AR35" s="4">
        <v>6.7</v>
      </c>
      <c r="AS35" s="4">
        <v>0.7</v>
      </c>
      <c r="AT35" s="4">
        <v>3.6</v>
      </c>
      <c r="AU35" s="4">
        <v>0.6</v>
      </c>
      <c r="AV35" s="4">
        <v>1.9</v>
      </c>
      <c r="AW35" s="4">
        <v>0.25</v>
      </c>
      <c r="AX35" s="4">
        <v>1.8</v>
      </c>
      <c r="AY35" s="4">
        <v>0.28999999999999998</v>
      </c>
      <c r="AZ35" s="4">
        <v>6.3</v>
      </c>
      <c r="BA35" s="4">
        <v>0.5</v>
      </c>
      <c r="BB35" s="4" t="s">
        <v>68</v>
      </c>
      <c r="BC35" s="4">
        <v>0.5</v>
      </c>
      <c r="BD35" s="4">
        <v>32</v>
      </c>
      <c r="BE35" s="4">
        <v>53.9</v>
      </c>
      <c r="BF35" s="4">
        <v>2.9</v>
      </c>
    </row>
    <row r="36" spans="1:58" x14ac:dyDescent="0.2">
      <c r="A36" s="2" t="s">
        <v>401</v>
      </c>
      <c r="B36" s="4">
        <v>68.94</v>
      </c>
      <c r="C36" s="4">
        <v>16.55</v>
      </c>
      <c r="D36" s="4">
        <v>3.38</v>
      </c>
      <c r="E36" s="4">
        <v>2.5000000000000001E-2</v>
      </c>
      <c r="F36" s="4">
        <v>0.26</v>
      </c>
      <c r="G36" s="4">
        <v>7.0000000000000007E-2</v>
      </c>
      <c r="H36" s="4">
        <v>0.32</v>
      </c>
      <c r="I36" s="4">
        <v>6.04</v>
      </c>
      <c r="J36" s="4">
        <v>0.36599999999999999</v>
      </c>
      <c r="K36" s="4">
        <v>0.04</v>
      </c>
      <c r="L36" s="4">
        <v>4.51</v>
      </c>
      <c r="M36" s="4">
        <v>100.5</v>
      </c>
      <c r="N36" s="4">
        <v>6</v>
      </c>
      <c r="O36" s="4">
        <v>1</v>
      </c>
      <c r="P36" s="4">
        <v>39</v>
      </c>
      <c r="Q36" s="4" t="s">
        <v>69</v>
      </c>
      <c r="R36" s="4">
        <v>5</v>
      </c>
      <c r="S36" s="4" t="s">
        <v>69</v>
      </c>
      <c r="T36" s="4">
        <v>30</v>
      </c>
      <c r="U36" s="4" t="s">
        <v>70</v>
      </c>
      <c r="V36" s="4">
        <v>20</v>
      </c>
      <c r="W36" s="4">
        <v>1</v>
      </c>
      <c r="X36" s="4" t="s">
        <v>71</v>
      </c>
      <c r="Y36" s="4">
        <v>135</v>
      </c>
      <c r="Z36" s="4">
        <v>140</v>
      </c>
      <c r="AA36" s="4">
        <v>15</v>
      </c>
      <c r="AB36" s="4">
        <v>247</v>
      </c>
      <c r="AC36" s="4">
        <v>5</v>
      </c>
      <c r="AD36" s="4" t="s">
        <v>72</v>
      </c>
      <c r="AE36" s="4">
        <v>0.7</v>
      </c>
      <c r="AF36" s="4" t="s">
        <v>73</v>
      </c>
      <c r="AG36" s="4">
        <v>2</v>
      </c>
      <c r="AH36" s="4" t="s">
        <v>74</v>
      </c>
      <c r="AI36" s="4">
        <v>1.3</v>
      </c>
      <c r="AJ36" s="4">
        <v>605</v>
      </c>
      <c r="AK36" s="4" t="s">
        <v>75</v>
      </c>
      <c r="AL36" s="4">
        <v>221</v>
      </c>
      <c r="AM36" s="4">
        <v>380</v>
      </c>
      <c r="AN36" s="4">
        <v>42.9</v>
      </c>
      <c r="AO36" s="4">
        <v>133</v>
      </c>
      <c r="AP36" s="4">
        <v>14.9</v>
      </c>
      <c r="AQ36" s="4">
        <v>2.11</v>
      </c>
      <c r="AR36" s="4">
        <v>6.5</v>
      </c>
      <c r="AS36" s="4">
        <v>0.7</v>
      </c>
      <c r="AT36" s="4">
        <v>3.5</v>
      </c>
      <c r="AU36" s="4">
        <v>0.6</v>
      </c>
      <c r="AV36" s="4">
        <v>1.9</v>
      </c>
      <c r="AW36" s="4">
        <v>0.26</v>
      </c>
      <c r="AX36" s="4">
        <v>1.7</v>
      </c>
      <c r="AY36" s="4">
        <v>0.28000000000000003</v>
      </c>
      <c r="AZ36" s="4">
        <v>6.4</v>
      </c>
      <c r="BA36" s="4">
        <v>0.5</v>
      </c>
      <c r="BB36" s="4">
        <v>2</v>
      </c>
      <c r="BC36" s="4">
        <v>0.6</v>
      </c>
      <c r="BD36" s="4">
        <v>30</v>
      </c>
      <c r="BE36" s="4">
        <v>53.8</v>
      </c>
      <c r="BF36" s="4">
        <v>2.9</v>
      </c>
    </row>
    <row r="37" spans="1:58" x14ac:dyDescent="0.2">
      <c r="A37" s="2" t="s">
        <v>402</v>
      </c>
      <c r="B37" s="4">
        <v>68.61</v>
      </c>
      <c r="C37" s="4">
        <v>16.809999999999999</v>
      </c>
      <c r="D37" s="4">
        <v>4.03</v>
      </c>
      <c r="E37" s="4">
        <v>5.7000000000000002E-2</v>
      </c>
      <c r="F37" s="4">
        <v>0.92</v>
      </c>
      <c r="G37" s="4">
        <v>0.2</v>
      </c>
      <c r="H37" s="4">
        <v>0.15</v>
      </c>
      <c r="I37" s="4">
        <v>2.69</v>
      </c>
      <c r="J37" s="4">
        <v>0.32400000000000001</v>
      </c>
      <c r="K37" s="4" t="s">
        <v>94</v>
      </c>
      <c r="L37" s="4">
        <v>5.93</v>
      </c>
      <c r="M37" s="4">
        <v>99.72</v>
      </c>
      <c r="N37" s="4">
        <v>9</v>
      </c>
      <c r="O37" s="4">
        <v>2</v>
      </c>
      <c r="P37" s="4">
        <v>56</v>
      </c>
      <c r="Q37" s="4" t="s">
        <v>69</v>
      </c>
      <c r="R37" s="4">
        <v>9</v>
      </c>
      <c r="S37" s="4" t="s">
        <v>69</v>
      </c>
      <c r="T37" s="4">
        <v>20</v>
      </c>
      <c r="U37" s="4">
        <v>60</v>
      </c>
      <c r="V37" s="4">
        <v>18</v>
      </c>
      <c r="W37" s="4">
        <v>2</v>
      </c>
      <c r="X37" s="4" t="s">
        <v>71</v>
      </c>
      <c r="Y37" s="4">
        <v>106</v>
      </c>
      <c r="Z37" s="4">
        <v>40</v>
      </c>
      <c r="AA37" s="4">
        <v>8</v>
      </c>
      <c r="AB37" s="4">
        <v>98</v>
      </c>
      <c r="AC37" s="4">
        <v>4</v>
      </c>
      <c r="AD37" s="4" t="s">
        <v>72</v>
      </c>
      <c r="AE37" s="4" t="s">
        <v>74</v>
      </c>
      <c r="AF37" s="4" t="s">
        <v>73</v>
      </c>
      <c r="AG37" s="4">
        <v>2</v>
      </c>
      <c r="AH37" s="4" t="s">
        <v>74</v>
      </c>
      <c r="AI37" s="4">
        <v>2.2000000000000002</v>
      </c>
      <c r="AJ37" s="4">
        <v>461</v>
      </c>
      <c r="AK37" s="4" t="s">
        <v>75</v>
      </c>
      <c r="AL37" s="4">
        <v>19.5</v>
      </c>
      <c r="AM37" s="4">
        <v>39.799999999999997</v>
      </c>
      <c r="AN37" s="4">
        <v>3.8</v>
      </c>
      <c r="AO37" s="4">
        <v>13.5</v>
      </c>
      <c r="AP37" s="4">
        <v>2.1</v>
      </c>
      <c r="AQ37" s="4">
        <v>0.49</v>
      </c>
      <c r="AR37" s="4">
        <v>1.6</v>
      </c>
      <c r="AS37" s="4">
        <v>0.2</v>
      </c>
      <c r="AT37" s="4">
        <v>1.4</v>
      </c>
      <c r="AU37" s="4">
        <v>0.3</v>
      </c>
      <c r="AV37" s="4">
        <v>0.8</v>
      </c>
      <c r="AW37" s="4">
        <v>0.13</v>
      </c>
      <c r="AX37" s="4">
        <v>0.9</v>
      </c>
      <c r="AY37" s="4">
        <v>0.17</v>
      </c>
      <c r="AZ37" s="4">
        <v>2.9</v>
      </c>
      <c r="BA37" s="4">
        <v>0.3</v>
      </c>
      <c r="BB37" s="4" t="s">
        <v>68</v>
      </c>
      <c r="BC37" s="4">
        <v>0.5</v>
      </c>
      <c r="BD37" s="4">
        <v>18</v>
      </c>
      <c r="BE37" s="4">
        <v>9.6999999999999993</v>
      </c>
      <c r="BF37" s="4">
        <v>0.9</v>
      </c>
    </row>
    <row r="38" spans="1:58" x14ac:dyDescent="0.2">
      <c r="A38" s="2" t="s">
        <v>403</v>
      </c>
      <c r="B38" s="4">
        <v>68.47</v>
      </c>
      <c r="C38" s="4">
        <v>16.329999999999998</v>
      </c>
      <c r="D38" s="4">
        <v>4.08</v>
      </c>
      <c r="E38" s="4">
        <v>5.8000000000000003E-2</v>
      </c>
      <c r="F38" s="4">
        <v>0.92</v>
      </c>
      <c r="G38" s="4">
        <v>0.2</v>
      </c>
      <c r="H38" s="4">
        <v>0.14000000000000001</v>
      </c>
      <c r="I38" s="4">
        <v>2.68</v>
      </c>
      <c r="J38" s="4">
        <v>0.30499999999999999</v>
      </c>
      <c r="K38" s="4" t="s">
        <v>94</v>
      </c>
      <c r="L38" s="4">
        <v>5.93</v>
      </c>
      <c r="M38" s="4">
        <v>99.11</v>
      </c>
      <c r="N38" s="4">
        <v>9</v>
      </c>
      <c r="O38" s="4">
        <v>2</v>
      </c>
      <c r="P38" s="4">
        <v>58</v>
      </c>
      <c r="Q38" s="4" t="s">
        <v>69</v>
      </c>
      <c r="R38" s="4">
        <v>9</v>
      </c>
      <c r="S38" s="4" t="s">
        <v>69</v>
      </c>
      <c r="T38" s="4">
        <v>20</v>
      </c>
      <c r="U38" s="4">
        <v>60</v>
      </c>
      <c r="V38" s="4">
        <v>17</v>
      </c>
      <c r="W38" s="4">
        <v>2</v>
      </c>
      <c r="X38" s="4" t="s">
        <v>71</v>
      </c>
      <c r="Y38" s="4">
        <v>104</v>
      </c>
      <c r="Z38" s="4">
        <v>40</v>
      </c>
      <c r="AA38" s="4">
        <v>8</v>
      </c>
      <c r="AB38" s="4">
        <v>94</v>
      </c>
      <c r="AC38" s="4">
        <v>4</v>
      </c>
      <c r="AD38" s="4" t="s">
        <v>72</v>
      </c>
      <c r="AE38" s="4" t="s">
        <v>74</v>
      </c>
      <c r="AF38" s="4" t="s">
        <v>73</v>
      </c>
      <c r="AG38" s="4">
        <v>2</v>
      </c>
      <c r="AH38" s="4" t="s">
        <v>74</v>
      </c>
      <c r="AI38" s="4">
        <v>2.2000000000000002</v>
      </c>
      <c r="AJ38" s="4">
        <v>458</v>
      </c>
      <c r="AK38" s="4" t="s">
        <v>75</v>
      </c>
      <c r="AL38" s="4">
        <v>18.399999999999999</v>
      </c>
      <c r="AM38" s="4">
        <v>37.700000000000003</v>
      </c>
      <c r="AN38" s="4">
        <v>3.74</v>
      </c>
      <c r="AO38" s="4">
        <v>12.4</v>
      </c>
      <c r="AP38" s="4">
        <v>1.9</v>
      </c>
      <c r="AQ38" s="4">
        <v>0.46</v>
      </c>
      <c r="AR38" s="4">
        <v>1.4</v>
      </c>
      <c r="AS38" s="4">
        <v>0.2</v>
      </c>
      <c r="AT38" s="4">
        <v>1.3</v>
      </c>
      <c r="AU38" s="4">
        <v>0.3</v>
      </c>
      <c r="AV38" s="4">
        <v>0.9</v>
      </c>
      <c r="AW38" s="4">
        <v>0.13</v>
      </c>
      <c r="AX38" s="4">
        <v>0.9</v>
      </c>
      <c r="AY38" s="4">
        <v>0.16</v>
      </c>
      <c r="AZ38" s="4">
        <v>2.7</v>
      </c>
      <c r="BA38" s="4">
        <v>0.3</v>
      </c>
      <c r="BB38" s="4" t="s">
        <v>68</v>
      </c>
      <c r="BC38" s="4">
        <v>0.4</v>
      </c>
      <c r="BD38" s="4">
        <v>17</v>
      </c>
      <c r="BE38" s="4">
        <v>9</v>
      </c>
      <c r="BF38" s="4">
        <v>0.9</v>
      </c>
    </row>
    <row r="39" spans="1:58" x14ac:dyDescent="0.2">
      <c r="A39" s="2" t="s">
        <v>404</v>
      </c>
      <c r="B39" s="4">
        <v>58.49</v>
      </c>
      <c r="C39" s="4">
        <v>20.76</v>
      </c>
      <c r="D39" s="4">
        <v>8.85</v>
      </c>
      <c r="E39" s="4">
        <v>0.16500000000000001</v>
      </c>
      <c r="F39" s="4">
        <v>0.9</v>
      </c>
      <c r="G39" s="4">
        <v>0.01</v>
      </c>
      <c r="H39" s="4">
        <v>0.04</v>
      </c>
      <c r="I39" s="4">
        <v>0.77</v>
      </c>
      <c r="J39" s="4">
        <v>0.68400000000000005</v>
      </c>
      <c r="K39" s="4">
        <v>0.02</v>
      </c>
      <c r="L39" s="4">
        <v>9.4700000000000006</v>
      </c>
      <c r="M39" s="4">
        <v>100.2</v>
      </c>
      <c r="N39" s="4">
        <v>27</v>
      </c>
      <c r="O39" s="4">
        <v>2</v>
      </c>
      <c r="P39" s="4">
        <v>129</v>
      </c>
      <c r="Q39" s="4" t="s">
        <v>69</v>
      </c>
      <c r="R39" s="4">
        <v>39</v>
      </c>
      <c r="S39" s="4" t="s">
        <v>69</v>
      </c>
      <c r="T39" s="4">
        <v>60</v>
      </c>
      <c r="U39" s="4">
        <v>90</v>
      </c>
      <c r="V39" s="4">
        <v>18</v>
      </c>
      <c r="W39" s="4">
        <v>1</v>
      </c>
      <c r="X39" s="4" t="s">
        <v>71</v>
      </c>
      <c r="Y39" s="4">
        <v>40</v>
      </c>
      <c r="Z39" s="4" t="s">
        <v>72</v>
      </c>
      <c r="AA39" s="4">
        <v>15</v>
      </c>
      <c r="AB39" s="4">
        <v>141</v>
      </c>
      <c r="AC39" s="4">
        <v>3</v>
      </c>
      <c r="AD39" s="4" t="s">
        <v>72</v>
      </c>
      <c r="AE39" s="4" t="s">
        <v>74</v>
      </c>
      <c r="AF39" s="4" t="s">
        <v>73</v>
      </c>
      <c r="AG39" s="4" t="s">
        <v>68</v>
      </c>
      <c r="AH39" s="4" t="s">
        <v>74</v>
      </c>
      <c r="AI39" s="4">
        <v>1.6</v>
      </c>
      <c r="AJ39" s="4">
        <v>152</v>
      </c>
      <c r="AK39" s="4" t="s">
        <v>75</v>
      </c>
      <c r="AL39" s="4">
        <v>17.7</v>
      </c>
      <c r="AM39" s="4">
        <v>36.6</v>
      </c>
      <c r="AN39" s="4">
        <v>4.26</v>
      </c>
      <c r="AO39" s="4">
        <v>17</v>
      </c>
      <c r="AP39" s="4">
        <v>3.5</v>
      </c>
      <c r="AQ39" s="4">
        <v>0.98</v>
      </c>
      <c r="AR39" s="4">
        <v>2.9</v>
      </c>
      <c r="AS39" s="4">
        <v>0.5</v>
      </c>
      <c r="AT39" s="4">
        <v>3</v>
      </c>
      <c r="AU39" s="4">
        <v>0.6</v>
      </c>
      <c r="AV39" s="4">
        <v>1.8</v>
      </c>
      <c r="AW39" s="4">
        <v>0.27</v>
      </c>
      <c r="AX39" s="4">
        <v>1.9</v>
      </c>
      <c r="AY39" s="4">
        <v>0.3</v>
      </c>
      <c r="AZ39" s="4">
        <v>3.5</v>
      </c>
      <c r="BA39" s="4">
        <v>0.2</v>
      </c>
      <c r="BB39" s="4" t="s">
        <v>68</v>
      </c>
      <c r="BC39" s="4" t="s">
        <v>79</v>
      </c>
      <c r="BD39" s="4">
        <v>172</v>
      </c>
      <c r="BE39" s="4">
        <v>2.7</v>
      </c>
      <c r="BF39" s="4">
        <v>0.6</v>
      </c>
    </row>
    <row r="40" spans="1:58" x14ac:dyDescent="0.2">
      <c r="A40" s="2" t="s">
        <v>405</v>
      </c>
      <c r="B40" s="4">
        <v>58.48</v>
      </c>
      <c r="C40" s="4">
        <v>20.96</v>
      </c>
      <c r="D40" s="4">
        <v>8.94</v>
      </c>
      <c r="E40" s="4">
        <v>0.16600000000000001</v>
      </c>
      <c r="F40" s="4">
        <v>0.9</v>
      </c>
      <c r="G40" s="4">
        <v>0.01</v>
      </c>
      <c r="H40" s="4">
        <v>0.04</v>
      </c>
      <c r="I40" s="4">
        <v>0.75</v>
      </c>
      <c r="J40" s="4">
        <v>0.68600000000000005</v>
      </c>
      <c r="K40" s="4">
        <v>0.03</v>
      </c>
      <c r="L40" s="4">
        <v>9.4700000000000006</v>
      </c>
      <c r="M40" s="4">
        <v>100.4</v>
      </c>
      <c r="N40" s="4">
        <v>27</v>
      </c>
      <c r="O40" s="4">
        <v>2</v>
      </c>
      <c r="P40" s="4">
        <v>127</v>
      </c>
      <c r="Q40" s="4" t="s">
        <v>69</v>
      </c>
      <c r="R40" s="4">
        <v>41</v>
      </c>
      <c r="S40" s="4" t="s">
        <v>69</v>
      </c>
      <c r="T40" s="4">
        <v>60</v>
      </c>
      <c r="U40" s="4">
        <v>100</v>
      </c>
      <c r="V40" s="4">
        <v>19</v>
      </c>
      <c r="W40" s="4">
        <v>1</v>
      </c>
      <c r="X40" s="4" t="s">
        <v>71</v>
      </c>
      <c r="Y40" s="4">
        <v>42</v>
      </c>
      <c r="Z40" s="4" t="s">
        <v>72</v>
      </c>
      <c r="AA40" s="4">
        <v>15</v>
      </c>
      <c r="AB40" s="4">
        <v>143</v>
      </c>
      <c r="AC40" s="4">
        <v>3</v>
      </c>
      <c r="AD40" s="4" t="s">
        <v>72</v>
      </c>
      <c r="AE40" s="4" t="s">
        <v>74</v>
      </c>
      <c r="AF40" s="4" t="s">
        <v>73</v>
      </c>
      <c r="AG40" s="4" t="s">
        <v>68</v>
      </c>
      <c r="AH40" s="4" t="s">
        <v>74</v>
      </c>
      <c r="AI40" s="4">
        <v>1.7</v>
      </c>
      <c r="AJ40" s="4">
        <v>151</v>
      </c>
      <c r="AK40" s="4" t="s">
        <v>75</v>
      </c>
      <c r="AL40" s="4">
        <v>18</v>
      </c>
      <c r="AM40" s="4">
        <v>37</v>
      </c>
      <c r="AN40" s="4">
        <v>4.41</v>
      </c>
      <c r="AO40" s="4">
        <v>17</v>
      </c>
      <c r="AP40" s="4">
        <v>3.6</v>
      </c>
      <c r="AQ40" s="4">
        <v>0.98</v>
      </c>
      <c r="AR40" s="4">
        <v>3.2</v>
      </c>
      <c r="AS40" s="4">
        <v>0.5</v>
      </c>
      <c r="AT40" s="4">
        <v>3</v>
      </c>
      <c r="AU40" s="4">
        <v>0.6</v>
      </c>
      <c r="AV40" s="4">
        <v>1.8</v>
      </c>
      <c r="AW40" s="4">
        <v>0.28000000000000003</v>
      </c>
      <c r="AX40" s="4">
        <v>1.9</v>
      </c>
      <c r="AY40" s="4">
        <v>0.3</v>
      </c>
      <c r="AZ40" s="4">
        <v>3.6</v>
      </c>
      <c r="BA40" s="4">
        <v>0.2</v>
      </c>
      <c r="BB40" s="4" t="s">
        <v>68</v>
      </c>
      <c r="BC40" s="4" t="s">
        <v>79</v>
      </c>
      <c r="BD40" s="4">
        <v>150</v>
      </c>
      <c r="BE40" s="4">
        <v>2.7</v>
      </c>
      <c r="BF40" s="4">
        <v>0.6</v>
      </c>
    </row>
    <row r="41" spans="1:58" x14ac:dyDescent="0.2">
      <c r="A41" s="2" t="s">
        <v>406</v>
      </c>
      <c r="B41" s="4">
        <v>62.92</v>
      </c>
      <c r="C41" s="4">
        <v>19.25</v>
      </c>
      <c r="D41" s="4">
        <v>6.89</v>
      </c>
      <c r="E41" s="4">
        <v>0.12</v>
      </c>
      <c r="F41" s="4">
        <v>0.25</v>
      </c>
      <c r="G41" s="4">
        <v>0.05</v>
      </c>
      <c r="H41" s="4">
        <v>0.1</v>
      </c>
      <c r="I41" s="4">
        <v>0.71</v>
      </c>
      <c r="J41" s="4">
        <v>0.79500000000000004</v>
      </c>
      <c r="K41" s="4">
        <v>0.05</v>
      </c>
      <c r="L41" s="4">
        <v>9.23</v>
      </c>
      <c r="M41" s="4">
        <v>100.3</v>
      </c>
      <c r="N41" s="4">
        <v>19</v>
      </c>
      <c r="O41" s="4">
        <v>1</v>
      </c>
      <c r="P41" s="4">
        <v>121</v>
      </c>
      <c r="Q41" s="4">
        <v>40</v>
      </c>
      <c r="R41" s="4">
        <v>18</v>
      </c>
      <c r="S41" s="4" t="s">
        <v>69</v>
      </c>
      <c r="T41" s="4">
        <v>40</v>
      </c>
      <c r="U41" s="4">
        <v>60</v>
      </c>
      <c r="V41" s="4">
        <v>20</v>
      </c>
      <c r="W41" s="4">
        <v>1</v>
      </c>
      <c r="X41" s="4" t="s">
        <v>71</v>
      </c>
      <c r="Y41" s="4">
        <v>55</v>
      </c>
      <c r="Z41" s="4">
        <v>27</v>
      </c>
      <c r="AA41" s="4">
        <v>11</v>
      </c>
      <c r="AB41" s="4">
        <v>236</v>
      </c>
      <c r="AC41" s="4">
        <v>8</v>
      </c>
      <c r="AD41" s="4" t="s">
        <v>72</v>
      </c>
      <c r="AE41" s="4" t="s">
        <v>74</v>
      </c>
      <c r="AF41" s="4" t="s">
        <v>73</v>
      </c>
      <c r="AG41" s="4">
        <v>1</v>
      </c>
      <c r="AH41" s="4" t="s">
        <v>74</v>
      </c>
      <c r="AI41" s="4">
        <v>3.1</v>
      </c>
      <c r="AJ41" s="4">
        <v>227</v>
      </c>
      <c r="AK41" s="4" t="s">
        <v>75</v>
      </c>
      <c r="AL41" s="4">
        <v>12.4</v>
      </c>
      <c r="AM41" s="4">
        <v>64.400000000000006</v>
      </c>
      <c r="AN41" s="4">
        <v>3.6</v>
      </c>
      <c r="AO41" s="4">
        <v>14</v>
      </c>
      <c r="AP41" s="4">
        <v>3</v>
      </c>
      <c r="AQ41" s="4">
        <v>0.78</v>
      </c>
      <c r="AR41" s="4">
        <v>2.5</v>
      </c>
      <c r="AS41" s="4">
        <v>0.4</v>
      </c>
      <c r="AT41" s="4">
        <v>2.4</v>
      </c>
      <c r="AU41" s="4">
        <v>0.5</v>
      </c>
      <c r="AV41" s="4">
        <v>1.5</v>
      </c>
      <c r="AW41" s="4">
        <v>0.23</v>
      </c>
      <c r="AX41" s="4">
        <v>1.8</v>
      </c>
      <c r="AY41" s="4">
        <v>0.28000000000000003</v>
      </c>
      <c r="AZ41" s="4">
        <v>5.4</v>
      </c>
      <c r="BA41" s="4">
        <v>0.6</v>
      </c>
      <c r="BB41" s="4" t="s">
        <v>68</v>
      </c>
      <c r="BC41" s="4">
        <v>0.1</v>
      </c>
      <c r="BD41" s="4">
        <v>74</v>
      </c>
      <c r="BE41" s="4">
        <v>8.3000000000000007</v>
      </c>
      <c r="BF41" s="4">
        <v>2</v>
      </c>
    </row>
    <row r="42" spans="1:58" x14ac:dyDescent="0.2">
      <c r="A42" s="2" t="s">
        <v>407</v>
      </c>
      <c r="B42" s="4">
        <v>62.54</v>
      </c>
      <c r="C42" s="4">
        <v>19.7</v>
      </c>
      <c r="D42" s="4">
        <v>7.05</v>
      </c>
      <c r="E42" s="4">
        <v>0.122</v>
      </c>
      <c r="F42" s="4">
        <v>0.26</v>
      </c>
      <c r="G42" s="4">
        <v>0.05</v>
      </c>
      <c r="H42" s="4">
        <v>0.1</v>
      </c>
      <c r="I42" s="4">
        <v>0.71</v>
      </c>
      <c r="J42" s="4">
        <v>0.81100000000000005</v>
      </c>
      <c r="K42" s="4">
        <v>0.06</v>
      </c>
      <c r="L42" s="4">
        <v>9.23</v>
      </c>
      <c r="M42" s="4">
        <v>100.6</v>
      </c>
      <c r="N42" s="4">
        <v>19</v>
      </c>
      <c r="O42" s="4">
        <v>1</v>
      </c>
      <c r="P42" s="4">
        <v>121</v>
      </c>
      <c r="Q42" s="4">
        <v>30</v>
      </c>
      <c r="R42" s="4">
        <v>18</v>
      </c>
      <c r="S42" s="4" t="s">
        <v>69</v>
      </c>
      <c r="T42" s="4">
        <v>40</v>
      </c>
      <c r="U42" s="4">
        <v>60</v>
      </c>
      <c r="V42" s="4">
        <v>19</v>
      </c>
      <c r="W42" s="4">
        <v>1</v>
      </c>
      <c r="X42" s="4" t="s">
        <v>71</v>
      </c>
      <c r="Y42" s="4">
        <v>55</v>
      </c>
      <c r="Z42" s="4">
        <v>28</v>
      </c>
      <c r="AA42" s="4">
        <v>10</v>
      </c>
      <c r="AB42" s="4">
        <v>236</v>
      </c>
      <c r="AC42" s="4">
        <v>8</v>
      </c>
      <c r="AD42" s="4">
        <v>2</v>
      </c>
      <c r="AE42" s="4" t="s">
        <v>74</v>
      </c>
      <c r="AF42" s="4" t="s">
        <v>73</v>
      </c>
      <c r="AG42" s="4">
        <v>1</v>
      </c>
      <c r="AH42" s="4" t="s">
        <v>74</v>
      </c>
      <c r="AI42" s="4">
        <v>3.1</v>
      </c>
      <c r="AJ42" s="4">
        <v>228</v>
      </c>
      <c r="AK42" s="4" t="s">
        <v>75</v>
      </c>
      <c r="AL42" s="4">
        <v>12.8</v>
      </c>
      <c r="AM42" s="4">
        <v>64.900000000000006</v>
      </c>
      <c r="AN42" s="4">
        <v>3.57</v>
      </c>
      <c r="AO42" s="4">
        <v>13.8</v>
      </c>
      <c r="AP42" s="4">
        <v>2.9</v>
      </c>
      <c r="AQ42" s="4">
        <v>0.79</v>
      </c>
      <c r="AR42" s="4">
        <v>2.4</v>
      </c>
      <c r="AS42" s="4">
        <v>0.4</v>
      </c>
      <c r="AT42" s="4">
        <v>2.6</v>
      </c>
      <c r="AU42" s="4">
        <v>0.5</v>
      </c>
      <c r="AV42" s="4">
        <v>1.5</v>
      </c>
      <c r="AW42" s="4">
        <v>0.24</v>
      </c>
      <c r="AX42" s="4">
        <v>1.7</v>
      </c>
      <c r="AY42" s="4">
        <v>0.28000000000000003</v>
      </c>
      <c r="AZ42" s="4">
        <v>5.5</v>
      </c>
      <c r="BA42" s="4">
        <v>0.6</v>
      </c>
      <c r="BB42" s="4" t="s">
        <v>68</v>
      </c>
      <c r="BC42" s="4">
        <v>0.1</v>
      </c>
      <c r="BD42" s="4">
        <v>76</v>
      </c>
      <c r="BE42" s="4">
        <v>8.3000000000000007</v>
      </c>
      <c r="BF42" s="4">
        <v>2</v>
      </c>
    </row>
    <row r="43" spans="1:58" x14ac:dyDescent="0.2">
      <c r="A43" s="2" t="s">
        <v>408</v>
      </c>
      <c r="B43" s="4">
        <v>66.319999999999993</v>
      </c>
      <c r="C43" s="4">
        <v>15.62</v>
      </c>
      <c r="D43" s="4">
        <v>5.09</v>
      </c>
      <c r="E43" s="4">
        <v>9.4E-2</v>
      </c>
      <c r="F43" s="4">
        <v>1.87</v>
      </c>
      <c r="G43" s="4">
        <v>2.5</v>
      </c>
      <c r="H43" s="4">
        <v>4.08</v>
      </c>
      <c r="I43" s="4">
        <v>1.61</v>
      </c>
      <c r="J43" s="4">
        <v>0.66700000000000004</v>
      </c>
      <c r="K43" s="4">
        <v>0.19</v>
      </c>
      <c r="L43" s="4">
        <v>2.0499999999999998</v>
      </c>
      <c r="M43" s="4">
        <v>100.1</v>
      </c>
      <c r="N43" s="4">
        <v>11</v>
      </c>
      <c r="O43" s="4">
        <v>2</v>
      </c>
      <c r="P43" s="4">
        <v>78</v>
      </c>
      <c r="Q43" s="4">
        <v>20</v>
      </c>
      <c r="R43" s="4">
        <v>8</v>
      </c>
      <c r="S43" s="4" t="s">
        <v>69</v>
      </c>
      <c r="T43" s="4" t="s">
        <v>114</v>
      </c>
      <c r="U43" s="4">
        <v>60</v>
      </c>
      <c r="V43" s="4">
        <v>12</v>
      </c>
      <c r="W43" s="4" t="s">
        <v>68</v>
      </c>
      <c r="X43" s="4" t="s">
        <v>71</v>
      </c>
      <c r="Y43" s="4">
        <v>66</v>
      </c>
      <c r="Z43" s="4">
        <v>384</v>
      </c>
      <c r="AA43" s="4">
        <v>13</v>
      </c>
      <c r="AB43" s="4">
        <v>174</v>
      </c>
      <c r="AC43" s="4">
        <v>5</v>
      </c>
      <c r="AD43" s="4" t="s">
        <v>72</v>
      </c>
      <c r="AE43" s="4" t="s">
        <v>74</v>
      </c>
      <c r="AF43" s="4" t="s">
        <v>73</v>
      </c>
      <c r="AG43" s="4">
        <v>1</v>
      </c>
      <c r="AH43" s="4" t="s">
        <v>74</v>
      </c>
      <c r="AI43" s="4">
        <v>1.3</v>
      </c>
      <c r="AJ43" s="4">
        <v>390</v>
      </c>
      <c r="AK43" s="4" t="s">
        <v>75</v>
      </c>
      <c r="AL43" s="4">
        <v>24.6</v>
      </c>
      <c r="AM43" s="4">
        <v>47.3</v>
      </c>
      <c r="AN43" s="4">
        <v>6.17</v>
      </c>
      <c r="AO43" s="4">
        <v>23.3</v>
      </c>
      <c r="AP43" s="4">
        <v>4.5</v>
      </c>
      <c r="AQ43" s="4">
        <v>1.27</v>
      </c>
      <c r="AR43" s="4">
        <v>3.4</v>
      </c>
      <c r="AS43" s="4">
        <v>0.5</v>
      </c>
      <c r="AT43" s="4">
        <v>2.5</v>
      </c>
      <c r="AU43" s="4">
        <v>0.5</v>
      </c>
      <c r="AV43" s="4">
        <v>1.3</v>
      </c>
      <c r="AW43" s="4">
        <v>0.18</v>
      </c>
      <c r="AX43" s="4">
        <v>1.1000000000000001</v>
      </c>
      <c r="AY43" s="4">
        <v>0.17</v>
      </c>
      <c r="AZ43" s="4">
        <v>4.2</v>
      </c>
      <c r="BA43" s="4">
        <v>0.3</v>
      </c>
      <c r="BB43" s="4" t="s">
        <v>68</v>
      </c>
      <c r="BC43" s="4">
        <v>0.2</v>
      </c>
      <c r="BD43" s="4">
        <v>21</v>
      </c>
      <c r="BE43" s="4">
        <v>4.0999999999999996</v>
      </c>
      <c r="BF43" s="4">
        <v>0.7</v>
      </c>
    </row>
    <row r="44" spans="1:58" x14ac:dyDescent="0.2">
      <c r="A44" s="2" t="s">
        <v>409</v>
      </c>
      <c r="B44" s="4">
        <v>66.27</v>
      </c>
      <c r="C44" s="4">
        <v>14.87</v>
      </c>
      <c r="D44" s="4">
        <v>4.9800000000000004</v>
      </c>
      <c r="E44" s="4">
        <v>0.09</v>
      </c>
      <c r="F44" s="4">
        <v>1.86</v>
      </c>
      <c r="G44" s="4">
        <v>2.48</v>
      </c>
      <c r="H44" s="4">
        <v>4.08</v>
      </c>
      <c r="I44" s="4">
        <v>1.62</v>
      </c>
      <c r="J44" s="4">
        <v>0.64800000000000002</v>
      </c>
      <c r="K44" s="4">
        <v>0.14000000000000001</v>
      </c>
      <c r="L44" s="4">
        <v>2.0499999999999998</v>
      </c>
      <c r="M44" s="4">
        <v>99.1</v>
      </c>
      <c r="N44" s="4">
        <v>11</v>
      </c>
      <c r="O44" s="4">
        <v>2</v>
      </c>
      <c r="P44" s="4">
        <v>78</v>
      </c>
      <c r="Q44" s="4">
        <v>20</v>
      </c>
      <c r="R44" s="4">
        <v>8</v>
      </c>
      <c r="S44" s="4" t="s">
        <v>69</v>
      </c>
      <c r="T44" s="4" t="s">
        <v>114</v>
      </c>
      <c r="U44" s="4">
        <v>60</v>
      </c>
      <c r="V44" s="4">
        <v>13</v>
      </c>
      <c r="W44" s="4" t="s">
        <v>68</v>
      </c>
      <c r="X44" s="4" t="s">
        <v>71</v>
      </c>
      <c r="Y44" s="4">
        <v>69</v>
      </c>
      <c r="Z44" s="4">
        <v>378</v>
      </c>
      <c r="AA44" s="4">
        <v>12</v>
      </c>
      <c r="AB44" s="4">
        <v>173</v>
      </c>
      <c r="AC44" s="4">
        <v>5</v>
      </c>
      <c r="AD44" s="4" t="s">
        <v>72</v>
      </c>
      <c r="AE44" s="4" t="s">
        <v>74</v>
      </c>
      <c r="AF44" s="4" t="s">
        <v>73</v>
      </c>
      <c r="AG44" s="4">
        <v>1</v>
      </c>
      <c r="AH44" s="4" t="s">
        <v>74</v>
      </c>
      <c r="AI44" s="4">
        <v>1.4</v>
      </c>
      <c r="AJ44" s="4">
        <v>390</v>
      </c>
      <c r="AK44" s="4" t="s">
        <v>75</v>
      </c>
      <c r="AL44" s="4">
        <v>24.4</v>
      </c>
      <c r="AM44" s="4">
        <v>48.6</v>
      </c>
      <c r="AN44" s="4">
        <v>6.14</v>
      </c>
      <c r="AO44" s="4">
        <v>24</v>
      </c>
      <c r="AP44" s="4">
        <v>4.5</v>
      </c>
      <c r="AQ44" s="4">
        <v>1.27</v>
      </c>
      <c r="AR44" s="4">
        <v>3.3</v>
      </c>
      <c r="AS44" s="4">
        <v>0.4</v>
      </c>
      <c r="AT44" s="4">
        <v>2.6</v>
      </c>
      <c r="AU44" s="4">
        <v>0.5</v>
      </c>
      <c r="AV44" s="4">
        <v>1.3</v>
      </c>
      <c r="AW44" s="4">
        <v>0.18</v>
      </c>
      <c r="AX44" s="4">
        <v>1.2</v>
      </c>
      <c r="AY44" s="4">
        <v>0.18</v>
      </c>
      <c r="AZ44" s="4">
        <v>4.2</v>
      </c>
      <c r="BA44" s="4">
        <v>0.2</v>
      </c>
      <c r="BB44" s="4" t="s">
        <v>68</v>
      </c>
      <c r="BC44" s="4">
        <v>0.2</v>
      </c>
      <c r="BD44" s="4">
        <v>22</v>
      </c>
      <c r="BE44" s="4">
        <v>4</v>
      </c>
      <c r="BF44" s="4">
        <v>0.7</v>
      </c>
    </row>
    <row r="45" spans="1:58" x14ac:dyDescent="0.2">
      <c r="A45" s="2" t="s">
        <v>410</v>
      </c>
      <c r="B45" s="4" t="s">
        <v>94</v>
      </c>
      <c r="C45" s="4" t="s">
        <v>94</v>
      </c>
      <c r="D45" s="4">
        <v>0.02</v>
      </c>
      <c r="E45" s="4">
        <v>1E-3</v>
      </c>
      <c r="F45" s="4" t="s">
        <v>94</v>
      </c>
      <c r="G45" s="4" t="s">
        <v>94</v>
      </c>
      <c r="H45" s="4" t="s">
        <v>94</v>
      </c>
      <c r="I45" s="4" t="s">
        <v>94</v>
      </c>
      <c r="J45" s="4" t="s">
        <v>411</v>
      </c>
      <c r="K45" s="4" t="s">
        <v>94</v>
      </c>
      <c r="L45" s="4"/>
      <c r="M45" s="4"/>
      <c r="N45" s="4" t="s">
        <v>68</v>
      </c>
      <c r="O45" s="4" t="s">
        <v>68</v>
      </c>
      <c r="P45" s="4" t="s">
        <v>71</v>
      </c>
      <c r="Q45" s="4" t="s">
        <v>69</v>
      </c>
      <c r="R45" s="4" t="s">
        <v>68</v>
      </c>
      <c r="S45" s="4" t="s">
        <v>69</v>
      </c>
      <c r="T45" s="4" t="s">
        <v>114</v>
      </c>
      <c r="U45" s="4" t="s">
        <v>70</v>
      </c>
      <c r="V45" s="4" t="s">
        <v>68</v>
      </c>
      <c r="W45" s="4" t="s">
        <v>68</v>
      </c>
      <c r="X45" s="4" t="s">
        <v>71</v>
      </c>
      <c r="Y45" s="4" t="s">
        <v>72</v>
      </c>
      <c r="Z45" s="4" t="s">
        <v>72</v>
      </c>
      <c r="AA45" s="4" t="s">
        <v>72</v>
      </c>
      <c r="AB45" s="4" t="s">
        <v>412</v>
      </c>
      <c r="AC45" s="4" t="s">
        <v>68</v>
      </c>
      <c r="AD45" s="4" t="s">
        <v>72</v>
      </c>
      <c r="AE45" s="4" t="s">
        <v>74</v>
      </c>
      <c r="AF45" s="4" t="s">
        <v>73</v>
      </c>
      <c r="AG45" s="4" t="s">
        <v>68</v>
      </c>
      <c r="AH45" s="4" t="s">
        <v>74</v>
      </c>
      <c r="AI45" s="4" t="s">
        <v>74</v>
      </c>
      <c r="AJ45" s="4">
        <v>3</v>
      </c>
      <c r="AK45" s="4" t="s">
        <v>75</v>
      </c>
      <c r="AL45" s="4" t="s">
        <v>79</v>
      </c>
      <c r="AM45" s="4" t="s">
        <v>79</v>
      </c>
      <c r="AN45" s="4" t="s">
        <v>413</v>
      </c>
      <c r="AO45" s="4" t="s">
        <v>79</v>
      </c>
      <c r="AP45" s="4" t="s">
        <v>79</v>
      </c>
      <c r="AQ45" s="4" t="s">
        <v>413</v>
      </c>
      <c r="AR45" s="4" t="s">
        <v>79</v>
      </c>
      <c r="AS45" s="4" t="s">
        <v>79</v>
      </c>
      <c r="AT45" s="4" t="s">
        <v>79</v>
      </c>
      <c r="AU45" s="4" t="s">
        <v>79</v>
      </c>
      <c r="AV45" s="4" t="s">
        <v>79</v>
      </c>
      <c r="AW45" s="4" t="s">
        <v>413</v>
      </c>
      <c r="AX45" s="4" t="s">
        <v>79</v>
      </c>
      <c r="AY45" s="4" t="s">
        <v>414</v>
      </c>
      <c r="AZ45" s="4" t="s">
        <v>73</v>
      </c>
      <c r="BA45" s="4" t="s">
        <v>79</v>
      </c>
      <c r="BB45" s="4" t="s">
        <v>68</v>
      </c>
      <c r="BC45" s="4" t="s">
        <v>79</v>
      </c>
      <c r="BD45" s="4" t="s">
        <v>71</v>
      </c>
      <c r="BE45" s="4" t="s">
        <v>79</v>
      </c>
      <c r="BF45" s="4" t="s">
        <v>79</v>
      </c>
    </row>
    <row r="46" spans="1:58" x14ac:dyDescent="0.2">
      <c r="A46" s="2" t="s">
        <v>410</v>
      </c>
      <c r="B46" s="4" t="s">
        <v>94</v>
      </c>
      <c r="C46" s="4">
        <v>0.02</v>
      </c>
      <c r="D46" s="4" t="s">
        <v>94</v>
      </c>
      <c r="E46" s="4">
        <v>3.0000000000000001E-3</v>
      </c>
      <c r="F46" s="4" t="s">
        <v>94</v>
      </c>
      <c r="G46" s="4">
        <v>0.03</v>
      </c>
      <c r="H46" s="4" t="s">
        <v>94</v>
      </c>
      <c r="I46" s="4" t="s">
        <v>94</v>
      </c>
      <c r="J46" s="4">
        <v>1E-3</v>
      </c>
      <c r="K46" s="4" t="s">
        <v>94</v>
      </c>
      <c r="L46" s="4"/>
      <c r="M46" s="4"/>
      <c r="N46" s="4" t="s">
        <v>68</v>
      </c>
      <c r="O46" s="4" t="s">
        <v>68</v>
      </c>
      <c r="P46" s="4" t="s">
        <v>71</v>
      </c>
      <c r="Q46" s="4"/>
      <c r="R46" s="4"/>
      <c r="S46" s="4"/>
      <c r="T46" s="4"/>
      <c r="U46" s="4"/>
      <c r="V46" s="4"/>
      <c r="W46" s="4"/>
      <c r="X46" s="4"/>
      <c r="Y46" s="4"/>
      <c r="Z46" s="4">
        <v>4</v>
      </c>
      <c r="AA46" s="4" t="s">
        <v>72</v>
      </c>
      <c r="AB46" s="4" t="s">
        <v>412</v>
      </c>
      <c r="AC46" s="4"/>
      <c r="AD46" s="4"/>
      <c r="AE46" s="4"/>
      <c r="AF46" s="4"/>
      <c r="AG46" s="4"/>
      <c r="AH46" s="4"/>
      <c r="AI46" s="4"/>
      <c r="AJ46" s="4" t="s">
        <v>415</v>
      </c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</sheetData>
  <sheetProtection formatCells="0" formatColumns="0" formatRows="0" insertColumns="0" insertRows="0" insertHyperlinks="0" deleteColumns="0" deleteRows="0" sort="0" autoFilter="0" pivotTables="0"/>
  <pageMargins left="0.51" right="0.51" top="0.51" bottom="0.51" header="0.3" footer="0.3"/>
  <pageSetup orientation="landscape"/>
  <headerFooter>
    <oddHeader>&amp;12&amp;BFinal Report
Activation Laboratories</oddHeader>
    <oddFooter>&amp;C&amp;"Arial,Normal"Page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16</vt:i4>
      </vt:variant>
      <vt:variant>
        <vt:lpstr>Charts</vt:lpstr>
      </vt:variant>
      <vt:variant>
        <vt:i4>85</vt:i4>
      </vt:variant>
      <vt:variant>
        <vt:lpstr>Named Ranges</vt:lpstr>
      </vt:variant>
      <vt:variant>
        <vt:i4>5</vt:i4>
      </vt:variant>
    </vt:vector>
  </HeadingPairs>
  <TitlesOfParts>
    <vt:vector size="106" baseType="lpstr">
      <vt:lpstr>O.G.Chem Results</vt:lpstr>
      <vt:lpstr>Chem Results</vt:lpstr>
      <vt:lpstr>Mineralogy Results</vt:lpstr>
      <vt:lpstr>R8P1E</vt:lpstr>
      <vt:lpstr>R8H1E</vt:lpstr>
      <vt:lpstr>R7H2E</vt:lpstr>
      <vt:lpstr>R7H1E</vt:lpstr>
      <vt:lpstr>R7P1EA</vt:lpstr>
      <vt:lpstr>R7P2EA</vt:lpstr>
      <vt:lpstr>R2P1EA</vt:lpstr>
      <vt:lpstr>R2H1EA</vt:lpstr>
      <vt:lpstr>R1C2EA</vt:lpstr>
      <vt:lpstr>R1C3EA</vt:lpstr>
      <vt:lpstr>RoseHill Pine</vt:lpstr>
      <vt:lpstr>RoseHill Hardwood</vt:lpstr>
      <vt:lpstr>QC</vt:lpstr>
      <vt:lpstr>Y Ho all profiles</vt:lpstr>
      <vt:lpstr>Ce vs Eu</vt:lpstr>
      <vt:lpstr>Ce-anom vs. Y Ho</vt:lpstr>
      <vt:lpstr>Y-Ho vs Elevation</vt:lpstr>
      <vt:lpstr>Eu-Ce anomaly vs Elevation</vt:lpstr>
      <vt:lpstr>R1C2 Mineral</vt:lpstr>
      <vt:lpstr>R1C3 Mineral</vt:lpstr>
      <vt:lpstr>R2H1 Mineral</vt:lpstr>
      <vt:lpstr>R2P1 Mineral</vt:lpstr>
      <vt:lpstr>R7H1 Mineral</vt:lpstr>
      <vt:lpstr>R7H2 Mineral</vt:lpstr>
      <vt:lpstr>R7P1 Mineral</vt:lpstr>
      <vt:lpstr>R7P2 Mineral</vt:lpstr>
      <vt:lpstr>R8H1 Mineral</vt:lpstr>
      <vt:lpstr>R8P1 Mineral</vt:lpstr>
      <vt:lpstr>SIO2 Chem vs QXRD</vt:lpstr>
      <vt:lpstr>Al2O3 Chem vs QXRD</vt:lpstr>
      <vt:lpstr>Fe2O3 Chem vs QXRD</vt:lpstr>
      <vt:lpstr>K2O Chem vs QXRD</vt:lpstr>
      <vt:lpstr>LOI Chem vs H2O QXRD</vt:lpstr>
      <vt:lpstr>Na2O Chem vs QXRD</vt:lpstr>
      <vt:lpstr>SiO2</vt:lpstr>
      <vt:lpstr>Al2O3</vt:lpstr>
      <vt:lpstr>Fe2O3</vt:lpstr>
      <vt:lpstr>K2O</vt:lpstr>
      <vt:lpstr>LOI</vt:lpstr>
      <vt:lpstr>CIA</vt:lpstr>
      <vt:lpstr>R8P1 Tau</vt:lpstr>
      <vt:lpstr>R8P1 Y Ho</vt:lpstr>
      <vt:lpstr>R8P1 Ce</vt:lpstr>
      <vt:lpstr>R8P1 AlFeLOI</vt:lpstr>
      <vt:lpstr>R8P1 REE depth</vt:lpstr>
      <vt:lpstr>R8P1 REE</vt:lpstr>
      <vt:lpstr>R8H1 Tau</vt:lpstr>
      <vt:lpstr>R8H1 AlFeLOI</vt:lpstr>
      <vt:lpstr>R8H1 REE depth</vt:lpstr>
      <vt:lpstr>R8H1 Y Ho</vt:lpstr>
      <vt:lpstr>R8H1 Ce</vt:lpstr>
      <vt:lpstr>R8H1 REE</vt:lpstr>
      <vt:lpstr>R7H2 Tau</vt:lpstr>
      <vt:lpstr>R7H2 Y Ho</vt:lpstr>
      <vt:lpstr>R7H2 Ce</vt:lpstr>
      <vt:lpstr>R7H2 AlFeLOI</vt:lpstr>
      <vt:lpstr>R7H2 REE depth</vt:lpstr>
      <vt:lpstr>R7H2 REE</vt:lpstr>
      <vt:lpstr>R7H1 Tau</vt:lpstr>
      <vt:lpstr>R7H1 REE</vt:lpstr>
      <vt:lpstr>R7H1 Y Ho</vt:lpstr>
      <vt:lpstr>R7H1 Ce</vt:lpstr>
      <vt:lpstr>R7H1 AlFeLOI</vt:lpstr>
      <vt:lpstr>R7H1 REE depth</vt:lpstr>
      <vt:lpstr>R7P1 Tau</vt:lpstr>
      <vt:lpstr>R7P2 REE depth</vt:lpstr>
      <vt:lpstr>R7P2 Tau</vt:lpstr>
      <vt:lpstr>R7P2 AlFeLOI</vt:lpstr>
      <vt:lpstr>R7P2 Y Ho</vt:lpstr>
      <vt:lpstr>R7P2 Ce</vt:lpstr>
      <vt:lpstr>R7P2 REE</vt:lpstr>
      <vt:lpstr>R2P1 AlFeLOI</vt:lpstr>
      <vt:lpstr>R2P1 Y Ho</vt:lpstr>
      <vt:lpstr>R2P1 Ce</vt:lpstr>
      <vt:lpstr>R2P1 REE depth</vt:lpstr>
      <vt:lpstr>R2P1 Tau</vt:lpstr>
      <vt:lpstr>R2P1 REE</vt:lpstr>
      <vt:lpstr>R2H1 Tau</vt:lpstr>
      <vt:lpstr>R2H1 REE</vt:lpstr>
      <vt:lpstr>R2H1 AlFeLOI</vt:lpstr>
      <vt:lpstr>R2H1 Y Ho</vt:lpstr>
      <vt:lpstr>R2H1 Ce</vt:lpstr>
      <vt:lpstr>R2H1 REE depth</vt:lpstr>
      <vt:lpstr>R1C2 Tau</vt:lpstr>
      <vt:lpstr>R1C2 REE</vt:lpstr>
      <vt:lpstr>R1C2 Y Ho</vt:lpstr>
      <vt:lpstr>R1C2 Ce</vt:lpstr>
      <vt:lpstr>R1C2 AlFeLOI</vt:lpstr>
      <vt:lpstr>R1C3 Tau</vt:lpstr>
      <vt:lpstr>R1C3 Y Ho</vt:lpstr>
      <vt:lpstr>R1C3 Ce</vt:lpstr>
      <vt:lpstr>R1C3 REE depth</vt:lpstr>
      <vt:lpstr>R1C3 AlFeLOI</vt:lpstr>
      <vt:lpstr>R1C3 REE</vt:lpstr>
      <vt:lpstr>REE Plot</vt:lpstr>
      <vt:lpstr>CeCe+La Plot)</vt:lpstr>
      <vt:lpstr>Fe vs Y Ho</vt:lpstr>
      <vt:lpstr>Interfluve vs REE</vt:lpstr>
      <vt:lpstr>'R7H2E'!Print_Area</vt:lpstr>
      <vt:lpstr>'Chem Results'!Print_Titles</vt:lpstr>
      <vt:lpstr>'Mineralogy Results'!Print_Titles</vt:lpstr>
      <vt:lpstr>'O.G.Chem Results'!Print_Titles</vt:lpstr>
      <vt:lpstr>QC!Print_Titles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/>
  <dc:creator>Activation Laboratories</dc:creator>
  <cp:keywords/>
  <dc:description/>
  <cp:lastModifiedBy>PAS</cp:lastModifiedBy>
  <cp:lastPrinted>2022-01-26T15:48:13Z</cp:lastPrinted>
  <dcterms:created xsi:type="dcterms:W3CDTF">2017-02-08T06:36:53Z</dcterms:created>
  <dcterms:modified xsi:type="dcterms:W3CDTF">2022-02-17T16:41:34Z</dcterms:modified>
  <cp:category/>
</cp:coreProperties>
</file>