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D:\files_for_saving_at_home\kelly savage\oia_requests\our_restraints_paper\coercion_paper_2022\resubmission\new_revisions_july2023\revisions_sept2023\"/>
    </mc:Choice>
  </mc:AlternateContent>
  <xr:revisionPtr revIDLastSave="0" documentId="13_ncr:1_{16CA3C20-12AF-4910-801D-1083F98467F1}" xr6:coauthVersionLast="47" xr6:coauthVersionMax="47" xr10:uidLastSave="{00000000-0000-0000-0000-000000000000}"/>
  <bookViews>
    <workbookView xWindow="-110" yWindow="-110" windowWidth="19420" windowHeight="10420" firstSheet="3" activeTab="7" xr2:uid="{00000000-000D-0000-FFFF-FFFF00000000}"/>
  </bookViews>
  <sheets>
    <sheet name="Table of Contents" sheetId="10" r:id="rId1"/>
    <sheet name="Final_results_for_comparison" sheetId="6" r:id="rId2"/>
    <sheet name="WHO reports" sheetId="9" r:id="rId3"/>
    <sheet name="WHO vs OECD reports" sheetId="17" r:id="rId4"/>
    <sheet name="Australia" sheetId="11" r:id="rId5"/>
    <sheet name="England " sheetId="4" r:id="rId6"/>
    <sheet name="Southwest Germany" sheetId="12" r:id="rId7"/>
    <sheet name="ireland" sheetId="5" r:id="rId8"/>
    <sheet name="Japan" sheetId="13" r:id="rId9"/>
    <sheet name="Netherlands" sheetId="15" r:id="rId10"/>
    <sheet name="New Zealand" sheetId="3" r:id="rId11"/>
    <sheet name="United States" sheetId="14" r:id="rId12"/>
    <sheet name="Wales" sheetId="16" r:id="rId13"/>
    <sheet name="japan_duration_hospital_stay" sheetId="8"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17" l="1"/>
  <c r="W5" i="17"/>
  <c r="W5" i="6" l="1"/>
  <c r="W6" i="6"/>
  <c r="W8" i="6"/>
  <c r="W9" i="6"/>
  <c r="W11" i="6"/>
  <c r="W4" i="6"/>
  <c r="I4" i="17"/>
  <c r="I5" i="17"/>
  <c r="I6" i="17"/>
  <c r="I7" i="17"/>
  <c r="I8" i="17"/>
  <c r="I9" i="17"/>
  <c r="I3" i="17"/>
  <c r="U4" i="17"/>
  <c r="U5" i="17"/>
  <c r="U7" i="17"/>
  <c r="U9" i="17"/>
  <c r="U10" i="17"/>
  <c r="U3" i="17"/>
  <c r="R4" i="17"/>
  <c r="R9" i="17"/>
  <c r="R10" i="17"/>
  <c r="R3" i="17"/>
  <c r="O4" i="17"/>
  <c r="O5" i="17"/>
  <c r="O6" i="17"/>
  <c r="O7" i="17"/>
  <c r="O8" i="17"/>
  <c r="O9" i="17"/>
  <c r="O10" i="17"/>
  <c r="O3" i="17"/>
  <c r="L4" i="17"/>
  <c r="L5" i="17"/>
  <c r="L6" i="17"/>
  <c r="L7" i="17"/>
  <c r="L8" i="17"/>
  <c r="L9" i="17"/>
  <c r="L10" i="17"/>
  <c r="L3" i="17"/>
  <c r="T12" i="14"/>
  <c r="O12" i="3"/>
  <c r="U11" i="12"/>
  <c r="G13" i="17"/>
  <c r="AG13" i="9" l="1"/>
  <c r="AG12" i="9"/>
  <c r="AF13" i="9"/>
  <c r="AF12" i="9"/>
  <c r="AC13" i="9"/>
  <c r="AC12" i="9"/>
  <c r="X13" i="9"/>
  <c r="X12" i="9"/>
  <c r="V13" i="9"/>
  <c r="V12" i="9"/>
  <c r="U13" i="9"/>
  <c r="U12" i="9"/>
  <c r="T13" i="9"/>
  <c r="T12" i="9"/>
  <c r="S13" i="9"/>
  <c r="S12" i="9"/>
  <c r="R13" i="9"/>
  <c r="R12" i="9"/>
  <c r="Q13" i="9"/>
  <c r="Q12" i="9"/>
  <c r="P13" i="9"/>
  <c r="P12" i="9"/>
  <c r="N13" i="9"/>
  <c r="N12" i="9"/>
  <c r="I13" i="9"/>
  <c r="I12" i="9"/>
  <c r="F12" i="9"/>
  <c r="F13" i="9"/>
  <c r="X5" i="13"/>
  <c r="G14" i="6"/>
  <c r="H14" i="6" l="1"/>
  <c r="X14" i="6"/>
  <c r="X13" i="6"/>
  <c r="X15" i="6" s="1"/>
  <c r="U11" i="3" l="1"/>
  <c r="U10" i="3"/>
  <c r="T11" i="3"/>
  <c r="T10" i="3"/>
  <c r="AD3" i="13"/>
  <c r="AE3" i="13"/>
  <c r="X3" i="13"/>
  <c r="F7" i="13" s="1"/>
  <c r="W3" i="13"/>
  <c r="E7" i="13" s="1"/>
  <c r="AA3" i="13" l="1"/>
  <c r="G2" i="3" l="1"/>
  <c r="H2" i="3" s="1"/>
  <c r="J2" i="3" s="1"/>
  <c r="K2" i="3" s="1"/>
  <c r="F10" i="3"/>
  <c r="F9" i="3"/>
  <c r="F11" i="3" s="1"/>
  <c r="L2" i="3" l="1"/>
  <c r="K10" i="3"/>
  <c r="K9" i="3"/>
  <c r="K11" i="3" s="1"/>
  <c r="T13" i="17"/>
  <c r="S13" i="17"/>
  <c r="Q13" i="17"/>
  <c r="P13" i="17"/>
  <c r="N13" i="17"/>
  <c r="M13" i="17"/>
  <c r="K13" i="17"/>
  <c r="J13" i="17"/>
  <c r="H13" i="17"/>
  <c r="F13" i="17"/>
  <c r="T12" i="17"/>
  <c r="S12" i="17"/>
  <c r="Q12" i="17"/>
  <c r="P12" i="17"/>
  <c r="N12" i="17"/>
  <c r="M12" i="17"/>
  <c r="J12" i="17"/>
  <c r="K12" i="17"/>
  <c r="H12" i="17"/>
  <c r="G12" i="17"/>
  <c r="F12" i="17"/>
  <c r="E12" i="17"/>
  <c r="C12" i="17"/>
  <c r="P14" i="6"/>
  <c r="V14" i="6"/>
  <c r="D9" i="5" l="1"/>
  <c r="D8" i="5"/>
  <c r="AD3" i="5"/>
  <c r="AD8" i="5" s="1"/>
  <c r="X8" i="12"/>
  <c r="Y3" i="12"/>
  <c r="X3" i="12"/>
  <c r="V9" i="12"/>
  <c r="V8" i="12"/>
  <c r="V10" i="12" s="1"/>
  <c r="J9" i="12"/>
  <c r="I9" i="12"/>
  <c r="H9" i="12"/>
  <c r="G9" i="12"/>
  <c r="E9" i="12"/>
  <c r="S9" i="12"/>
  <c r="S8" i="12"/>
  <c r="S10" i="12" s="1"/>
  <c r="J8" i="12"/>
  <c r="J10" i="12" s="1"/>
  <c r="I8" i="12"/>
  <c r="I10" i="12" s="1"/>
  <c r="H8" i="12"/>
  <c r="H10" i="12" s="1"/>
  <c r="G8" i="12"/>
  <c r="G10" i="12" s="1"/>
  <c r="E8" i="12"/>
  <c r="E10" i="12" s="1"/>
  <c r="AE11" i="11"/>
  <c r="AE10" i="11"/>
  <c r="AE9" i="11"/>
  <c r="AD11" i="11"/>
  <c r="AD10" i="11"/>
  <c r="AD9" i="11"/>
  <c r="AE3" i="11"/>
  <c r="H11" i="11"/>
  <c r="I9" i="11"/>
  <c r="I11" i="11" s="1"/>
  <c r="H9" i="11"/>
  <c r="G9" i="11"/>
  <c r="G11" i="11" s="1"/>
  <c r="AP3" i="12"/>
  <c r="AA3" i="9" l="1"/>
  <c r="Y2" i="3"/>
  <c r="X2" i="3"/>
  <c r="J8" i="16"/>
  <c r="G9" i="16"/>
  <c r="M6" i="13"/>
  <c r="M7" i="13" s="1"/>
  <c r="K9" i="13"/>
  <c r="J9" i="13"/>
  <c r="H3" i="13"/>
  <c r="U9" i="5"/>
  <c r="R9" i="5"/>
  <c r="Q9" i="5"/>
  <c r="J9" i="5"/>
  <c r="I9" i="5"/>
  <c r="G9" i="5"/>
  <c r="F9" i="5"/>
  <c r="E9" i="5"/>
  <c r="Y6" i="15"/>
  <c r="X6" i="15"/>
  <c r="U6" i="15"/>
  <c r="I4" i="13"/>
  <c r="AA6" i="13" s="1"/>
  <c r="L6" i="13"/>
  <c r="G16" i="8"/>
  <c r="I8" i="5"/>
  <c r="AA4" i="4"/>
  <c r="Q10" i="4"/>
  <c r="U6" i="13" l="1"/>
  <c r="Z3" i="13"/>
  <c r="AB6" i="13" s="1"/>
  <c r="I9" i="13"/>
  <c r="I10" i="13"/>
  <c r="M9" i="13"/>
  <c r="L9" i="13"/>
  <c r="V6" i="13"/>
  <c r="I8" i="13"/>
  <c r="S6" i="13"/>
  <c r="D3" i="6" l="1"/>
  <c r="S14" i="6"/>
  <c r="V13" i="6" l="1"/>
  <c r="V15" i="6" s="1"/>
  <c r="U14" i="6"/>
  <c r="T14" i="6"/>
  <c r="R14" i="6"/>
  <c r="Q14" i="6"/>
  <c r="O14" i="6"/>
  <c r="N14" i="6"/>
  <c r="M14" i="6"/>
  <c r="L14" i="6"/>
  <c r="K14" i="6"/>
  <c r="J14" i="6"/>
  <c r="I14" i="6"/>
  <c r="F14" i="6"/>
  <c r="E14" i="6"/>
  <c r="P2" i="14" l="1"/>
  <c r="G11" i="16"/>
  <c r="Q7" i="14" l="1"/>
  <c r="S7" i="14" s="1"/>
  <c r="J8" i="14"/>
  <c r="R7" i="14" l="1"/>
  <c r="M6" i="14"/>
  <c r="I6" i="14"/>
  <c r="L7" i="14" s="1"/>
  <c r="T7" i="14" s="1"/>
  <c r="N6" i="14"/>
  <c r="J6" i="14"/>
  <c r="U8" i="3" l="1"/>
  <c r="U9" i="3" s="1"/>
  <c r="T9" i="3"/>
  <c r="U13" i="6"/>
  <c r="U15" i="6" s="1"/>
  <c r="D9" i="6" l="1"/>
  <c r="T13" i="6"/>
  <c r="T15" i="6" s="1"/>
  <c r="S13" i="6"/>
  <c r="S15" i="6" s="1"/>
  <c r="R13" i="6"/>
  <c r="R15" i="6" s="1"/>
  <c r="Q13" i="6"/>
  <c r="Q15" i="6" s="1"/>
  <c r="P13" i="6"/>
  <c r="P15" i="6" s="1"/>
  <c r="O13" i="6"/>
  <c r="O15" i="6" s="1"/>
  <c r="N13" i="6"/>
  <c r="N15" i="6" s="1"/>
  <c r="M13" i="6"/>
  <c r="M15" i="6" s="1"/>
  <c r="L13" i="6"/>
  <c r="L15" i="6" s="1"/>
  <c r="K13" i="6"/>
  <c r="K15" i="6" s="1"/>
  <c r="J13" i="6"/>
  <c r="J15" i="6" s="1"/>
  <c r="I13" i="6"/>
  <c r="I15" i="6" s="1"/>
  <c r="H13" i="6"/>
  <c r="H15" i="6" s="1"/>
  <c r="G13" i="6"/>
  <c r="G15" i="6" s="1"/>
  <c r="F13" i="6"/>
  <c r="F15" i="6" s="1"/>
  <c r="E13" i="6"/>
  <c r="E15" i="6" s="1"/>
  <c r="F9" i="13" l="1"/>
  <c r="E9" i="13"/>
  <c r="K7" i="5"/>
  <c r="O8" i="4"/>
  <c r="N8" i="4"/>
  <c r="L3" i="16" l="1"/>
  <c r="H13" i="16" s="1"/>
  <c r="Q9" i="16"/>
  <c r="I3" i="16"/>
  <c r="I11" i="16" s="1"/>
  <c r="H11" i="16"/>
  <c r="E11" i="16"/>
  <c r="D3" i="16"/>
  <c r="G10" i="16" s="1"/>
  <c r="G12" i="16" s="1"/>
  <c r="J11" i="16"/>
  <c r="L9" i="14"/>
  <c r="L11" i="14" s="1"/>
  <c r="U7" i="14"/>
  <c r="U10" i="14" s="1"/>
  <c r="X8" i="3"/>
  <c r="N10" i="3"/>
  <c r="M10" i="3"/>
  <c r="E10" i="3"/>
  <c r="R2" i="3"/>
  <c r="V8" i="3" s="1"/>
  <c r="W8" i="3" s="1"/>
  <c r="N9" i="3"/>
  <c r="N11" i="3" s="1"/>
  <c r="M9" i="3"/>
  <c r="M11" i="3" s="1"/>
  <c r="E9" i="3"/>
  <c r="E11" i="3" s="1"/>
  <c r="O8" i="3"/>
  <c r="O9" i="3" s="1"/>
  <c r="O11" i="3" s="1"/>
  <c r="E10" i="16" l="1"/>
  <c r="E12" i="16" s="1"/>
  <c r="O10" i="16"/>
  <c r="J10" i="16"/>
  <c r="J12" i="16" s="1"/>
  <c r="H10" i="16"/>
  <c r="H12" i="16" s="1"/>
  <c r="I10" i="16"/>
  <c r="I12" i="16" s="1"/>
  <c r="U9" i="14"/>
  <c r="U11" i="14" s="1"/>
  <c r="L10" i="14"/>
  <c r="O10" i="3"/>
  <c r="P8" i="3"/>
  <c r="R9" i="14" l="1"/>
  <c r="R11" i="14" s="1"/>
  <c r="R10" i="14"/>
  <c r="T10" i="14"/>
  <c r="T9" i="14"/>
  <c r="T11" i="14" s="1"/>
  <c r="E8" i="15"/>
  <c r="AD6" i="15" s="1"/>
  <c r="S9" i="14" l="1"/>
  <c r="S11" i="14" s="1"/>
  <c r="S10" i="14"/>
  <c r="R10" i="15" l="1"/>
  <c r="P10" i="15"/>
  <c r="O10" i="15"/>
  <c r="N10" i="15"/>
  <c r="M10" i="15"/>
  <c r="I10" i="15"/>
  <c r="G10" i="15"/>
  <c r="F10" i="15"/>
  <c r="K10" i="15"/>
  <c r="J10" i="15"/>
  <c r="J12" i="15" s="1"/>
  <c r="AB8" i="5"/>
  <c r="S3" i="15"/>
  <c r="T3" i="15" s="1"/>
  <c r="E13" i="15" s="1"/>
  <c r="AC6" i="15"/>
  <c r="E10" i="15" l="1"/>
  <c r="E12" i="15" s="1"/>
  <c r="I11" i="15"/>
  <c r="M11" i="15"/>
  <c r="N11" i="15"/>
  <c r="O11" i="15"/>
  <c r="J11" i="15"/>
  <c r="P11" i="15"/>
  <c r="K11" i="15"/>
  <c r="R11" i="15"/>
  <c r="F11" i="15"/>
  <c r="S11" i="15"/>
  <c r="G11" i="15"/>
  <c r="S10" i="15"/>
  <c r="Z9" i="15"/>
  <c r="O7" i="13"/>
  <c r="N7" i="13"/>
  <c r="F16" i="8"/>
  <c r="E16" i="8"/>
  <c r="D16" i="8"/>
  <c r="C16" i="8"/>
  <c r="P4" i="8"/>
  <c r="R6" i="13"/>
  <c r="H7" i="5"/>
  <c r="L3" i="5"/>
  <c r="P7" i="13" l="1"/>
  <c r="Q7" i="13" s="1"/>
  <c r="E11" i="15"/>
  <c r="E8" i="13"/>
  <c r="F8" i="13"/>
  <c r="AB3" i="13" l="1"/>
  <c r="I7" i="13"/>
  <c r="J8" i="5"/>
  <c r="J10" i="5" s="1"/>
  <c r="I10" i="5"/>
  <c r="D7" i="5"/>
  <c r="D10" i="5" s="1"/>
  <c r="Z26" i="5"/>
  <c r="F8" i="5"/>
  <c r="F10" i="5" s="1"/>
  <c r="W3" i="5"/>
  <c r="L7" i="5" s="1"/>
  <c r="P8" i="4" l="1"/>
  <c r="M8" i="4" l="1"/>
  <c r="M10" i="4" s="1"/>
  <c r="D8" i="4"/>
  <c r="Y4" i="4" s="1"/>
  <c r="D10" i="4" l="1"/>
  <c r="AU3" i="12" l="1"/>
  <c r="AT3" i="12"/>
  <c r="AS3" i="12"/>
  <c r="V6" i="12"/>
  <c r="U3" i="12"/>
  <c r="U9" i="12" s="1"/>
  <c r="AO3" i="12"/>
  <c r="AN3" i="12"/>
  <c r="AM3" i="12"/>
  <c r="AL3" i="12"/>
  <c r="M3" i="12"/>
  <c r="L3" i="12"/>
  <c r="K3" i="12"/>
  <c r="W3" i="12" s="1"/>
  <c r="AD3" i="12"/>
  <c r="W8" i="12" l="1"/>
  <c r="AR3" i="12"/>
  <c r="U8" i="12"/>
  <c r="U10" i="12" s="1"/>
  <c r="AQ3" i="12"/>
  <c r="AE3" i="12"/>
  <c r="Z3" i="12"/>
  <c r="AC3" i="12"/>
  <c r="AA3" i="12"/>
  <c r="AI3" i="12" s="1"/>
  <c r="AB3" i="12"/>
  <c r="AH3" i="12" s="1"/>
  <c r="AK3" i="12"/>
  <c r="AJ3" i="12" l="1"/>
  <c r="AG3" i="12" l="1"/>
  <c r="AC3" i="11" l="1"/>
  <c r="V3" i="11"/>
  <c r="U3" i="11"/>
  <c r="AH3" i="11" s="1"/>
  <c r="T3" i="11"/>
  <c r="AG3" i="11" s="1"/>
  <c r="R3" i="11"/>
  <c r="AD3" i="11"/>
  <c r="E3" i="11"/>
  <c r="F3" i="11"/>
  <c r="C5" i="8"/>
  <c r="D5" i="8" s="1"/>
  <c r="E5" i="8" s="1"/>
  <c r="F5" i="8" s="1"/>
  <c r="G5" i="8" s="1"/>
  <c r="H5" i="8" s="1"/>
  <c r="I5" i="8" s="1"/>
  <c r="J5" i="8" s="1"/>
  <c r="F9" i="9"/>
  <c r="G9" i="9" s="1"/>
  <c r="AG9" i="9"/>
  <c r="G10" i="9"/>
  <c r="G8" i="9"/>
  <c r="I11" i="9"/>
  <c r="N11" i="9"/>
  <c r="P11" i="9"/>
  <c r="Q11" i="9"/>
  <c r="R11" i="9"/>
  <c r="S11" i="9"/>
  <c r="T11" i="9"/>
  <c r="U11" i="9"/>
  <c r="V11" i="9"/>
  <c r="W11" i="9"/>
  <c r="X11" i="9"/>
  <c r="AC11" i="9"/>
  <c r="AF11" i="9"/>
  <c r="F19" i="9"/>
  <c r="F20" i="9"/>
  <c r="F22" i="9"/>
  <c r="AE22" i="9"/>
  <c r="AE23" i="9"/>
  <c r="F24" i="9"/>
  <c r="F3" i="9"/>
  <c r="F5" i="9"/>
  <c r="G5" i="9" s="1"/>
  <c r="F6" i="9"/>
  <c r="G6" i="9" s="1"/>
  <c r="F7" i="9"/>
  <c r="G7" i="9" s="1"/>
  <c r="AE4" i="9"/>
  <c r="AE6" i="9"/>
  <c r="G4" i="9"/>
  <c r="AG7" i="9"/>
  <c r="AG4" i="9"/>
  <c r="C9" i="8"/>
  <c r="C13" i="8"/>
  <c r="D13" i="8"/>
  <c r="E13" i="8"/>
  <c r="F13" i="8"/>
  <c r="G13" i="8"/>
  <c r="H13" i="8"/>
  <c r="H17" i="8" s="1"/>
  <c r="H18" i="8" s="1"/>
  <c r="H12" i="8"/>
  <c r="H16" i="8" s="1"/>
  <c r="I13" i="8"/>
  <c r="I12" i="8"/>
  <c r="I16" i="8" s="1"/>
  <c r="J13" i="8"/>
  <c r="J12" i="8"/>
  <c r="J16" i="8" s="1"/>
  <c r="C8" i="8"/>
  <c r="D8" i="8"/>
  <c r="E8" i="8"/>
  <c r="F8" i="8"/>
  <c r="G8" i="8"/>
  <c r="H8" i="8"/>
  <c r="I8" i="8"/>
  <c r="J8" i="8"/>
  <c r="D9" i="8"/>
  <c r="E9" i="8"/>
  <c r="F9" i="8"/>
  <c r="G9" i="8"/>
  <c r="H9" i="8"/>
  <c r="I9" i="8"/>
  <c r="J9" i="8"/>
  <c r="C7" i="8"/>
  <c r="D7" i="8"/>
  <c r="E7" i="8"/>
  <c r="F7" i="8"/>
  <c r="G7" i="8"/>
  <c r="H7" i="8"/>
  <c r="I7" i="8"/>
  <c r="J7" i="8"/>
  <c r="M4" i="8"/>
  <c r="Q4" i="8" s="1"/>
  <c r="C6" i="8"/>
  <c r="D6" i="8"/>
  <c r="E6" i="8"/>
  <c r="F6" i="8"/>
  <c r="G6" i="8"/>
  <c r="H6" i="8"/>
  <c r="I6" i="8"/>
  <c r="J6" i="8"/>
  <c r="O4" i="8"/>
  <c r="N4" i="8"/>
  <c r="W8" i="4"/>
  <c r="Z4" i="4" s="1"/>
  <c r="S8" i="4"/>
  <c r="E8" i="4"/>
  <c r="K8" i="4" s="1"/>
  <c r="H8" i="4"/>
  <c r="C8" i="4"/>
  <c r="T7" i="5"/>
  <c r="S7" i="5"/>
  <c r="P7" i="5"/>
  <c r="N7" i="5"/>
  <c r="G10" i="4"/>
  <c r="J10" i="4"/>
  <c r="W10" i="4"/>
  <c r="V10" i="4"/>
  <c r="U10" i="4"/>
  <c r="S10" i="4"/>
  <c r="R10" i="4"/>
  <c r="U8" i="5"/>
  <c r="U10" i="5" s="1"/>
  <c r="G8" i="5"/>
  <c r="G10" i="5" s="1"/>
  <c r="R8" i="5"/>
  <c r="R10" i="5" s="1"/>
  <c r="E8" i="5"/>
  <c r="E10" i="5" s="1"/>
  <c r="Q8" i="5"/>
  <c r="Q10" i="5" s="1"/>
  <c r="R10" i="11" l="1"/>
  <c r="F9" i="11"/>
  <c r="F11" i="11" s="1"/>
  <c r="F10" i="11"/>
  <c r="W3" i="11"/>
  <c r="E9" i="11"/>
  <c r="E11" i="11" s="1"/>
  <c r="E10" i="11"/>
  <c r="I10" i="11"/>
  <c r="H10" i="11"/>
  <c r="G10" i="11"/>
  <c r="S3" i="11"/>
  <c r="AF3" i="11" s="1"/>
  <c r="R9" i="11"/>
  <c r="R11" i="11" s="1"/>
  <c r="G14" i="8"/>
  <c r="G17" i="8"/>
  <c r="G18" i="8" s="1"/>
  <c r="J17" i="8"/>
  <c r="J18" i="8" s="1"/>
  <c r="K13" i="8"/>
  <c r="I17" i="8"/>
  <c r="I18" i="8" s="1"/>
  <c r="R9" i="4"/>
  <c r="Q9" i="4"/>
  <c r="U9" i="4"/>
  <c r="AG11" i="9"/>
  <c r="F11" i="9"/>
  <c r="J14" i="8"/>
  <c r="G3" i="9"/>
  <c r="G11" i="9" s="1"/>
  <c r="S9" i="4"/>
  <c r="W9" i="4"/>
  <c r="J9" i="4"/>
  <c r="V9" i="4"/>
  <c r="F14" i="8"/>
  <c r="F17" i="8"/>
  <c r="F18" i="8" s="1"/>
  <c r="E14" i="8"/>
  <c r="E17" i="8"/>
  <c r="E18" i="8" s="1"/>
  <c r="N7" i="8"/>
  <c r="D14" i="8"/>
  <c r="D17" i="8"/>
  <c r="D18" i="8" s="1"/>
  <c r="C14" i="8"/>
  <c r="C17" i="8"/>
  <c r="H14" i="8"/>
  <c r="O6" i="8"/>
  <c r="I14" i="8"/>
  <c r="M7" i="8"/>
  <c r="R7" i="8" s="1"/>
  <c r="N6" i="8"/>
  <c r="L8" i="8"/>
  <c r="L9" i="8"/>
  <c r="Y7" i="5"/>
  <c r="X3" i="5"/>
  <c r="D9" i="4"/>
  <c r="D11" i="4" s="1"/>
  <c r="M9" i="4"/>
  <c r="H10" i="4"/>
  <c r="H9" i="4"/>
  <c r="E10" i="4"/>
  <c r="E9" i="4"/>
  <c r="G9" i="4"/>
  <c r="L9" i="4"/>
  <c r="Y3" i="11"/>
  <c r="Z3" i="11"/>
  <c r="X3" i="11"/>
  <c r="M6" i="8"/>
  <c r="R6" i="8" s="1"/>
  <c r="O7" i="8"/>
  <c r="Z7" i="5" l="1"/>
  <c r="AE3" i="5"/>
  <c r="X11" i="5" s="1"/>
  <c r="AA3" i="11"/>
  <c r="L17" i="8"/>
  <c r="C18" i="8"/>
  <c r="L18" i="8" s="1"/>
  <c r="S6" i="8"/>
  <c r="U6" i="8" s="1"/>
  <c r="L10" i="8"/>
  <c r="L14" i="8"/>
  <c r="L15" i="8" s="1"/>
  <c r="T6" i="8" l="1"/>
</calcChain>
</file>

<file path=xl/sharedStrings.xml><?xml version="1.0" encoding="utf-8"?>
<sst xmlns="http://schemas.openxmlformats.org/spreadsheetml/2006/main" count="1184" uniqueCount="652">
  <si>
    <t>Study</t>
  </si>
  <si>
    <t>Lepping et al. (2016)</t>
  </si>
  <si>
    <t>US</t>
  </si>
  <si>
    <t>Australia</t>
  </si>
  <si>
    <t>Newton-Howes et al., 2020</t>
  </si>
  <si>
    <t>Year of comparison</t>
  </si>
  <si>
    <t>2016/2017</t>
  </si>
  <si>
    <t xml:space="preserve"> </t>
  </si>
  <si>
    <t>hours of seclusion per 1000 hours of inpatient care</t>
  </si>
  <si>
    <t>2016/2017 and 2014 for more general data</t>
  </si>
  <si>
    <t>total voluntary on a given day</t>
  </si>
  <si>
    <t>Japan all ages</t>
  </si>
  <si>
    <t>total in mechanical restraints on a given day</t>
  </si>
  <si>
    <t>total secluded on a given day</t>
  </si>
  <si>
    <t>NZ total</t>
  </si>
  <si>
    <t>total involuntary on a given day</t>
  </si>
  <si>
    <t>Seclusions per 100,000 population per year</t>
  </si>
  <si>
    <t>number of episodes of mechanical restraint</t>
  </si>
  <si>
    <t>total numbers of episodes of restrictive practices in the year</t>
  </si>
  <si>
    <t>episodes of seclusion</t>
  </si>
  <si>
    <t>number of people secluded</t>
  </si>
  <si>
    <t>number of episodes of physical restraint</t>
  </si>
  <si>
    <t>number of people physically restrained</t>
  </si>
  <si>
    <t>Population of Ireland in 2020 in 100,000's</t>
  </si>
  <si>
    <t>average seclusion duration in hours</t>
  </si>
  <si>
    <t>total</t>
  </si>
  <si>
    <t>Number of seclusion events per person secluded</t>
  </si>
  <si>
    <t>this</t>
  </si>
  <si>
    <t>percent of inpatients secluded on a given day</t>
  </si>
  <si>
    <t>percent of inpatients mechanically restrained on a given day</t>
  </si>
  <si>
    <t>Country</t>
  </si>
  <si>
    <t>Population</t>
  </si>
  <si>
    <t>WHO Region</t>
  </si>
  <si>
    <t>Age-standardized suicide rate per 100K</t>
  </si>
  <si>
    <t>WPRO</t>
  </si>
  <si>
    <t>yes/irregular reporting</t>
  </si>
  <si>
    <t>2017: no</t>
  </si>
  <si>
    <t>EURO</t>
  </si>
  <si>
    <t>yes/once per year</t>
  </si>
  <si>
    <t>2014: yes</t>
  </si>
  <si>
    <t>2017: yes</t>
  </si>
  <si>
    <t>5/5</t>
  </si>
  <si>
    <t>yes</t>
  </si>
  <si>
    <t>10.5/n</t>
  </si>
  <si>
    <t>78.7/n</t>
  </si>
  <si>
    <t>AMRO</t>
  </si>
  <si>
    <t>5/n</t>
  </si>
  <si>
    <t>18.66/18.47</t>
  </si>
  <si>
    <t>11.14/9.54</t>
  </si>
  <si>
    <t>Median of our target countries</t>
  </si>
  <si>
    <t>median value or percent of yes answers for all WHO responding countries</t>
  </si>
  <si>
    <t>67%/64% responding countries say are fully aligned (this is from summary, but table 2.1.6 says 51% global</t>
  </si>
  <si>
    <t>45% yes in summary, but 88% in 2020 from figure 2.2.1</t>
  </si>
  <si>
    <t>10/15/2/1</t>
  </si>
  <si>
    <t>Average of all WHO responding high income countries</t>
  </si>
  <si>
    <t>60%/40%</t>
  </si>
  <si>
    <t>WPR</t>
  </si>
  <si>
    <t>7.21/37.36</t>
  </si>
  <si>
    <t>21.76/429.49</t>
  </si>
  <si>
    <t>10.38/42.97</t>
  </si>
  <si>
    <t>EUR</t>
  </si>
  <si>
    <t>55.7/765.82</t>
  </si>
  <si>
    <t>80.64/1009.11</t>
  </si>
  <si>
    <t>59.58/n</t>
  </si>
  <si>
    <t>21.66/267.87</t>
  </si>
  <si>
    <t>196.63/202.4</t>
  </si>
  <si>
    <t>66.15/97.65</t>
  </si>
  <si>
    <t>18.79/482.65</t>
  </si>
  <si>
    <t>26.24/43.43</t>
  </si>
  <si>
    <t>AMR</t>
  </si>
  <si>
    <t>&lt;0.05</t>
  </si>
  <si>
    <t>WHO country profiles:  https://www.who.int/teams/mental-health-and-substance-use/data-research/mental-health-atlas#:~:text=The%20Mental%20Health%20Atlas%202020,Comprehensive%20Mental%20Health%20Action%20Plan.</t>
  </si>
  <si>
    <t>Results of calculations here using Lepping et al. 2017, Newton-Howes et al. 2020 and reports from individual countries</t>
  </si>
  <si>
    <t>2017-2018</t>
  </si>
  <si>
    <t>Population in England</t>
  </si>
  <si>
    <t>population of England in 100,000s</t>
  </si>
  <si>
    <t>England whole population</t>
  </si>
  <si>
    <t>number of bed-days in the year</t>
  </si>
  <si>
    <t>People subject to a restrictive intervention</t>
  </si>
  <si>
    <t>number of admissions</t>
  </si>
  <si>
    <t>average duration of mechanical restraint</t>
  </si>
  <si>
    <t>total beds</t>
  </si>
  <si>
    <t>values above per 1000 bed-days</t>
  </si>
  <si>
    <t>total duration of all seclusion in hours</t>
  </si>
  <si>
    <t>average duration of physical restraints in hours</t>
  </si>
  <si>
    <t>number of episodes of seclusion per person secluded</t>
  </si>
  <si>
    <t>number of episodes of RPI per person undergoing RPI</t>
  </si>
  <si>
    <t>total people</t>
  </si>
  <si>
    <t>total people all diagnoses on June 30</t>
  </si>
  <si>
    <t>numbers &lt;=1 month</t>
  </si>
  <si>
    <t>1-3 months</t>
  </si>
  <si>
    <t>"6-12 months</t>
  </si>
  <si>
    <t>1-5 yrs</t>
  </si>
  <si>
    <t>5-10 yrs</t>
  </si>
  <si>
    <t>10-20 yrs</t>
  </si>
  <si>
    <t>&gt;20 yrs</t>
  </si>
  <si>
    <t>unclear</t>
  </si>
  <si>
    <t>total possible admissions per year</t>
  </si>
  <si>
    <t>total clear</t>
  </si>
  <si>
    <t>total &lt; 1 year</t>
  </si>
  <si>
    <t>total &gt; 1 year</t>
  </si>
  <si>
    <t>average number of months stay</t>
  </si>
  <si>
    <t>average days</t>
  </si>
  <si>
    <t>average years</t>
  </si>
  <si>
    <t>low estimate of total months in hospital</t>
  </si>
  <si>
    <t>high estimate of total months in hospital</t>
  </si>
  <si>
    <t>low estimate of number of people with these lengths of stay who could be accommodated every year</t>
  </si>
  <si>
    <t>high estimate of number of people with these lengths of stay who could be accommodated every year</t>
  </si>
  <si>
    <t>mean</t>
  </si>
  <si>
    <t>To calculate the number of people admitted per year, we try to use this distribution</t>
  </si>
  <si>
    <t xml:space="preserve">If we assume that the total number of people on 30 June are representative of those on the rest of the year: </t>
  </si>
  <si>
    <t>Change from previous spreadsheet--we must assume that the actual stay is twice as long as the stay up until this point.</t>
  </si>
  <si>
    <t>Next, the number in for more than 1 year can only be admitted once.</t>
  </si>
  <si>
    <t>First, we must assume that they have only completed 1/2 their average expected stay. Except that the people in for 20 years already will probably leave before their next 20 years is up.  So I've said that will be 300 months at the maximum</t>
  </si>
  <si>
    <t>So the numbers between 6-12 and greater now can only be admitted once, because the average person between 6-12 months will stay for up to 1-2 years</t>
  </si>
  <si>
    <t>The number for 3-6 months could be in for 6-12 months, so 1-2 times</t>
  </si>
  <si>
    <t>The number for 1-3 months could be in from 2-6 months, so  2 to 6 times</t>
  </si>
  <si>
    <t>The number in for less than 1 month could be in for one day up to 2 months, so 6 to 12 times.</t>
  </si>
  <si>
    <t>From glossary: Compulsory assessment can take place in either a community or a hospital setting. There are two periods of compulsory assessment, during which a person’s clinician may release them from assessment at any time.
During the assessment period, a person is obliged to receive treatment as prescribed by their responsible clinician.
The first period (section 11 of the Mental Health Act) is for up to five days. The second period (section 13) can last up to 14 days.
Following the first two assessment periods, a clinician can make an application to the Family or District Court (section 14(4)) to place the person on a compulsory treatment order.</t>
  </si>
  <si>
    <t>So section 14 (4) means they have gone through the first two assessments</t>
  </si>
  <si>
    <t>Section 11 is the first assessment period (up to 5 days)</t>
  </si>
  <si>
    <t>Section 13 is the second assessment period (up to 14 days)</t>
  </si>
  <si>
    <t>Section 14 is asking for treatment after the first assessment periods.</t>
  </si>
  <si>
    <t>So we shouldn't add 14 to 30.</t>
  </si>
  <si>
    <t>If they are in section 13, they must already have been in section 11</t>
  </si>
  <si>
    <t>total seclusions</t>
  </si>
  <si>
    <t>total physical restraint</t>
  </si>
  <si>
    <t>number of people in hospital</t>
  </si>
  <si>
    <t>percent of people admitted who were secluded</t>
  </si>
  <si>
    <t>Involuntary medication events per 100,000 population per year</t>
  </si>
  <si>
    <t>Total population in millions</t>
  </si>
  <si>
    <t>Number of RPI in one year per 100,000 population</t>
  </si>
  <si>
    <t>2020 (some from 2017)</t>
  </si>
  <si>
    <t xml:space="preserve">RPI events per 100 admissions </t>
  </si>
  <si>
    <t>Calculation of average duration of stay</t>
  </si>
  <si>
    <t>midpoint duration</t>
  </si>
  <si>
    <t>months</t>
  </si>
  <si>
    <t>proportion</t>
  </si>
  <si>
    <t>months * proportion</t>
  </si>
  <si>
    <t>mean duration of stay in months</t>
  </si>
  <si>
    <t>mean in days</t>
  </si>
  <si>
    <t>Wales percent of involuntary admissions of 26% is from 2019/2020</t>
  </si>
  <si>
    <t>Number of people affected by RPI per 100,000 population</t>
  </si>
  <si>
    <t>2020 (for Great Britain)</t>
  </si>
  <si>
    <t>for USA, from 2017</t>
  </si>
  <si>
    <t>USA from 2017</t>
  </si>
  <si>
    <t>Income Group</t>
  </si>
  <si>
    <t>high</t>
  </si>
  <si>
    <t>373.0 aud</t>
  </si>
  <si>
    <t>10.12/30.60</t>
  </si>
  <si>
    <t>Germany</t>
  </si>
  <si>
    <t>531.3 eur</t>
  </si>
  <si>
    <t>80.98/1064.11</t>
  </si>
  <si>
    <t>78.89/987.25</t>
  </si>
  <si>
    <t>108.29/106.45</t>
  </si>
  <si>
    <t>Great Britain</t>
  </si>
  <si>
    <t>n/2014: 3598usd</t>
  </si>
  <si>
    <t>26.87/148.61</t>
  </si>
  <si>
    <t>Ireland</t>
  </si>
  <si>
    <t>210.1 eur</t>
  </si>
  <si>
    <t>"5/3"</t>
  </si>
  <si>
    <t>21.08/n</t>
  </si>
  <si>
    <t>n/207.6</t>
  </si>
  <si>
    <t>34.29/n</t>
  </si>
  <si>
    <t>Japan</t>
  </si>
  <si>
    <t>15,043.3jpy</t>
  </si>
  <si>
    <t>170.35/n</t>
  </si>
  <si>
    <t>74.92/n</t>
  </si>
  <si>
    <t>Netherlands</t>
  </si>
  <si>
    <t>US$6145</t>
  </si>
  <si>
    <t>New Zealand</t>
  </si>
  <si>
    <t>319.9 nzd</t>
  </si>
  <si>
    <t>18.96/331.50</t>
  </si>
  <si>
    <t>25.0/309.22</t>
  </si>
  <si>
    <t>USA</t>
  </si>
  <si>
    <t>n (2017 &lt;0.05)</t>
  </si>
  <si>
    <t>all</t>
  </si>
  <si>
    <t>US$7.49</t>
  </si>
  <si>
    <t>11/72</t>
  </si>
  <si>
    <t>2.5/43.0</t>
  </si>
  <si>
    <t>5.1/4.0</t>
  </si>
  <si>
    <t>15.2/271.3</t>
  </si>
  <si>
    <t>older reports</t>
  </si>
  <si>
    <t>340.8 AUD</t>
  </si>
  <si>
    <t>350.58 eur</t>
  </si>
  <si>
    <t>3,598 usd</t>
  </si>
  <si>
    <t>175.74eur</t>
  </si>
  <si>
    <t>0.3nzd</t>
  </si>
  <si>
    <t>6145 usd</t>
  </si>
  <si>
    <t>343.83 usd</t>
  </si>
  <si>
    <t>Expenditure in $US using exchange rate on 25 april 2022</t>
  </si>
  <si>
    <t>Expenditure in EURO using exchange rate on 25 april 2022</t>
  </si>
  <si>
    <t>Policy/legistlation in line with human right convention (5=fully)</t>
  </si>
  <si>
    <t>Independent body monitors human rights?</t>
  </si>
  <si>
    <t>Govt expenditure on mental health as percent of health expenditure</t>
  </si>
  <si>
    <t>Govt expenditure on mental hospitals as % of mental health expenditure</t>
  </si>
  <si>
    <t>Psyhciatrists per 100K pop</t>
  </si>
  <si>
    <t>Mental health nurses per 100K pop</t>
  </si>
  <si>
    <t>Psychologists per 100K pop</t>
  </si>
  <si>
    <t>Social workers per 100 K population</t>
  </si>
  <si>
    <t>Total mental health professionals per 100K pop</t>
  </si>
  <si>
    <t>Number of visits in hospitl-based outpatient facilities per 100K pop</t>
  </si>
  <si>
    <t>Mental hospital beds/annual admissions per 100K pop</t>
  </si>
  <si>
    <t>Involuntary admissions overall/mental hospitals/general hospitals/community residential facilities</t>
  </si>
  <si>
    <t>% of admissions that are involuntary in WHO report</t>
  </si>
  <si>
    <t>Number of community based mental health facilities per 100K pop</t>
  </si>
  <si>
    <t>Treated prevalence of psychosis -total treated cases, inpatient and outpatient</t>
  </si>
  <si>
    <t>Treated prevalence of psychosis -total treated cases, inpatient and outpatient per 100K</t>
  </si>
  <si>
    <t xml:space="preserve">country </t>
  </si>
  <si>
    <t>Admissions per year per 100,000 population</t>
  </si>
  <si>
    <t>Mean duration for seclusion in hours</t>
  </si>
  <si>
    <t>Mean duration for mechanical restraints in hrs</t>
  </si>
  <si>
    <t>Mean duration for physical restraint in hours</t>
  </si>
  <si>
    <t>Mean admission duration (days)</t>
  </si>
  <si>
    <t>Percent involuntary admissions</t>
  </si>
  <si>
    <t>Number of all restraints per 1000 bed-days</t>
  </si>
  <si>
    <t>Number of seclusion events per 1000 bed-days</t>
  </si>
  <si>
    <t>Number of mechanical restraints per 1000 bed-days</t>
  </si>
  <si>
    <t>Number of seclusion episodes per patient secluded</t>
  </si>
  <si>
    <t>Year of WHO report</t>
  </si>
  <si>
    <t>Total psych hospital beds per 100K</t>
  </si>
  <si>
    <t>23% available and used</t>
  </si>
  <si>
    <t>Total population/100,000</t>
  </si>
  <si>
    <t>Number of physical restraints per 100,000 population</t>
  </si>
  <si>
    <t>Admissions per 100,000 population</t>
  </si>
  <si>
    <t>Involuntary admissions per 100,000 population</t>
  </si>
  <si>
    <t>Average (mean) duration for seclusion in hours</t>
  </si>
  <si>
    <t>Mean duration for mechanical restraint in hours</t>
  </si>
  <si>
    <t>Mean admission duration (days) (bed days/admissions unless given)</t>
  </si>
  <si>
    <t>Median duration for seclusion in hours</t>
  </si>
  <si>
    <t>Median duration for mechanical restraint in hours</t>
  </si>
  <si>
    <t>Percent of restraint events that are seclusions</t>
  </si>
  <si>
    <t>Number of physical restraints per 1000 bed days</t>
  </si>
  <si>
    <t>Number of involuntary medication  events per 1000 bed-days</t>
  </si>
  <si>
    <t>Number of unique patients secluded per 100K population in one year</t>
  </si>
  <si>
    <t>Number of rpi per person affected-calculated</t>
  </si>
  <si>
    <t>Average number of RPI events per affected patient from Lepping et al. or sources outside calculations</t>
  </si>
  <si>
    <t>Percentage of patients exposed to an RPI</t>
  </si>
  <si>
    <t>Total RPI (direct physical intervention)</t>
  </si>
  <si>
    <t>Total seclusion events in year</t>
  </si>
  <si>
    <t>Total number of mechanical restraint events</t>
  </si>
  <si>
    <t>Total number of physical restraints</t>
  </si>
  <si>
    <t>Total involuntary medication events in year</t>
  </si>
  <si>
    <t>Total involuntary admissions</t>
  </si>
  <si>
    <t>Total admissions in the year</t>
  </si>
  <si>
    <t>Number of people secluded in a year</t>
  </si>
  <si>
    <t>Number of people mechanically restrained</t>
  </si>
  <si>
    <t>Number of people involuntarily medicated</t>
  </si>
  <si>
    <t>Number of people physically restrained</t>
  </si>
  <si>
    <t>Total occupied bed days</t>
  </si>
  <si>
    <t>Number of mechanical restraints per patient restrained</t>
  </si>
  <si>
    <t>Number of episodes of involuntary medication per person medicated</t>
  </si>
  <si>
    <t>Number of clients secluded in one year</t>
  </si>
  <si>
    <t>Ratio of highest to lowest</t>
  </si>
  <si>
    <t>Worksheet Table of Contents</t>
  </si>
  <si>
    <t>WHO country reports-selected categories</t>
  </si>
  <si>
    <t>Return to Table of Contents</t>
  </si>
  <si>
    <t>return to table of contents</t>
  </si>
  <si>
    <t xml:space="preserve">Japanese admission data calculation for 2017 </t>
  </si>
  <si>
    <t>Mental Health expenditure per person from report</t>
  </si>
  <si>
    <t>Year of report</t>
  </si>
  <si>
    <t>Table 21</t>
  </si>
  <si>
    <t>Table 15</t>
  </si>
  <si>
    <t>Te Pou</t>
  </si>
  <si>
    <t>References:</t>
  </si>
  <si>
    <t>country:  Yellow = checked after submission</t>
  </si>
  <si>
    <t>Number of mechanical restraints per 100,000 population in one year</t>
  </si>
  <si>
    <t>"5/5"</t>
  </si>
  <si>
    <t>no</t>
  </si>
  <si>
    <t>100%/86%</t>
  </si>
  <si>
    <t>63% yes</t>
  </si>
  <si>
    <t>71% once per year</t>
  </si>
  <si>
    <t>US from 2017</t>
  </si>
  <si>
    <t>2020, but noted ones from 2017</t>
  </si>
  <si>
    <t>median value or percent of yes answers for all WHO responding countries. From main Atlas report</t>
  </si>
  <si>
    <t>343.8usd</t>
  </si>
  <si>
    <t>partial</t>
  </si>
  <si>
    <t>Community residential beds/annual admissions per 100,000 population</t>
  </si>
  <si>
    <t>Total admissions to mental hospitals from section on Mental Hospitals</t>
  </si>
  <si>
    <t>not available</t>
  </si>
  <si>
    <t>most components indicators available and used</t>
  </si>
  <si>
    <t>some components indicators available and used</t>
  </si>
  <si>
    <t>57% most components available and used</t>
  </si>
  <si>
    <t>https://digital.nhs.uk/data-and-information/publications/statistical/mental-health-bulletin/2017-18-annual-report</t>
  </si>
  <si>
    <t>1.2 (1f)</t>
  </si>
  <si>
    <t>1.1 (1b)</t>
  </si>
  <si>
    <t>5.1 (5a)</t>
  </si>
  <si>
    <t>table number (Metric ID)</t>
  </si>
  <si>
    <t>Table 4.1 (4a)</t>
  </si>
  <si>
    <t>Table 7.1 (7b)</t>
  </si>
  <si>
    <t>Table 7.1 (7a)</t>
  </si>
  <si>
    <t>Number of people admitted in a year</t>
  </si>
  <si>
    <t xml:space="preserve">Percent admissions resulting in RPI </t>
  </si>
  <si>
    <t>People affected by RPI in the year</t>
  </si>
  <si>
    <t>number of mechanical restraints per 1,000,000 population in one day</t>
  </si>
  <si>
    <t>Number of seclusion episodes per 1,000,000 population in one day</t>
  </si>
  <si>
    <t>England</t>
  </si>
  <si>
    <t>cumulative</t>
  </si>
  <si>
    <t>median = place where 1/2 of 284,172 is = 1-5 years</t>
  </si>
  <si>
    <t>median admission duration</t>
  </si>
  <si>
    <t>1-5 years</t>
  </si>
  <si>
    <t>number of RPI of all kind per 1,000,000 population in one day</t>
  </si>
  <si>
    <t>Wales</t>
  </si>
  <si>
    <t>NZ</t>
  </si>
  <si>
    <t xml:space="preserve">Median </t>
  </si>
  <si>
    <t>country</t>
  </si>
  <si>
    <t>References</t>
  </si>
  <si>
    <t>for public hospitals only and for years between 2008-2020. We use the data from the fiscal year 2016-2017 of rates of admissions to general hospitals, involuntary admissions (Table RP.1 assuming that the number of involuntary separations in the report is the same as the number of involuntary admissions), seclusion events per 1000-bed days and average seclusion duration in hours (RP.2), the proportion of admitted care episodes that have a seclusion event (RP.2), average number of seclusion events per episode with seclusion (RP.2). They also keep track of the absolute numbers of the restraint and seclusion events and numbers of admissions, so we were able to use those absolute numbers to give rates per 100,000 population as well as the published numbers per 1000-bed days.  They do not include durations of physical or mechanical restraint or duration of admissions, or unique people secluded or restrained.</t>
  </si>
  <si>
    <t>RP.5</t>
  </si>
  <si>
    <t>Percentage of mental health-care admitted episodes that have a seclusion event</t>
  </si>
  <si>
    <t>RP.8</t>
  </si>
  <si>
    <t>Total number of RPI (restraints + seclusion)</t>
  </si>
  <si>
    <t>RP.1</t>
  </si>
  <si>
    <t>Restrictive Practices Tables: www.aihw.gov.au/mhsa for 2019/2020 report, but using 2016/2017 figures. But number of voluntary and involuntary admissions are taken from the 2016/2017 report.</t>
  </si>
  <si>
    <t>Overnight mental health-related separations with specialised mental health care plus episodes of care in residential mental health care services</t>
  </si>
  <si>
    <t>Number of physical restraints per 100,000 population in one year</t>
  </si>
  <si>
    <t>Raw data</t>
  </si>
  <si>
    <t>Calculations</t>
  </si>
  <si>
    <t>Number of RPI per 1M population per day</t>
  </si>
  <si>
    <t>cases affected by mechanical restraint</t>
  </si>
  <si>
    <t>cases affected by physical restraint</t>
  </si>
  <si>
    <t>cases affected by forced medication</t>
  </si>
  <si>
    <t>cases (people) affected by seclusion</t>
  </si>
  <si>
    <t>raw data</t>
  </si>
  <si>
    <t>Number of RPI per 100,000 population per year</t>
  </si>
  <si>
    <t>calculations</t>
  </si>
  <si>
    <t>People in Physical restraint - Prone</t>
  </si>
  <si>
    <t>People in Physical restraint - Excluding prone</t>
  </si>
  <si>
    <t>People in Chemical restraint</t>
  </si>
  <si>
    <t>People in Mechanical restraint</t>
  </si>
  <si>
    <t>People in Seclusion</t>
  </si>
  <si>
    <t>People in Segregation</t>
  </si>
  <si>
    <t>Episodes Physical restraint - Prone</t>
  </si>
  <si>
    <t>EpisodesPhysical restraint - Excluding prone</t>
  </si>
  <si>
    <t>Episodes Chemical restraint</t>
  </si>
  <si>
    <t>Episodes Seclusion</t>
  </si>
  <si>
    <t>Episodes Segregation</t>
  </si>
  <si>
    <t>total episodes RPI calculated</t>
  </si>
  <si>
    <t>Episodes mechanical restraint</t>
  </si>
  <si>
    <t>From England tables of people in contact with secondary mental health, learning disabilities and autism services who spent time in hospital: Raw data</t>
  </si>
  <si>
    <t>total people undergoing physical restraint</t>
  </si>
  <si>
    <t>total people secluded</t>
  </si>
  <si>
    <t>Except for the number of involuntary admissions, this dataset uses data from a spreadsheet at :</t>
  </si>
  <si>
    <t>WHO Country report for United Kingdom 2020.  This also states that the whole population is 67.53 million</t>
  </si>
  <si>
    <t>Number of involuntary admissions</t>
  </si>
  <si>
    <t>Assuming percentage of invontary admissions in England is same as UK as a whole</t>
  </si>
  <si>
    <t>Duration of admissions</t>
  </si>
  <si>
    <t>percent involuntary admissions</t>
  </si>
  <si>
    <t>Total Involuntary admissions</t>
  </si>
  <si>
    <t>Total Admissions</t>
  </si>
  <si>
    <t>summary of findings, p. 6</t>
  </si>
  <si>
    <t>summary of findings, p. 7</t>
  </si>
  <si>
    <t>summary of findings, p. 6 and p. 14</t>
  </si>
  <si>
    <t>p. 15 says 2.8 in 2020 and 2.6 in 2019</t>
  </si>
  <si>
    <t>summary of findings, p. 6, p. 20 table 4</t>
  </si>
  <si>
    <t>summary of findings, p. 7, p. 22, Table 4</t>
  </si>
  <si>
    <t>summary of findings, p. 7, p. 23</t>
  </si>
  <si>
    <t>number of episodes of physical restraint per person restrained</t>
  </si>
  <si>
    <t>p. 23</t>
  </si>
  <si>
    <t>total duration of all physical restraints in hours</t>
  </si>
  <si>
    <t>p. 24, table 6</t>
  </si>
  <si>
    <t>average seclusion hours per person secluded</t>
  </si>
  <si>
    <t>CHO number</t>
  </si>
  <si>
    <t>total beds in CHO</t>
  </si>
  <si>
    <t>Table 7</t>
  </si>
  <si>
    <t>independent</t>
  </si>
  <si>
    <t>CAMHS</t>
  </si>
  <si>
    <t>National Specialist</t>
  </si>
  <si>
    <t>p. 16, Table 3</t>
  </si>
  <si>
    <t>From WHO Atlas</t>
  </si>
  <si>
    <t>total duration of all mechanical restraints in hours</t>
  </si>
  <si>
    <t>values above per 1M per day</t>
  </si>
  <si>
    <t>https://www.irishhealthpro.com/content/articles/show/name/diagnosis-and-length-of-stay-at-an-acute-psychiatric-unit</t>
  </si>
  <si>
    <t>59.4 days for involuntary,  or 18.9 days for voluntary  in 2015. It also states "In 2015 there were 17,860 admissions to inpatient psychiatric facilities in Ireland, of which 2,144 were involuntary admissions under the Mental Health Act 2001.1"</t>
  </si>
  <si>
    <t>percent RPI that are seclusion</t>
  </si>
  <si>
    <t>WHO report</t>
  </si>
  <si>
    <t>630 report</t>
  </si>
  <si>
    <t>raw data from 630 reports here: https://www.ncnp.go.jp/nimh/seisaku/data/</t>
  </si>
  <si>
    <t>Total admissions on a given day</t>
  </si>
  <si>
    <t>Number episodes per 100,000 people per year</t>
  </si>
  <si>
    <t>Number episodes per 1M people per day</t>
  </si>
  <si>
    <t>see sheet Japan_duration_hospital_stay</t>
  </si>
  <si>
    <t>Number episodes per 1000 bed-days</t>
  </si>
  <si>
    <t>number of beds left for rest</t>
  </si>
  <si>
    <t>The minimum number of admissions in a year will be those whose expected stay in for more than one year, plus the numbers admitted in other categories times the possible numbers of those people in one year</t>
  </si>
  <si>
    <t>total &gt; 6 months</t>
  </si>
  <si>
    <t>number of times this midpoint could go to hospital in one year</t>
  </si>
  <si>
    <t>number of admissions that this proportion can represent</t>
  </si>
  <si>
    <t>Calculated average admissions per year</t>
  </si>
  <si>
    <t>calculated average voluntary admissions</t>
  </si>
  <si>
    <t>calculated average involuntary admissions</t>
  </si>
  <si>
    <t>Table 1 from 2013 in Involuntary admissions 2003-2013 (source:  ‘ Raad voor de Rechtspraak’ Governmental Law Agency) in Broer, Koetsier, Mulder, "Stijgende trend in dwangtoepassing onder de Wet Bopz zet door; implicaties voor de nieuwe Wet verplichte geestelijke gezondheidszorg"in English: Rising trend in coercive application under the Bopz Act continues; implications for the new Compulsory mental health care</t>
  </si>
  <si>
    <t>From Spreadsheet NL_iv</t>
  </si>
  <si>
    <t>Most figures are from the spreadsheet "NL_iv_per_instelling_A_2013.xlsx" sent by Eric Noorthoorn. (shorten to NL_iv below)</t>
  </si>
  <si>
    <t>N/A</t>
  </si>
  <si>
    <t>From different spreadsheet-NL_kerncijfers Table 3</t>
  </si>
  <si>
    <t>From different spreadsheet-NL_kerncijfers Table 1</t>
  </si>
  <si>
    <t>Percent people admitted, that end up secluded in the year</t>
  </si>
  <si>
    <t>rate Gilhooley calculated for 2014</t>
  </si>
  <si>
    <t>per  1000 bed-days for whole population</t>
  </si>
  <si>
    <t>per 1 million population per day</t>
  </si>
  <si>
    <t>per 100,000 population per year</t>
  </si>
  <si>
    <t>total hours of seclusion for all seclusions</t>
  </si>
  <si>
    <t xml:space="preserve">Number of RPI (restraint incidents of all kinds  plus seclusion incidents) </t>
  </si>
  <si>
    <t>total hours of mechanical restraint</t>
  </si>
  <si>
    <t>From Lepping et al. 2017</t>
  </si>
  <si>
    <t>Total mechanical restraint episodes in year</t>
  </si>
  <si>
    <t>https://www.stats.govt.nz/information-releases/national-population-projections-2016base2068</t>
  </si>
  <si>
    <t>Numbers per 100,000 population</t>
  </si>
  <si>
    <t>Numbers per 1000 bed-days</t>
  </si>
  <si>
    <t>Numbers per 1 M per day</t>
  </si>
  <si>
    <t>Table 21 for number of clients admitted</t>
  </si>
  <si>
    <t>supplementary tables from Newton-Howes et al.</t>
  </si>
  <si>
    <t>Unless otherwise noted, the numbers and table references here are from the NZ Ministry of Health Mental Health and Addiction: Service use 2016/2017 published 3 February 2021, extracted 3 June 2020. https://www.health.govt.nz/publication/mental-health-and-addiction-service-use-2016-17-tables.  It is in the "Key findings" and also in Table 1</t>
  </si>
  <si>
    <t>Te pou references are from responses of kpi indicators for seclusion:  https://www.mhakpi.health.nz/Data/Data/Adult_Ending_2018_06_30, using 2016/2017 figures</t>
  </si>
  <si>
    <t xml:space="preserve">If they are required to be treated, then they must already have had section 14.  </t>
  </si>
  <si>
    <t>total Hours of seclusion in one year</t>
  </si>
  <si>
    <t>HBIPS-3 Num</t>
  </si>
  <si>
    <t>HBIPS3-den</t>
  </si>
  <si>
    <t>days of patient care for seclusion rate calculation</t>
  </si>
  <si>
    <t>total hours of restraint in one year</t>
  </si>
  <si>
    <t>days of patient care for restraint rate calculation</t>
  </si>
  <si>
    <t>HBIPS-3</t>
  </si>
  <si>
    <t>HBIPS-2</t>
  </si>
  <si>
    <t>hours of  restraint per 1000 hours of inpatient care</t>
  </si>
  <si>
    <t>Selected US results and calculations</t>
  </si>
  <si>
    <t>per 1000 bed-days</t>
  </si>
  <si>
    <t>per 1 M population per day</t>
  </si>
  <si>
    <t>total numbers of seclusions in one year</t>
  </si>
  <si>
    <t>average total bed-days</t>
  </si>
  <si>
    <t>Total RPI in one year</t>
  </si>
  <si>
    <t>HBIPS2-denominator</t>
  </si>
  <si>
    <t>Mean admission duration (length of stay) in days</t>
  </si>
  <si>
    <t>Lepping et al., 2016, Table 1</t>
  </si>
  <si>
    <t>per 1 M people per day</t>
  </si>
  <si>
    <t>per 100,000 people per year</t>
  </si>
  <si>
    <t>Lepping et al., 2016, Table 1 &amp; 2</t>
  </si>
  <si>
    <t>Lepping et al., 2016, Table 2</t>
  </si>
  <si>
    <t>Wales 2013--data without learning disabled but with forensic patients</t>
  </si>
  <si>
    <t>mean admission duration (days)</t>
  </si>
  <si>
    <t>average duration RPI (hr)</t>
  </si>
  <si>
    <t>Patients affected in an average time period by restraint per 100 admissions</t>
  </si>
  <si>
    <t>percent restraints that are seclusion</t>
  </si>
  <si>
    <t>Germany, Southwest</t>
  </si>
  <si>
    <t>Admission duration (days)</t>
  </si>
  <si>
    <t>Lepping et al., 2016 Table 2</t>
  </si>
  <si>
    <t>total average admissions likely in a year if people on census day have been in hospital 1/2 their likely stay</t>
  </si>
  <si>
    <t>total average admissions likely in a year if people only stay the length of time reported on census day</t>
  </si>
  <si>
    <t>Mean duration of physical restraint in hours</t>
  </si>
  <si>
    <t>Numbers of mechanical restraint in one year</t>
  </si>
  <si>
    <t>Numbers of physical restraint in one year</t>
  </si>
  <si>
    <t>RPI per 1000 bed-days</t>
  </si>
  <si>
    <t>Total RPI events in year</t>
  </si>
  <si>
    <t xml:space="preserve">Gov.Wales report </t>
  </si>
  <si>
    <t>https://gov.wales/admission-patients-mental-health-facilities-april-2020-march-2021-html</t>
  </si>
  <si>
    <t>Number of people affected by RPI per 100K population per year</t>
  </si>
  <si>
    <t>Maximum estimate of number of clients subject to RPI in year</t>
  </si>
  <si>
    <t>US Medicare without Veterans</t>
  </si>
  <si>
    <t>Veterans</t>
  </si>
  <si>
    <t>total veterans + CMS</t>
  </si>
  <si>
    <t>Percent of admission episodes that end up secluded in the year</t>
  </si>
  <si>
    <t>Rable RP.2</t>
  </si>
  <si>
    <t xml:space="preserve">VA report https://data.medicare.gov/Hospital-Compare/Veterans-Health-Administration-Behavioral-Health-D/6qxe-iqz8  </t>
  </si>
  <si>
    <t>suicide rates in OECD report</t>
  </si>
  <si>
    <t>WHO results are from WHO Atlas World Health Organisation. Mental health atlas 2020. In: Organiszation WH, editor. Geneva2021.  https://www.who.int/teams/mental-health-and-substance-use/data-research/mental-health-atlas#:~:text=The%20Mental%20Health%20Atlas%202020,Comprehensive%20Mental%20Health%20Action%20Plan.</t>
  </si>
  <si>
    <t>OECD results are from report from OECD: OECD. A New Benchmark for Mental Health Systems: Tackling the Social and Economic Costs of Mental Ill-Health,. Paris: OECD  Publishing; 2021 8 June 2021. https://doi.org/10.1787/4ed890f6-en.</t>
  </si>
  <si>
    <t>OECD measures psychiatrists per 100 K</t>
  </si>
  <si>
    <t>OECD mental health nurses per 100 K</t>
  </si>
  <si>
    <t>OECD psychologists per 100K</t>
  </si>
  <si>
    <t>Comparison of reported values from WHO and the OECD</t>
  </si>
  <si>
    <t>Selected results and calcuations from Wales dataset</t>
  </si>
  <si>
    <t>Selected results and calcuations from Australia dataset</t>
  </si>
  <si>
    <t>Selected results and calculations from England dataset</t>
  </si>
  <si>
    <t>Selected results and calculations from SW Germany dataset</t>
  </si>
  <si>
    <t>Selected results and calculations from Ireland dataset</t>
  </si>
  <si>
    <t>Selected results and calculations from Japanese dataset</t>
  </si>
  <si>
    <t>Selected results and calculations from Netherlands datasets</t>
  </si>
  <si>
    <t>Selected New Zealand results and calculations for seclusion &amp; mechanical restraint from New Zealand datasets</t>
  </si>
  <si>
    <t>population from UN population dataset in millions</t>
  </si>
  <si>
    <t>Involuntary admissions per 100,000 population including WHO and country datasets</t>
  </si>
  <si>
    <t>2016-2017 dataset</t>
  </si>
  <si>
    <t>calculated from data source in Staggs (2021)</t>
  </si>
  <si>
    <t>total numbers of all restraint events in one year</t>
  </si>
  <si>
    <t>HBIPS2-num</t>
  </si>
  <si>
    <t>Newton-Howes et al. 2020 supplementary material, and Staggs (2015) estimate that 71.4% of restraint events are mechanical and 28.6% are physical</t>
  </si>
  <si>
    <t>Percent RPI that are seclusion</t>
  </si>
  <si>
    <t>average duration seclusion</t>
  </si>
  <si>
    <t>Lepping, personal communication</t>
  </si>
  <si>
    <t>average duration physical restraint</t>
  </si>
  <si>
    <t>Lepping, personal restraint</t>
  </si>
  <si>
    <t>Number visits in community based non-hospital outpatient facility per 100K pop</t>
  </si>
  <si>
    <t>Number of visits in other outpatient facility per 100K pop</t>
  </si>
  <si>
    <t>per 100 K pop: General hospital psych unit beds/annual admissions</t>
  </si>
  <si>
    <t>6.40/n</t>
  </si>
  <si>
    <t>21.06/n</t>
  </si>
  <si>
    <t>blank or "n" means there was no answer</t>
  </si>
  <si>
    <t>Indicators or targets against which policy plans can be monitored?</t>
  </si>
  <si>
    <t>Formal collaboration with service users and family/caregiver advocacy groups? (2017 question)</t>
  </si>
  <si>
    <t>5/4</t>
  </si>
  <si>
    <t xml:space="preserve">Great Britain for WHO, United Kingdom for OECD </t>
  </si>
  <si>
    <t>Year of OECD report</t>
  </si>
  <si>
    <t>Population from WHO report</t>
  </si>
  <si>
    <t>Expenditure in EURO using exchange rate on 25 april 2022 from WHO</t>
  </si>
  <si>
    <t>Age-standardized suicide rate per 100K from WHO</t>
  </si>
  <si>
    <t>2000-3000</t>
  </si>
  <si>
    <t>11000-12000</t>
  </si>
  <si>
    <t>12000-13000</t>
  </si>
  <si>
    <t>500-1000</t>
  </si>
  <si>
    <t>Govt expenditure on mental health as percent of health expenditure from WHO</t>
  </si>
  <si>
    <t>% diff betweenWHO and OECD reports</t>
  </si>
  <si>
    <t>https://www.abs.gov.au/AUSSTATS/abs@.nsf/mf/3218.0  (archived data for end of 2017)</t>
  </si>
  <si>
    <t>percent of people admitted who were subjected to RPI</t>
  </si>
  <si>
    <t>Caluclated  Number of involuntary admissions based on ratio of population in England to the UK</t>
  </si>
  <si>
    <t>From Lepping et al. 2016 Tables 1 and 2 both stated that the total catchment area was 2,108730</t>
  </si>
  <si>
    <t>Daly &amp; Walsh (2015)</t>
  </si>
  <si>
    <t>total duration of all types of RPI in hours</t>
  </si>
  <si>
    <t>Daly &amp; Walsh table 2.13b</t>
  </si>
  <si>
    <t>"3-6 months</t>
  </si>
  <si>
    <t>sum</t>
  </si>
  <si>
    <t>number of admissions if we count 1/2 the stay</t>
  </si>
  <si>
    <t>Percent Involuntary patients on a given day</t>
  </si>
  <si>
    <t>Total inpatients on a given day</t>
  </si>
  <si>
    <t>Number of bed-days per year assuming full occupancy</t>
  </si>
  <si>
    <t>use in calculation</t>
  </si>
  <si>
    <t>total with both selusion and restraints on a given day</t>
  </si>
  <si>
    <t>mean hours of seclusion per event</t>
  </si>
  <si>
    <t>mean hours of mechanical restraint per event</t>
  </si>
  <si>
    <t>Number of clients present in the year</t>
  </si>
  <si>
    <t>Southwest Germany. Data is from 2013, from Lepping et al. Mostly from Table 2, in the column without forensic patients.  We used the original dataset to determine the separate rates of these events. We also include the total number of admissions and the population of the region as published in Lepping et al.</t>
  </si>
  <si>
    <t xml:space="preserve">From database that was used by Lepping et al., 2016 Table 2, and personal communication, Erich Flammer </t>
  </si>
  <si>
    <t>summary of findings, p. 6 and p. 14 (But Table 2 says total of 1824)</t>
  </si>
  <si>
    <t>Daly &amp; Walsh table 2.13b  average (median is much lower at 14 days</t>
  </si>
  <si>
    <t xml:space="preserve">number of bed-days in one year </t>
  </si>
  <si>
    <t>average duration of all RPI in hours</t>
  </si>
  <si>
    <t>From total on Table 7, p. 42-46: See calculation below</t>
  </si>
  <si>
    <t>percent of people with both seclusion and restraints</t>
  </si>
  <si>
    <t>total RPI on a given day, assuming 14% have both seclusion and restraints</t>
  </si>
  <si>
    <t>can't calculate since average length of stay is &gt;1 year</t>
  </si>
  <si>
    <t>return to Japan calculations</t>
  </si>
  <si>
    <t>calculated average admissions per year assuming stays are only as long as time spent to census day</t>
  </si>
  <si>
    <t>from h29_zenkoku_syushindan_kikan.xlsx  Using hospitalisations of all types, including voluntary and involuntary</t>
  </si>
  <si>
    <t>from h29_zenkoku_kikan+keitai.xlsx  we find that voluntary in each category are about half the total, getting somewhat larger as the time goes on. (varying between fractions of 0.48 for 3-6 months to 0.62 for &gt;20 years and for 0.66 for unclear.  The average is 0.53</t>
  </si>
  <si>
    <t>Mean admission duration (days) (bed days/admissions unless given)--lower limit</t>
  </si>
  <si>
    <t>hours of RPI per 1000 hours of inpatient care (max)</t>
  </si>
  <si>
    <t>assumes distributions of stay duration are same as the distributions for voluntary and involuntary on a given day, which we've verified in 630 report table h29_zennkoku_kikan_keitai.xlsx</t>
  </si>
  <si>
    <t>mean length of stay through year per person = bed days/clients</t>
  </si>
  <si>
    <t xml:space="preserve">Number of Seclusions in one year per 100K population </t>
  </si>
  <si>
    <t>Number of mechanical restraints in one year per 100 K population</t>
  </si>
  <si>
    <t>Number of physical restraints in one year per 100 K population</t>
  </si>
  <si>
    <t>Involuntary medication events in one year per 100 K population</t>
  </si>
  <si>
    <t>Hours of rpi per 1000 hours of patient care</t>
  </si>
  <si>
    <t>Psyhciatrists per 100K pop from WHO</t>
  </si>
  <si>
    <t>numbers of people not given</t>
  </si>
  <si>
    <t>Also same number published in Lepping et al. 2016</t>
  </si>
  <si>
    <t>calculated by adding RPI types</t>
  </si>
  <si>
    <t>both calculated and in Lepping et al., 2016</t>
  </si>
  <si>
    <t>Numbers per 100K population per year</t>
  </si>
  <si>
    <t>Numbers per 1 M population per day</t>
  </si>
  <si>
    <t>Hours of restraint per 1000 hours of patient care</t>
  </si>
  <si>
    <t>Total hours of restraint</t>
  </si>
  <si>
    <t>Total hours of patient care</t>
  </si>
  <si>
    <t>don't know restraint durations</t>
  </si>
  <si>
    <t>Per 100K population</t>
  </si>
  <si>
    <t>Per 1000 bed-days</t>
  </si>
  <si>
    <t>Per 1 M population per day</t>
  </si>
  <si>
    <t>Total hours of RPI in year</t>
  </si>
  <si>
    <t>Hours of RPI per 1000 hours of patient care</t>
  </si>
  <si>
    <t>Number of hours of patient care</t>
  </si>
  <si>
    <t>Number of hours of RPI per 1000 hours of patient care</t>
  </si>
  <si>
    <t>Hours of RPI per year for whole population</t>
  </si>
  <si>
    <t>Total hours of RPI in one year</t>
  </si>
  <si>
    <t>below is for adding restraints separately</t>
  </si>
  <si>
    <t>below for adding each type separately</t>
  </si>
  <si>
    <t>duration only available for seclusion</t>
  </si>
  <si>
    <t>Number of all admissions</t>
  </si>
  <si>
    <t>From Table 52 reason for collection of HoNOS scores, total admissions (Every time somebody is admitted, they are given an HoNOS test, so this is a measure of the total admissions)</t>
  </si>
  <si>
    <t>Number of people who were re-admitted</t>
  </si>
  <si>
    <t>percentage of people who were re-admitted</t>
  </si>
  <si>
    <t>Number of involuntary hospital inpatients admitted in the year from section 11</t>
  </si>
  <si>
    <t>percentage of admissions that are involuntary</t>
  </si>
  <si>
    <t>Table 19 in Yamanouchi Y. Report on the Research Project for Establishing an Effective Monitoring System for Medical Care Plans and Disability Welfare Plans (Mental Disability) (in Japanese). In: Research DoPP, editor. National Institute of Mental Health, National Center of Neurology and Psychiatry: National Institute of Mental Health; 2021. gives for 2019 a mean of 36 days and 25 days in 2014 for restraint, and a median of 2 days for both years.  So I am averaging the two years.</t>
  </si>
  <si>
    <t>Median duration for mechanical restraint (hours)</t>
  </si>
  <si>
    <t>Median duration for seclusion (hours)</t>
  </si>
  <si>
    <t>Table 18 in Yamanouchi Y. Report on the Research Project for Establishing an Effective Monitoring System for Medical Care Plans and Disability Welfare Plans (Mental Disability) (in Japanese). In: Research DoPP, editor. National Institute of Mental Health, National Center of Neurology and Psychiatry: National Institute of Mental Health; 2021. gives for 2019 a mean of 21 days and 18 days in 2014 for seclusion, and a median of 3 days in 2019 and 4 days in 2014.  So I am averaging the two years.</t>
  </si>
  <si>
    <t>Inpatient bed-days</t>
  </si>
  <si>
    <t>Table 44 for number of clients under Section 11: compulsory assessment (almost always in hospital)</t>
  </si>
  <si>
    <t>Number of involuntary re-admissions assuming that the percentage is the same as for all admissions</t>
  </si>
  <si>
    <t>Total estimated involuntary admissions</t>
  </si>
  <si>
    <t>Another reference compiling some of this material is here: Office of the Director of Mental Health and Addiction Services Annual Report 2017 (Here is the web page: https://www.health.govt.nz/publication/office-director-mental-health-and-addiction-services-annual-report-2017) s</t>
  </si>
  <si>
    <t>So for total number of people who have undergone assessment we only need to include Section 11, since everybody in 13, 14 and 30 will have already been in 11, except for people who started that process in the previous fiscal year. But then they will not be admitted in the year reported here.</t>
  </si>
  <si>
    <t>According to Giles Newton-Howes,  nearly everybody under section 11 is in hospital, not in the community.</t>
  </si>
  <si>
    <t>Average number of RPI events per affected patient</t>
  </si>
  <si>
    <t>number of RPI events per patient affected by RPI</t>
  </si>
  <si>
    <t>percentage of patients exposed to RPI</t>
  </si>
  <si>
    <t>don't know number of people in year-just admissions</t>
  </si>
  <si>
    <t>percentage of patients exposed to RPI in a given day or year</t>
  </si>
  <si>
    <t xml:space="preserve">  </t>
  </si>
  <si>
    <t>Ratio of highest to median</t>
  </si>
  <si>
    <t>Ratio of highet to lowest country</t>
  </si>
  <si>
    <t>Ratio of highest to median country</t>
  </si>
  <si>
    <t>numbers of people secluded or restrained (affected by RPI)</t>
  </si>
  <si>
    <t>OECD report of absolute number of people secluded in 2019 (Figure 3.13)</t>
  </si>
  <si>
    <t>only daily values available</t>
  </si>
  <si>
    <t>per 100,000 for population of England</t>
  </si>
  <si>
    <t>values above per 100,000 population</t>
  </si>
  <si>
    <t>total hours of restraints that we have information on, in hours</t>
  </si>
  <si>
    <t>hours of RPI per 1000 hours of patient care</t>
  </si>
  <si>
    <t>US from 2017 (severe mental disorder)</t>
  </si>
  <si>
    <t xml:space="preserve">% diff OECD compared to WHO suicides </t>
  </si>
  <si>
    <t>% diff OECD compared to WHO  psychiatrists</t>
  </si>
  <si>
    <t>% diff OECD compared to WHO mental health nurses</t>
  </si>
  <si>
    <t>% diff OECD compared to WHO psychologists</t>
  </si>
  <si>
    <t>WHO Psychologists per 100K pop</t>
  </si>
  <si>
    <t>Table 1.2</t>
  </si>
  <si>
    <t>Table 1.3</t>
  </si>
  <si>
    <t xml:space="preserve">Govt expenditure on mental health as percent of health expenditure from OECD </t>
  </si>
  <si>
    <t>Figure 18 in Yamanouchi Y. Report on the Research Project for Establishing an Effective Monitoring System for Medical Care Plans and Disability Welfare Plans (Mental Disability) (in Japanese). In: Research DoPP, editor. National Institute of Mental Health, National Center of Neurology and Psychiatry: National Institute of Mental Health; 2021. gives for 2019 a mean of 21 days and 18 days in 2014 for seclusion, and a median of 3 days in 2019 and 4 days in 2014.  So I am averaging the two years.</t>
  </si>
  <si>
    <t>Figure 19 in Yamanouchi Y. Report on the Research Project for Establishing an Effective Monitoring System for Medical Care Plans and Disability Welfare Plans (Mental Disability) (in Japanese). In: Research DoPP, editor. National Institute of Mental Health, National Center of Neurology and Psychiatry: National Institute of Mental Health; 2021. gives for 2019 a mean of 36 days and 25 days in 2014 for restraint, and a median of 2 days for both years.  So I am averaging the two years.</t>
  </si>
  <si>
    <t xml:space="preserve">Unless otherwise specified, References are from the name of the column used in the Medicare dataset for 2017, https://data.medicare.gov/Hospital-Compare/Inpatient-Psychiatric-Facility-Quality-Measure-Dat/dc76-gh7x.  It can also be accessed here on 22 April 2023: https://data.cms.gov/provider-data/search?fulltext=psychiatric
</t>
  </si>
  <si>
    <t>Sheet 4. Australia</t>
  </si>
  <si>
    <t>Sheet 5. England</t>
  </si>
  <si>
    <t>Sheet 6. Germany</t>
  </si>
  <si>
    <t>Sheet 7. Ireland</t>
  </si>
  <si>
    <t>Sheet 8. Japan</t>
  </si>
  <si>
    <t>Sheet 9. Netherlands</t>
  </si>
  <si>
    <t>Sheet 10. NZ</t>
  </si>
  <si>
    <t>Sheet 11. US</t>
  </si>
  <si>
    <t>Sheet 12. Wales</t>
  </si>
  <si>
    <t>Sheet 13. Japan admission duration</t>
  </si>
  <si>
    <t>Note:  In each Sheet, we mark in bold the raw measurements that are from original sources, giving the source in the cell below.  Calculated results are in normal font.</t>
  </si>
  <si>
    <t>Sheet 1. Final comparison</t>
  </si>
  <si>
    <t>Sheet 2. WHO</t>
  </si>
  <si>
    <t>Sheet 3. WHO vs OECD reports</t>
  </si>
  <si>
    <t>Percent of people admitted and affected by RPI</t>
  </si>
  <si>
    <t>WHO Mental health nurses per 100K pop</t>
  </si>
  <si>
    <t>(Figure 3.13)</t>
  </si>
  <si>
    <t>OECD report of absolute number of people in restraints in 2019 or latest year (Figure 3.13)</t>
  </si>
  <si>
    <t>From this spreadsheet</t>
  </si>
  <si>
    <t>Country Reports of absolute number of people in restraints from this workbook</t>
  </si>
  <si>
    <t>Country reports of absolute number of people secluded from this workbook</t>
  </si>
  <si>
    <t xml:space="preserve">Final results for comparison of Nine countries' own datasets </t>
  </si>
  <si>
    <t>notes about columns above</t>
  </si>
  <si>
    <r>
      <t>Salisbury, T., Killaspy, H., &amp; King, M. (2017). Relationship between national mental health expenditure and quality of care in longer-term psychiatric and social care facilities in Europe: Cross-sectional study. </t>
    </r>
    <r>
      <rPr>
        <i/>
        <sz val="9"/>
        <color rgb="FF181817"/>
        <rFont val="Segoe UI"/>
        <family val="2"/>
      </rPr>
      <t>British Journal of Psychiatry,</t>
    </r>
    <r>
      <rPr>
        <sz val="9"/>
        <color rgb="FF181817"/>
        <rFont val="Segoe UI"/>
        <family val="2"/>
      </rPr>
      <t> </t>
    </r>
    <r>
      <rPr>
        <i/>
        <sz val="9"/>
        <color rgb="FF181817"/>
        <rFont val="Segoe UI"/>
        <family val="2"/>
      </rPr>
      <t>211</t>
    </r>
    <r>
      <rPr>
        <sz val="9"/>
        <color rgb="FF181817"/>
        <rFont val="Segoe UI"/>
        <family val="2"/>
      </rPr>
      <t>(1), 45-49. doi:10.1192/bjp.bp.116.186213</t>
    </r>
  </si>
  <si>
    <t>Netherlands percent is from Salisbury, not WHO</t>
  </si>
  <si>
    <t>Percent of health budget from Salisbury for Great Britain and the Netherlands (see ref below)</t>
  </si>
  <si>
    <t>Germany used ratio of population in whole country to southwest Germany to get absolute numbers</t>
  </si>
  <si>
    <t>&lt;=150</t>
  </si>
  <si>
    <t>&lt;=34</t>
  </si>
  <si>
    <t>For Ireland assume can't have more people restrained than restraint events, so &lt;= means less than or equal to.</t>
  </si>
  <si>
    <t>Gilhooley reference: Voluntary and involuntary psychiatric admissions in a suburban area: comparison with national rates, diagnosis and other correlates of involuntary admission status
J. Gilhooley, E. Umama-Agada, M. Asghar, S. McManus, P. F. Whitty and B. D. Kelly
Irish Journal of Psychological Medicine 2017 Vol. 34 Pages 243–249
DOI: 10.1017/ipm.2017.44</t>
  </si>
  <si>
    <t>Results here are from the Restrictive Practices Activity Report from 2020 for Ireland  https://www.mhcirl.ie/sites/default/files/2021-12/Restrictive%20Practices%20Activity%20Report%202020.pdf, unless otherwise reported</t>
  </si>
  <si>
    <t>Daly &amp; Walsh reference: Activities of Irish Psychiatric Units and Hospitals, 2014: A. Daly and D. Walsh: Department: HRB Statistics 2015 Dublin: Health Research Board
http://hdl.handle.net/10147/601181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</si>
</sst>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1" formatCode="_-* #,##0_-;\-* #,##0_-;_-* &quot;-&quot;_-;_-@_-"/>
    <numFmt numFmtId="43" formatCode="_-* #,##0.00_-;\-* #,##0.00_-;_-* &quot;-&quot;??_-;_-@_-"/>
    <numFmt numFmtId="164" formatCode="#,##0.000_);\(#,##0.000\)"/>
    <numFmt numFmtId="165" formatCode="#,##0.0_);\(#,##0.0\)"/>
    <numFmt numFmtId="166" formatCode="0.0"/>
    <numFmt numFmtId="167" formatCode="&quot;$&quot;#,##0.00"/>
    <numFmt numFmtId="168" formatCode="[$EUR]\ #,##0.00"/>
    <numFmt numFmtId="169" formatCode="0.000"/>
  </numFmts>
  <fonts count="29">
    <font>
      <sz val="11"/>
      <color theme="1"/>
      <name val="Calibri"/>
      <family val="2"/>
      <scheme val="minor"/>
    </font>
    <font>
      <sz val="11"/>
      <color theme="1"/>
      <name val="Calibri"/>
      <family val="2"/>
      <scheme val="minor"/>
    </font>
    <font>
      <sz val="8"/>
      <color rgb="FF000000"/>
      <name val="Courier New"/>
      <family val="3"/>
    </font>
    <font>
      <sz val="10"/>
      <color theme="1"/>
      <name val="Arial"/>
      <family val="2"/>
    </font>
    <font>
      <sz val="10"/>
      <color rgb="FF000000"/>
      <name val="Arial"/>
      <family val="2"/>
    </font>
    <font>
      <u/>
      <sz val="10"/>
      <color theme="10"/>
      <name val="Arial"/>
      <family val="2"/>
    </font>
    <font>
      <b/>
      <sz val="11"/>
      <color theme="3"/>
      <name val="Arial"/>
      <family val="2"/>
    </font>
    <font>
      <sz val="11"/>
      <color theme="1"/>
      <name val="Arial"/>
      <family val="2"/>
    </font>
    <font>
      <u/>
      <sz val="11"/>
      <color theme="10"/>
      <name val="Calibri"/>
      <family val="2"/>
    </font>
    <font>
      <sz val="10"/>
      <name val="Arial"/>
      <family val="2"/>
    </font>
    <font>
      <u/>
      <sz val="10"/>
      <color indexed="30"/>
      <name val="Arial"/>
      <family val="2"/>
    </font>
    <font>
      <sz val="11"/>
      <color theme="1"/>
      <name val="Calibri"/>
      <family val="2"/>
    </font>
    <font>
      <b/>
      <sz val="10"/>
      <color theme="1"/>
      <name val="Arial"/>
      <family val="2"/>
    </font>
    <font>
      <u/>
      <sz val="12"/>
      <color rgb="FF004488"/>
      <name val="Arial"/>
      <family val="2"/>
    </font>
    <font>
      <sz val="12"/>
      <color indexed="8"/>
      <name val="Arial"/>
      <family val="2"/>
    </font>
    <font>
      <sz val="11"/>
      <name val="明朝"/>
      <family val="1"/>
      <charset val="128"/>
    </font>
    <font>
      <sz val="11"/>
      <name val="Meiryo UI"/>
      <family val="3"/>
      <charset val="128"/>
    </font>
    <font>
      <sz val="11"/>
      <color theme="1"/>
      <name val="Meiryo UI"/>
      <family val="3"/>
      <charset val="128"/>
    </font>
    <font>
      <sz val="12"/>
      <color theme="1"/>
      <name val="Calibri"/>
      <family val="2"/>
      <scheme val="minor"/>
    </font>
    <font>
      <sz val="11"/>
      <color rgb="FF202124"/>
      <name val="Calibri"/>
      <family val="2"/>
    </font>
    <font>
      <u/>
      <sz val="11"/>
      <color theme="10"/>
      <name val="Calibri"/>
      <family val="2"/>
      <scheme val="minor"/>
    </font>
    <font>
      <sz val="10"/>
      <name val="ＭＳ Ｐゴシック"/>
      <family val="3"/>
      <charset val="128"/>
    </font>
    <font>
      <sz val="11"/>
      <color theme="1"/>
      <name val="Meiryo UI"/>
      <family val="2"/>
      <charset val="128"/>
    </font>
    <font>
      <b/>
      <sz val="11"/>
      <color theme="1"/>
      <name val="Calibri"/>
      <family val="2"/>
      <scheme val="minor"/>
    </font>
    <font>
      <b/>
      <sz val="11"/>
      <color rgb="FF202124"/>
      <name val="Calibri"/>
      <family val="2"/>
    </font>
    <font>
      <b/>
      <sz val="11"/>
      <name val="Meiryo UI"/>
      <family val="3"/>
      <charset val="128"/>
    </font>
    <font>
      <b/>
      <sz val="11"/>
      <color theme="1"/>
      <name val="Meiryo UI"/>
      <family val="3"/>
      <charset val="128"/>
    </font>
    <font>
      <sz val="9"/>
      <color rgb="FF181817"/>
      <name val="Segoe UI"/>
      <family val="2"/>
    </font>
    <font>
      <i/>
      <sz val="9"/>
      <color rgb="FF181817"/>
      <name val="Segoe UI"/>
      <family val="2"/>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FFCC"/>
      </patternFill>
    </fill>
    <fill>
      <patternFill patternType="solid">
        <fgColor indexed="26"/>
      </patternFill>
    </fill>
    <fill>
      <patternFill patternType="solid">
        <fgColor theme="0"/>
        <bgColor indexed="64"/>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thin">
        <color theme="8"/>
      </bottom>
      <diagonal/>
    </border>
    <border>
      <left/>
      <right/>
      <top style="thin">
        <color theme="8"/>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0">
    <xf numFmtId="0" fontId="0" fillId="0" borderId="0"/>
    <xf numFmtId="0" fontId="2" fillId="0" borderId="0"/>
    <xf numFmtId="0" fontId="5" fillId="0" borderId="0" applyNumberFormat="0" applyFill="0" applyBorder="0" applyAlignment="0" applyProtection="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3" fillId="0" borderId="0"/>
    <xf numFmtId="0" fontId="6" fillId="0" borderId="0" applyNumberFormat="0" applyFill="0" applyBorder="0" applyAlignment="0" applyProtection="0"/>
    <xf numFmtId="0" fontId="1" fillId="0" borderId="0"/>
    <xf numFmtId="0" fontId="3" fillId="0" borderId="0"/>
    <xf numFmtId="0" fontId="3" fillId="0" borderId="0"/>
    <xf numFmtId="0" fontId="3" fillId="0" borderId="0"/>
    <xf numFmtId="0" fontId="4" fillId="0" borderId="0"/>
    <xf numFmtId="0" fontId="4" fillId="0" borderId="0" applyNumberFormat="0" applyFill="0" applyBorder="0" applyAlignment="0" applyProtection="0"/>
    <xf numFmtId="0" fontId="3"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7" fillId="0" borderId="0"/>
    <xf numFmtId="0" fontId="7" fillId="0" borderId="0"/>
    <xf numFmtId="0" fontId="9" fillId="0" borderId="0"/>
    <xf numFmtId="9" fontId="9"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0" fontId="10"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4" borderId="1" applyNumberFormat="0" applyFont="0" applyAlignment="0" applyProtection="0"/>
    <xf numFmtId="0" fontId="14" fillId="5" borderId="2" applyNumberFormat="0" applyFont="0" applyAlignment="0" applyProtection="0"/>
    <xf numFmtId="43" fontId="7" fillId="0" borderId="0" applyFont="0" applyFill="0" applyBorder="0" applyAlignment="0" applyProtection="0"/>
    <xf numFmtId="0" fontId="9" fillId="0" borderId="0"/>
    <xf numFmtId="0" fontId="1" fillId="0" borderId="0"/>
    <xf numFmtId="0" fontId="7" fillId="0" borderId="0"/>
    <xf numFmtId="0" fontId="1" fillId="0" borderId="0"/>
    <xf numFmtId="0" fontId="7" fillId="0" borderId="0"/>
    <xf numFmtId="43" fontId="1" fillId="0" borderId="0" applyFont="0" applyFill="0" applyBorder="0" applyAlignment="0" applyProtection="0"/>
    <xf numFmtId="0" fontId="15" fillId="0" borderId="0"/>
    <xf numFmtId="0" fontId="20" fillId="0" borderId="0" applyNumberFormat="0" applyFill="0" applyBorder="0" applyAlignment="0" applyProtection="0"/>
    <xf numFmtId="0" fontId="9" fillId="0" borderId="0"/>
    <xf numFmtId="0" fontId="9" fillId="0" borderId="0"/>
    <xf numFmtId="0" fontId="9" fillId="0" borderId="0">
      <alignment vertical="top"/>
    </xf>
    <xf numFmtId="0" fontId="21" fillId="0" borderId="0"/>
    <xf numFmtId="0" fontId="21" fillId="0" borderId="0"/>
    <xf numFmtId="0" fontId="22" fillId="0" borderId="0">
      <alignment vertical="center"/>
    </xf>
    <xf numFmtId="41" fontId="1" fillId="0" borderId="0" applyFont="0" applyFill="0" applyBorder="0" applyAlignment="0" applyProtection="0"/>
  </cellStyleXfs>
  <cellXfs count="190">
    <xf numFmtId="0" fontId="0" fillId="0" borderId="0" xfId="0"/>
    <xf numFmtId="0" fontId="0" fillId="0" borderId="0" xfId="0" applyAlignment="1">
      <alignment wrapText="1"/>
    </xf>
    <xf numFmtId="3" fontId="0" fillId="0" borderId="0" xfId="0" applyNumberFormat="1"/>
    <xf numFmtId="3" fontId="3" fillId="3" borderId="0" xfId="6" applyNumberFormat="1" applyFill="1"/>
    <xf numFmtId="3" fontId="3" fillId="0" borderId="0" xfId="6" applyNumberFormat="1"/>
    <xf numFmtId="3" fontId="3" fillId="0" borderId="0" xfId="6" applyNumberFormat="1" applyFill="1"/>
    <xf numFmtId="0" fontId="0" fillId="0" borderId="0" xfId="0" applyFill="1"/>
    <xf numFmtId="4" fontId="0" fillId="0" borderId="0" xfId="0" applyNumberFormat="1"/>
    <xf numFmtId="16" fontId="0" fillId="0" borderId="0" xfId="0" applyNumberFormat="1"/>
    <xf numFmtId="49" fontId="0" fillId="0" borderId="0" xfId="0" applyNumberFormat="1"/>
    <xf numFmtId="0" fontId="0" fillId="0" borderId="0" xfId="0" applyAlignment="1"/>
    <xf numFmtId="0" fontId="3" fillId="0" borderId="0" xfId="0" applyFont="1" applyFill="1"/>
    <xf numFmtId="3" fontId="3" fillId="0" borderId="0" xfId="0" applyNumberFormat="1" applyFont="1" applyFill="1" applyAlignment="1">
      <alignment horizontal="right"/>
    </xf>
    <xf numFmtId="3" fontId="3" fillId="0" borderId="0" xfId="34" applyNumberFormat="1" applyFont="1" applyFill="1" applyAlignment="1">
      <alignment horizontal="right"/>
    </xf>
    <xf numFmtId="0" fontId="3" fillId="0" borderId="0" xfId="0" applyFont="1" applyFill="1"/>
    <xf numFmtId="0" fontId="0" fillId="0" borderId="0" xfId="0"/>
    <xf numFmtId="0" fontId="9" fillId="0" borderId="4" xfId="36" applyFont="1" applyFill="1" applyBorder="1" applyAlignment="1">
      <alignment wrapText="1"/>
    </xf>
    <xf numFmtId="0" fontId="3" fillId="0" borderId="4" xfId="36" applyFont="1" applyFill="1" applyBorder="1" applyAlignment="1">
      <alignment horizontal="right"/>
    </xf>
    <xf numFmtId="0" fontId="9" fillId="0" borderId="3" xfId="0" applyFont="1" applyFill="1" applyBorder="1" applyAlignment="1">
      <alignment horizontal="right" vertical="top" wrapText="1"/>
    </xf>
    <xf numFmtId="3" fontId="12" fillId="0" borderId="0" xfId="22" applyNumberFormat="1" applyFont="1" applyFill="1" applyAlignment="1">
      <alignment horizontal="right"/>
    </xf>
    <xf numFmtId="0" fontId="0" fillId="0" borderId="0" xfId="0"/>
    <xf numFmtId="0" fontId="3" fillId="0" borderId="0" xfId="0" applyFont="1" applyFill="1"/>
    <xf numFmtId="0" fontId="3" fillId="0" borderId="3" xfId="36" applyFont="1" applyFill="1" applyBorder="1" applyAlignment="1">
      <alignment horizontal="right" vertical="top" wrapText="1"/>
    </xf>
    <xf numFmtId="0" fontId="3" fillId="0" borderId="0" xfId="36" applyFont="1" applyFill="1" applyAlignment="1">
      <alignment horizontal="right"/>
    </xf>
    <xf numFmtId="3" fontId="12" fillId="0" borderId="0" xfId="0" applyNumberFormat="1" applyFont="1" applyFill="1" applyAlignment="1">
      <alignment horizontal="right"/>
    </xf>
    <xf numFmtId="0" fontId="9" fillId="0" borderId="0" xfId="36" applyFont="1" applyFill="1" applyAlignment="1">
      <alignment horizontal="right" wrapText="1"/>
    </xf>
    <xf numFmtId="0" fontId="3" fillId="0" borderId="3" xfId="36" applyFont="1" applyFill="1" applyBorder="1" applyAlignment="1">
      <alignment horizontal="right" wrapText="1"/>
    </xf>
    <xf numFmtId="0" fontId="9" fillId="0" borderId="3" xfId="0" applyFont="1" applyFill="1" applyBorder="1" applyAlignment="1">
      <alignment horizontal="right" vertical="top" wrapText="1"/>
    </xf>
    <xf numFmtId="0" fontId="9" fillId="0" borderId="3" xfId="0" applyFont="1" applyFill="1" applyBorder="1" applyAlignment="1">
      <alignment horizontal="centerContinuous" wrapText="1"/>
    </xf>
    <xf numFmtId="0" fontId="3" fillId="0" borderId="3" xfId="36" applyFont="1" applyFill="1" applyBorder="1" applyAlignment="1">
      <alignment horizontal="centerContinuous" wrapText="1"/>
    </xf>
    <xf numFmtId="0" fontId="3" fillId="0" borderId="0" xfId="36" applyFont="1" applyFill="1" applyAlignment="1">
      <alignment horizontal="centerContinuous" wrapText="1"/>
    </xf>
    <xf numFmtId="37" fontId="16" fillId="0" borderId="5" xfId="41" applyNumberFormat="1" applyFont="1" applyBorder="1" applyAlignment="1" applyProtection="1">
      <alignment vertical="center"/>
      <protection locked="0"/>
    </xf>
    <xf numFmtId="37" fontId="17" fillId="0" borderId="6" xfId="0" applyNumberFormat="1" applyFont="1" applyBorder="1" applyAlignment="1">
      <alignment vertical="center"/>
    </xf>
    <xf numFmtId="37" fontId="17" fillId="0" borderId="0" xfId="0" applyNumberFormat="1" applyFont="1" applyAlignment="1">
      <alignment vertical="center"/>
    </xf>
    <xf numFmtId="37" fontId="0" fillId="0" borderId="0" xfId="0" applyNumberFormat="1"/>
    <xf numFmtId="0" fontId="5" fillId="0" borderId="0" xfId="2"/>
    <xf numFmtId="0" fontId="0" fillId="0" borderId="0" xfId="0"/>
    <xf numFmtId="3" fontId="3" fillId="0" borderId="0" xfId="36" applyNumberFormat="1" applyFont="1" applyFill="1" applyAlignment="1">
      <alignment horizontal="right"/>
    </xf>
    <xf numFmtId="3" fontId="9" fillId="0" borderId="0" xfId="36" applyNumberFormat="1" applyFont="1" applyFill="1" applyAlignment="1">
      <alignment horizontal="right" wrapText="1"/>
    </xf>
    <xf numFmtId="0" fontId="0" fillId="0" borderId="0" xfId="0"/>
    <xf numFmtId="0" fontId="0" fillId="0" borderId="0" xfId="0" applyFill="1" applyAlignment="1">
      <alignment wrapText="1"/>
    </xf>
    <xf numFmtId="0" fontId="0" fillId="0" borderId="0" xfId="0" applyFill="1" applyAlignment="1"/>
    <xf numFmtId="0" fontId="0" fillId="0" borderId="0" xfId="0"/>
    <xf numFmtId="164" fontId="0" fillId="0" borderId="0" xfId="0" applyNumberFormat="1"/>
    <xf numFmtId="3" fontId="0" fillId="0" borderId="0" xfId="0" applyNumberFormat="1" applyFill="1"/>
    <xf numFmtId="4" fontId="0" fillId="0" borderId="0" xfId="0" applyNumberFormat="1" applyFill="1"/>
    <xf numFmtId="49" fontId="0" fillId="0" borderId="0" xfId="0" applyNumberFormat="1" applyFill="1"/>
    <xf numFmtId="9" fontId="0" fillId="0" borderId="0" xfId="0" applyNumberFormat="1" applyFill="1"/>
    <xf numFmtId="2" fontId="0" fillId="0" borderId="0" xfId="0" applyNumberFormat="1" applyFill="1"/>
    <xf numFmtId="166" fontId="0" fillId="0" borderId="0" xfId="0" applyNumberFormat="1" applyFill="1"/>
    <xf numFmtId="0" fontId="19" fillId="0" borderId="0" xfId="0" applyFont="1"/>
    <xf numFmtId="0" fontId="0" fillId="0" borderId="0" xfId="0"/>
    <xf numFmtId="0" fontId="0" fillId="0" borderId="0" xfId="0"/>
    <xf numFmtId="0" fontId="5" fillId="0" borderId="0" xfId="2" applyFill="1" applyAlignment="1">
      <alignment wrapText="1"/>
    </xf>
    <xf numFmtId="0" fontId="5" fillId="0" borderId="0" xfId="2" applyFill="1"/>
    <xf numFmtId="0" fontId="0" fillId="0" borderId="0" xfId="0"/>
    <xf numFmtId="0" fontId="0" fillId="0" borderId="0" xfId="0"/>
    <xf numFmtId="37" fontId="16" fillId="0" borderId="0" xfId="41" applyNumberFormat="1" applyFont="1" applyBorder="1" applyAlignment="1" applyProtection="1">
      <alignment vertical="center"/>
      <protection locked="0"/>
    </xf>
    <xf numFmtId="37" fontId="17" fillId="0" borderId="0" xfId="0" applyNumberFormat="1" applyFont="1" applyBorder="1" applyAlignment="1">
      <alignment vertical="center"/>
    </xf>
    <xf numFmtId="0" fontId="0" fillId="0" borderId="0" xfId="0"/>
    <xf numFmtId="0" fontId="0" fillId="0" borderId="0" xfId="0"/>
    <xf numFmtId="0" fontId="18" fillId="0" borderId="0" xfId="0" applyFont="1"/>
    <xf numFmtId="0" fontId="18" fillId="0" borderId="0" xfId="0" applyFont="1" applyAlignment="1">
      <alignment vertical="center"/>
    </xf>
    <xf numFmtId="0" fontId="23" fillId="0" borderId="0" xfId="0" applyFont="1" applyAlignment="1">
      <alignment wrapText="1"/>
    </xf>
    <xf numFmtId="0" fontId="0" fillId="6" borderId="0" xfId="0" applyFill="1"/>
    <xf numFmtId="0" fontId="0" fillId="0" borderId="0" xfId="0" applyFont="1" applyAlignment="1">
      <alignment wrapText="1"/>
    </xf>
    <xf numFmtId="0" fontId="9" fillId="0" borderId="0" xfId="0" applyFont="1" applyFill="1" applyBorder="1" applyAlignment="1">
      <alignment horizontal="right" vertical="top" wrapText="1"/>
    </xf>
    <xf numFmtId="0" fontId="9" fillId="0" borderId="3" xfId="0" applyFont="1" applyFill="1" applyBorder="1" applyAlignment="1">
      <alignment horizontal="centerContinuous"/>
    </xf>
    <xf numFmtId="0" fontId="3" fillId="0" borderId="0" xfId="36" applyFont="1" applyFill="1" applyAlignment="1">
      <alignment horizontal="right" wrapText="1"/>
    </xf>
    <xf numFmtId="3" fontId="3" fillId="0" borderId="0" xfId="36" applyNumberFormat="1" applyFont="1" applyFill="1" applyAlignment="1">
      <alignment horizontal="right" wrapText="1"/>
    </xf>
    <xf numFmtId="0" fontId="0" fillId="0" borderId="0" xfId="0"/>
    <xf numFmtId="0" fontId="0" fillId="0" borderId="0" xfId="0"/>
    <xf numFmtId="3" fontId="0" fillId="6" borderId="0" xfId="0" applyNumberFormat="1" applyFill="1"/>
    <xf numFmtId="0" fontId="0" fillId="0" borderId="0" xfId="0"/>
    <xf numFmtId="0" fontId="0" fillId="0" borderId="0" xfId="0"/>
    <xf numFmtId="0" fontId="0" fillId="0" borderId="0" xfId="0"/>
    <xf numFmtId="0" fontId="0" fillId="0" borderId="0" xfId="0"/>
    <xf numFmtId="0" fontId="0" fillId="0" borderId="0" xfId="0"/>
    <xf numFmtId="49" fontId="0" fillId="6" borderId="0" xfId="0" applyNumberFormat="1" applyFill="1"/>
    <xf numFmtId="0" fontId="0" fillId="0" borderId="0" xfId="0"/>
    <xf numFmtId="0" fontId="0" fillId="6" borderId="0" xfId="0" applyFill="1" applyAlignment="1">
      <alignment wrapText="1"/>
    </xf>
    <xf numFmtId="0" fontId="0" fillId="0" borderId="0" xfId="0"/>
    <xf numFmtId="0" fontId="0" fillId="0" borderId="0" xfId="0"/>
    <xf numFmtId="0" fontId="0" fillId="0" borderId="0" xfId="0"/>
    <xf numFmtId="0" fontId="23" fillId="0" borderId="0" xfId="0" applyFont="1" applyFill="1"/>
    <xf numFmtId="0" fontId="23" fillId="0" borderId="0" xfId="0" applyFont="1"/>
    <xf numFmtId="0" fontId="12" fillId="0" borderId="0" xfId="0" applyFont="1" applyFill="1" applyBorder="1"/>
    <xf numFmtId="3" fontId="12" fillId="0" borderId="0" xfId="34" applyNumberFormat="1" applyFont="1" applyFill="1" applyAlignment="1">
      <alignment horizontal="right"/>
    </xf>
    <xf numFmtId="3" fontId="23" fillId="0" borderId="0" xfId="0" applyNumberFormat="1" applyFont="1"/>
    <xf numFmtId="0" fontId="23" fillId="6" borderId="0" xfId="0" applyFont="1" applyFill="1"/>
    <xf numFmtId="0" fontId="24" fillId="0" borderId="0" xfId="0" applyFont="1"/>
    <xf numFmtId="3" fontId="23" fillId="0" borderId="0" xfId="0" applyNumberFormat="1" applyFont="1" applyFill="1"/>
    <xf numFmtId="0" fontId="0" fillId="0" borderId="0" xfId="0"/>
    <xf numFmtId="37" fontId="23" fillId="0" borderId="0" xfId="0" applyNumberFormat="1" applyFont="1" applyFill="1"/>
    <xf numFmtId="0" fontId="0" fillId="0" borderId="0" xfId="0"/>
    <xf numFmtId="0" fontId="0" fillId="0" borderId="0" xfId="0" applyFont="1" applyFill="1"/>
    <xf numFmtId="0" fontId="23" fillId="0" borderId="0" xfId="0" applyFont="1" applyFill="1" applyAlignment="1">
      <alignment wrapText="1"/>
    </xf>
    <xf numFmtId="166" fontId="0" fillId="0" borderId="0" xfId="0" applyNumberFormat="1"/>
    <xf numFmtId="9" fontId="0" fillId="0" borderId="0" xfId="0" applyNumberFormat="1"/>
    <xf numFmtId="0" fontId="0" fillId="0" borderId="0" xfId="0"/>
    <xf numFmtId="0" fontId="0" fillId="0" borderId="0" xfId="0"/>
    <xf numFmtId="0" fontId="0" fillId="0" borderId="0" xfId="0"/>
    <xf numFmtId="16" fontId="23" fillId="0" borderId="0" xfId="0" applyNumberFormat="1" applyFont="1" applyFill="1"/>
    <xf numFmtId="49" fontId="23" fillId="0" borderId="0" xfId="0" applyNumberFormat="1" applyFont="1" applyFill="1"/>
    <xf numFmtId="4" fontId="23" fillId="0" borderId="0" xfId="0" applyNumberFormat="1" applyFont="1" applyFill="1"/>
    <xf numFmtId="0" fontId="0" fillId="0" borderId="0" xfId="0"/>
    <xf numFmtId="167" fontId="0" fillId="0" borderId="0" xfId="0" applyNumberFormat="1" applyFill="1"/>
    <xf numFmtId="168" fontId="0" fillId="0" borderId="0" xfId="0" applyNumberFormat="1" applyFill="1"/>
    <xf numFmtId="9" fontId="23" fillId="0" borderId="0" xfId="0" applyNumberFormat="1" applyFont="1" applyFill="1"/>
    <xf numFmtId="1" fontId="23" fillId="0" borderId="0" xfId="0" applyNumberFormat="1" applyFont="1" applyFill="1"/>
    <xf numFmtId="8" fontId="23" fillId="0" borderId="0" xfId="0" applyNumberFormat="1" applyFont="1" applyFill="1"/>
    <xf numFmtId="168" fontId="0" fillId="0" borderId="0" xfId="0" applyNumberFormat="1"/>
    <xf numFmtId="2" fontId="0" fillId="0" borderId="0" xfId="0" applyNumberFormat="1"/>
    <xf numFmtId="0" fontId="0" fillId="0" borderId="0" xfId="0"/>
    <xf numFmtId="0" fontId="0" fillId="0" borderId="0" xfId="0" applyFont="1"/>
    <xf numFmtId="0" fontId="0" fillId="0" borderId="0" xfId="0"/>
    <xf numFmtId="37" fontId="23" fillId="0" borderId="0" xfId="0" applyNumberFormat="1" applyFont="1"/>
    <xf numFmtId="0" fontId="0" fillId="0" borderId="0" xfId="0"/>
    <xf numFmtId="0" fontId="19" fillId="0" borderId="0" xfId="0" applyFont="1" applyFill="1"/>
    <xf numFmtId="0" fontId="24" fillId="0" borderId="0" xfId="0" applyFont="1" applyFill="1"/>
    <xf numFmtId="37" fontId="0" fillId="0" borderId="0" xfId="0" applyNumberFormat="1" applyFill="1"/>
    <xf numFmtId="37" fontId="25" fillId="0" borderId="5" xfId="41" applyNumberFormat="1" applyFont="1" applyBorder="1" applyAlignment="1" applyProtection="1">
      <alignment vertical="center"/>
      <protection locked="0"/>
    </xf>
    <xf numFmtId="164" fontId="26" fillId="0" borderId="6" xfId="0" applyNumberFormat="1" applyFont="1" applyBorder="1" applyAlignment="1">
      <alignment vertical="center"/>
    </xf>
    <xf numFmtId="165" fontId="26" fillId="0" borderId="6" xfId="0" applyNumberFormat="1" applyFont="1" applyBorder="1" applyAlignment="1">
      <alignment vertical="center"/>
    </xf>
    <xf numFmtId="37" fontId="26" fillId="0" borderId="6" xfId="0" applyNumberFormat="1" applyFont="1" applyBorder="1" applyAlignment="1">
      <alignment vertical="center"/>
    </xf>
    <xf numFmtId="164" fontId="23" fillId="0" borderId="0" xfId="0" applyNumberFormat="1" applyFont="1"/>
    <xf numFmtId="0" fontId="23" fillId="0" borderId="0" xfId="0" applyFont="1" applyFill="1" applyBorder="1"/>
    <xf numFmtId="39" fontId="23" fillId="0" borderId="0" xfId="0" applyNumberFormat="1" applyFont="1"/>
    <xf numFmtId="0" fontId="0" fillId="0" borderId="0" xfId="0"/>
    <xf numFmtId="0" fontId="3" fillId="3" borderId="0" xfId="3" applyFill="1" applyAlignment="1">
      <alignment vertical="center"/>
    </xf>
    <xf numFmtId="0" fontId="3" fillId="3" borderId="0" xfId="3" applyFill="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9" fillId="0" borderId="0" xfId="2" applyFont="1" applyAlignment="1"/>
    <xf numFmtId="0" fontId="0" fillId="0" borderId="0" xfId="0"/>
    <xf numFmtId="0" fontId="0" fillId="0" borderId="0" xfId="0"/>
    <xf numFmtId="4" fontId="12" fillId="0" borderId="0" xfId="15" applyNumberFormat="1" applyFont="1" applyFill="1" applyAlignment="1">
      <alignment horizontal="right"/>
    </xf>
    <xf numFmtId="0" fontId="0" fillId="0" borderId="0" xfId="0"/>
    <xf numFmtId="2" fontId="23" fillId="0" borderId="0" xfId="0" applyNumberFormat="1" applyFont="1" applyFill="1"/>
    <xf numFmtId="0" fontId="0" fillId="0" borderId="0" xfId="0"/>
    <xf numFmtId="1" fontId="0" fillId="0" borderId="0" xfId="0" applyNumberFormat="1"/>
    <xf numFmtId="0" fontId="0" fillId="0" borderId="0" xfId="0"/>
    <xf numFmtId="1" fontId="23" fillId="0" borderId="0" xfId="0" applyNumberFormat="1" applyFont="1"/>
    <xf numFmtId="0" fontId="0" fillId="0" borderId="0" xfId="0"/>
    <xf numFmtId="0" fontId="0" fillId="0" borderId="0" xfId="0"/>
    <xf numFmtId="0" fontId="0" fillId="0" borderId="7" xfId="0" applyFill="1" applyBorder="1" applyAlignment="1"/>
    <xf numFmtId="0" fontId="0" fillId="0" borderId="7" xfId="0" applyBorder="1"/>
    <xf numFmtId="0" fontId="0" fillId="0" borderId="7" xfId="0" applyFill="1" applyBorder="1"/>
    <xf numFmtId="0" fontId="0" fillId="0" borderId="7" xfId="0" applyFill="1" applyBorder="1" applyAlignment="1">
      <alignment wrapText="1"/>
    </xf>
    <xf numFmtId="0" fontId="0" fillId="0" borderId="7" xfId="0" applyBorder="1" applyAlignment="1">
      <alignment wrapText="1"/>
    </xf>
    <xf numFmtId="0" fontId="0" fillId="6" borderId="7" xfId="0" applyFill="1" applyBorder="1"/>
    <xf numFmtId="0" fontId="23" fillId="6" borderId="7" xfId="0" applyFont="1" applyFill="1" applyBorder="1"/>
    <xf numFmtId="1" fontId="23" fillId="6" borderId="7" xfId="0" applyNumberFormat="1" applyFont="1" applyFill="1" applyBorder="1"/>
    <xf numFmtId="1" fontId="0" fillId="6" borderId="7" xfId="0" applyNumberFormat="1" applyFill="1" applyBorder="1"/>
    <xf numFmtId="166" fontId="0" fillId="6" borderId="7" xfId="0" applyNumberFormat="1" applyFill="1" applyBorder="1"/>
    <xf numFmtId="166" fontId="0" fillId="0" borderId="7" xfId="0" applyNumberFormat="1" applyBorder="1"/>
    <xf numFmtId="3" fontId="23" fillId="6" borderId="7" xfId="0" applyNumberFormat="1" applyFont="1" applyFill="1" applyBorder="1"/>
    <xf numFmtId="4" fontId="23" fillId="6" borderId="7" xfId="0" applyNumberFormat="1" applyFont="1" applyFill="1" applyBorder="1"/>
    <xf numFmtId="49" fontId="23" fillId="6" borderId="7" xfId="0" applyNumberFormat="1" applyFont="1" applyFill="1" applyBorder="1"/>
    <xf numFmtId="0" fontId="0" fillId="6" borderId="7" xfId="0" applyFill="1" applyBorder="1" applyAlignment="1">
      <alignment wrapText="1"/>
    </xf>
    <xf numFmtId="0" fontId="23" fillId="0" borderId="7" xfId="0" applyFont="1" applyFill="1" applyBorder="1"/>
    <xf numFmtId="1" fontId="23" fillId="0" borderId="7" xfId="0" applyNumberFormat="1" applyFont="1" applyFill="1" applyBorder="1"/>
    <xf numFmtId="166" fontId="23" fillId="0" borderId="7" xfId="0" applyNumberFormat="1" applyFont="1" applyFill="1" applyBorder="1"/>
    <xf numFmtId="1" fontId="0" fillId="0" borderId="7" xfId="0" applyNumberFormat="1" applyFill="1" applyBorder="1"/>
    <xf numFmtId="166" fontId="0" fillId="0" borderId="7" xfId="0" applyNumberFormat="1" applyFill="1" applyBorder="1"/>
    <xf numFmtId="3" fontId="23" fillId="0" borderId="7" xfId="0" applyNumberFormat="1" applyFont="1" applyFill="1" applyBorder="1"/>
    <xf numFmtId="4" fontId="23" fillId="0" borderId="7" xfId="0" applyNumberFormat="1" applyFont="1" applyFill="1" applyBorder="1"/>
    <xf numFmtId="0" fontId="0" fillId="0" borderId="7" xfId="0" applyFont="1" applyFill="1" applyBorder="1"/>
    <xf numFmtId="3" fontId="0" fillId="0" borderId="7" xfId="0" applyNumberFormat="1" applyFill="1" applyBorder="1"/>
    <xf numFmtId="49" fontId="23" fillId="0" borderId="7" xfId="0" applyNumberFormat="1" applyFont="1" applyFill="1" applyBorder="1"/>
    <xf numFmtId="1" fontId="0" fillId="0" borderId="7" xfId="0" applyNumberFormat="1" applyFont="1" applyFill="1" applyBorder="1"/>
    <xf numFmtId="166" fontId="0" fillId="0" borderId="7" xfId="0" applyNumberFormat="1" applyFont="1" applyBorder="1"/>
    <xf numFmtId="4" fontId="0" fillId="0" borderId="7" xfId="0" applyNumberFormat="1" applyFill="1" applyBorder="1"/>
    <xf numFmtId="0" fontId="0" fillId="2" borderId="7" xfId="0" applyFill="1" applyBorder="1"/>
    <xf numFmtId="49" fontId="0" fillId="6" borderId="7" xfId="0" applyNumberFormat="1" applyFill="1" applyBorder="1"/>
    <xf numFmtId="0" fontId="0" fillId="6" borderId="7" xfId="0" applyFont="1" applyFill="1" applyBorder="1"/>
    <xf numFmtId="2" fontId="23" fillId="6" borderId="7" xfId="0" applyNumberFormat="1" applyFont="1" applyFill="1" applyBorder="1"/>
    <xf numFmtId="166" fontId="0" fillId="0" borderId="7" xfId="0" applyNumberFormat="1" applyFont="1" applyFill="1" applyBorder="1"/>
    <xf numFmtId="169" fontId="0" fillId="0" borderId="7" xfId="0" applyNumberFormat="1" applyBorder="1"/>
    <xf numFmtId="49" fontId="0" fillId="0" borderId="7" xfId="0" applyNumberFormat="1" applyFill="1" applyBorder="1"/>
    <xf numFmtId="2" fontId="0" fillId="0" borderId="7" xfId="0" applyNumberFormat="1" applyFill="1" applyBorder="1"/>
    <xf numFmtId="0" fontId="5" fillId="0" borderId="7" xfId="2" applyFill="1" applyBorder="1" applyAlignment="1">
      <alignment wrapText="1"/>
    </xf>
    <xf numFmtId="16" fontId="0" fillId="0" borderId="7" xfId="0" applyNumberFormat="1" applyFill="1" applyBorder="1"/>
    <xf numFmtId="0" fontId="27" fillId="0" borderId="0" xfId="0" applyFont="1"/>
  </cellXfs>
  <cellStyles count="50">
    <cellStyle name="Comma [0] 2" xfId="49" xr:uid="{00000000-0005-0000-0000-000000000000}"/>
    <cellStyle name="Comma 2" xfId="18" xr:uid="{00000000-0005-0000-0000-000001000000}"/>
    <cellStyle name="Comma 2 4" xfId="34" xr:uid="{00000000-0005-0000-0000-000002000000}"/>
    <cellStyle name="Comma 3" xfId="19" xr:uid="{00000000-0005-0000-0000-000003000000}"/>
    <cellStyle name="Comma 4" xfId="40" xr:uid="{00000000-0005-0000-0000-000004000000}"/>
    <cellStyle name="Followed Hyperlink 2" xfId="31" xr:uid="{00000000-0005-0000-0000-000005000000}"/>
    <cellStyle name="Heading 4 2" xfId="7" xr:uid="{00000000-0005-0000-0000-000006000000}"/>
    <cellStyle name="Hyperlink" xfId="2" builtinId="8" customBuiltin="1"/>
    <cellStyle name="Hyperlink 2" xfId="5" xr:uid="{00000000-0005-0000-0000-000008000000}"/>
    <cellStyle name="Hyperlink 3" xfId="30" xr:uid="{00000000-0005-0000-0000-000009000000}"/>
    <cellStyle name="Hyperlink 4" xfId="17" xr:uid="{00000000-0005-0000-0000-00000A000000}"/>
    <cellStyle name="Hyperlink 5" xfId="42" xr:uid="{00000000-0005-0000-0000-00000B000000}"/>
    <cellStyle name="Normal" xfId="0" builtinId="0"/>
    <cellStyle name="Normal 10" xfId="44" xr:uid="{00000000-0005-0000-0000-00000D000000}"/>
    <cellStyle name="Normal 10 2" xfId="38" xr:uid="{00000000-0005-0000-0000-00000E000000}"/>
    <cellStyle name="Normal 106" xfId="45" xr:uid="{00000000-0005-0000-0000-00000F000000}"/>
    <cellStyle name="Normal 2" xfId="3" xr:uid="{00000000-0005-0000-0000-000010000000}"/>
    <cellStyle name="Normal 2 2" xfId="6" xr:uid="{00000000-0005-0000-0000-000011000000}"/>
    <cellStyle name="Normal 2 2 2" xfId="10" xr:uid="{00000000-0005-0000-0000-000012000000}"/>
    <cellStyle name="Normal 2 2 3" xfId="11" xr:uid="{00000000-0005-0000-0000-000013000000}"/>
    <cellStyle name="Normal 2 2 4" xfId="20" xr:uid="{00000000-0005-0000-0000-000014000000}"/>
    <cellStyle name="Normal 2 3" xfId="14" xr:uid="{00000000-0005-0000-0000-000015000000}"/>
    <cellStyle name="Normal 2 3 2" xfId="36" xr:uid="{00000000-0005-0000-0000-000016000000}"/>
    <cellStyle name="Normal 2 4" xfId="16" xr:uid="{00000000-0005-0000-0000-000017000000}"/>
    <cellStyle name="Normal 2 5" xfId="48" xr:uid="{00000000-0005-0000-0000-000018000000}"/>
    <cellStyle name="Normal 3" xfId="4" xr:uid="{00000000-0005-0000-0000-000019000000}"/>
    <cellStyle name="Normal 3 2" xfId="8" xr:uid="{00000000-0005-0000-0000-00001A000000}"/>
    <cellStyle name="Normal 3 2 2" xfId="22" xr:uid="{00000000-0005-0000-0000-00001B000000}"/>
    <cellStyle name="Normal 3 3" xfId="39" xr:uid="{00000000-0005-0000-0000-00001C000000}"/>
    <cellStyle name="Normal 3 4" xfId="21" xr:uid="{00000000-0005-0000-0000-00001D000000}"/>
    <cellStyle name="Normal 3 5" xfId="43" xr:uid="{00000000-0005-0000-0000-00001E000000}"/>
    <cellStyle name="Normal 4" xfId="13" xr:uid="{00000000-0005-0000-0000-00001F000000}"/>
    <cellStyle name="Normal 4 2" xfId="9" xr:uid="{00000000-0005-0000-0000-000020000000}"/>
    <cellStyle name="Normal 4 3" xfId="23" xr:uid="{00000000-0005-0000-0000-000021000000}"/>
    <cellStyle name="Normal 5" xfId="12" xr:uid="{00000000-0005-0000-0000-000022000000}"/>
    <cellStyle name="Normal 5 2" xfId="35" xr:uid="{00000000-0005-0000-0000-000023000000}"/>
    <cellStyle name="Normal 6" xfId="1" xr:uid="{00000000-0005-0000-0000-000024000000}"/>
    <cellStyle name="Normal 9" xfId="37" xr:uid="{00000000-0005-0000-0000-000025000000}"/>
    <cellStyle name="Note 2" xfId="32" xr:uid="{00000000-0005-0000-0000-000026000000}"/>
    <cellStyle name="Note 3" xfId="33" xr:uid="{00000000-0005-0000-0000-000027000000}"/>
    <cellStyle name="Percent" xfId="15" builtinId="5"/>
    <cellStyle name="Percent 2" xfId="24" xr:uid="{00000000-0005-0000-0000-000029000000}"/>
    <cellStyle name="Percent 3" xfId="25" xr:uid="{00000000-0005-0000-0000-00002A000000}"/>
    <cellStyle name="Percent 3 2" xfId="26" xr:uid="{00000000-0005-0000-0000-00002B000000}"/>
    <cellStyle name="Percent 3 2 2" xfId="27" xr:uid="{00000000-0005-0000-0000-00002C000000}"/>
    <cellStyle name="Percent 4" xfId="28" xr:uid="{00000000-0005-0000-0000-00002D000000}"/>
    <cellStyle name="Percent 5" xfId="29" xr:uid="{00000000-0005-0000-0000-00002E000000}"/>
    <cellStyle name="標準 2" xfId="46" xr:uid="{00000000-0005-0000-0000-00002F000000}"/>
    <cellStyle name="標準 2 2" xfId="47" xr:uid="{00000000-0005-0000-0000-000030000000}"/>
    <cellStyle name="標準 8" xfId="4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hyperlink" Target="https://gov.wales/admission-patients-mental-health-facilities-april-2020-march-2021-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ihw.gov.au/mhsa" TargetMode="External"/><Relationship Id="rId1" Type="http://schemas.openxmlformats.org/officeDocument/2006/relationships/hyperlink" Target="https://www.abs.gov.au/AUSSTATS/abs@.nsf/mf/3218.0%20%20(archived%20data%20for%20end%20of%202017)"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workbookViewId="0">
      <selection activeCell="A3" sqref="A3"/>
    </sheetView>
  </sheetViews>
  <sheetFormatPr defaultRowHeight="14.5"/>
  <sheetData>
    <row r="1" spans="1:2">
      <c r="A1" s="51" t="s">
        <v>254</v>
      </c>
      <c r="B1" s="51"/>
    </row>
    <row r="2" spans="1:2">
      <c r="A2" s="35" t="s">
        <v>630</v>
      </c>
      <c r="B2" s="51" t="s">
        <v>640</v>
      </c>
    </row>
    <row r="3" spans="1:2" s="52" customFormat="1">
      <c r="A3" s="35" t="s">
        <v>631</v>
      </c>
      <c r="B3" s="52" t="s">
        <v>255</v>
      </c>
    </row>
    <row r="4" spans="1:2" s="92" customFormat="1">
      <c r="A4" s="35" t="s">
        <v>632</v>
      </c>
      <c r="B4" s="92" t="s">
        <v>469</v>
      </c>
    </row>
    <row r="5" spans="1:2" s="59" customFormat="1">
      <c r="A5" s="35" t="s">
        <v>619</v>
      </c>
      <c r="B5" s="59" t="s">
        <v>471</v>
      </c>
    </row>
    <row r="6" spans="1:2">
      <c r="A6" s="35" t="s">
        <v>620</v>
      </c>
      <c r="B6" s="51" t="s">
        <v>472</v>
      </c>
    </row>
    <row r="7" spans="1:2" s="60" customFormat="1">
      <c r="A7" s="35" t="s">
        <v>621</v>
      </c>
      <c r="B7" s="60" t="s">
        <v>473</v>
      </c>
    </row>
    <row r="8" spans="1:2" s="52" customFormat="1">
      <c r="A8" s="35" t="s">
        <v>622</v>
      </c>
      <c r="B8" s="52" t="s">
        <v>474</v>
      </c>
    </row>
    <row r="9" spans="1:2" s="73" customFormat="1">
      <c r="A9" s="35" t="s">
        <v>623</v>
      </c>
      <c r="B9" s="73" t="s">
        <v>475</v>
      </c>
    </row>
    <row r="10" spans="1:2" s="73" customFormat="1">
      <c r="A10" s="35" t="s">
        <v>624</v>
      </c>
      <c r="B10" s="73" t="s">
        <v>476</v>
      </c>
    </row>
    <row r="11" spans="1:2" s="52" customFormat="1">
      <c r="A11" s="35" t="s">
        <v>625</v>
      </c>
      <c r="B11" s="52" t="s">
        <v>477</v>
      </c>
    </row>
    <row r="12" spans="1:2" s="81" customFormat="1">
      <c r="A12" s="35" t="s">
        <v>626</v>
      </c>
      <c r="B12" s="81" t="s">
        <v>425</v>
      </c>
    </row>
    <row r="13" spans="1:2">
      <c r="A13" s="35" t="s">
        <v>627</v>
      </c>
      <c r="B13" t="s">
        <v>470</v>
      </c>
    </row>
    <row r="14" spans="1:2">
      <c r="A14" s="35" t="s">
        <v>628</v>
      </c>
      <c r="B14" s="51" t="s">
        <v>258</v>
      </c>
    </row>
    <row r="15" spans="1:2" s="147" customFormat="1">
      <c r="A15" s="35"/>
    </row>
    <row r="16" spans="1:2">
      <c r="A16" t="s">
        <v>629</v>
      </c>
    </row>
  </sheetData>
  <hyperlinks>
    <hyperlink ref="A2" location="Final_results_for_comparison!A1" display="Table S1" xr:uid="{00000000-0004-0000-0000-000000000000}"/>
    <hyperlink ref="A6" location="'England '!A1" display="Table England" xr:uid="{00000000-0004-0000-0000-000003000000}"/>
    <hyperlink ref="A14" location="japan_duration_hospital_stay!A1" display="Table Japan admission duration" xr:uid="{00000000-0004-0000-0000-000004000000}"/>
    <hyperlink ref="A11" location="'New Zealand'!A1" display="Table NZ" xr:uid="{00000000-0004-0000-0000-000006000000}"/>
    <hyperlink ref="A3" location="'WHO reports'!A1" display="Table WHO" xr:uid="{00000000-0004-0000-0000-000007000000}"/>
    <hyperlink ref="A8" location="ireland!A1" display="Table Ireland" xr:uid="{00000000-0004-0000-0000-000008000000}"/>
    <hyperlink ref="A9" location="Japan!A1" display="Table Japan" xr:uid="{00000000-0004-0000-0000-000009000000}"/>
    <hyperlink ref="A10" location="Netherlands!A1" display="Table Netherlands" xr:uid="{00000000-0004-0000-0000-00000A000000}"/>
    <hyperlink ref="A12" location="'United States'!A1" display="Table US" xr:uid="{00000000-0004-0000-0000-00000B000000}"/>
    <hyperlink ref="A13" location="Wales!A1" display="Table Wales" xr:uid="{00000000-0004-0000-0000-00000C000000}"/>
    <hyperlink ref="A5" location="Australia!A1" display="Table Australia" xr:uid="{00000000-0004-0000-0000-00000D000000}"/>
    <hyperlink ref="A7" location="'Southwest Germany'!A1" display="Table Germany" xr:uid="{00000000-0004-0000-0000-00000E000000}"/>
    <hyperlink ref="A4" location="'WHO vs OECD reports'!A1" display="Table WHO vs OECD reports" xr:uid="{6F5AB25A-9EEC-4735-BDED-EB55EA1FF6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6"/>
  <sheetViews>
    <sheetView workbookViewId="0">
      <selection activeCell="A16" sqref="A16"/>
    </sheetView>
  </sheetViews>
  <sheetFormatPr defaultRowHeight="14.5"/>
  <cols>
    <col min="10" max="10" width="12" bestFit="1" customWidth="1"/>
    <col min="15" max="15" width="8.90625" style="6"/>
    <col min="20" max="20" width="9.81640625" style="147" bestFit="1" customWidth="1"/>
    <col min="24" max="25" width="8.81640625" style="113"/>
    <col min="27" max="28" width="8.90625" style="6"/>
    <col min="29" max="30" width="8.90625" style="64"/>
  </cols>
  <sheetData>
    <row r="1" spans="1:39" s="74" customFormat="1">
      <c r="B1" s="74" t="s">
        <v>393</v>
      </c>
      <c r="O1" s="6"/>
      <c r="T1" s="147"/>
      <c r="X1" s="113"/>
      <c r="Y1" s="113"/>
      <c r="AA1" s="6"/>
      <c r="AB1" s="6"/>
      <c r="AC1" s="64"/>
      <c r="AD1" s="64"/>
    </row>
    <row r="2" spans="1:39" s="40" customFormat="1" ht="96" customHeight="1">
      <c r="A2" s="40" t="s">
        <v>0</v>
      </c>
      <c r="B2" s="40" t="s">
        <v>265</v>
      </c>
      <c r="C2" s="40" t="s">
        <v>5</v>
      </c>
      <c r="D2" s="40" t="s">
        <v>222</v>
      </c>
      <c r="E2" s="40" t="s">
        <v>403</v>
      </c>
      <c r="F2" s="40" t="s">
        <v>239</v>
      </c>
      <c r="G2" s="40" t="s">
        <v>240</v>
      </c>
      <c r="H2" s="40" t="s">
        <v>241</v>
      </c>
      <c r="I2" s="40" t="s">
        <v>242</v>
      </c>
      <c r="J2" s="40" t="s">
        <v>244</v>
      </c>
      <c r="K2" s="40" t="s">
        <v>243</v>
      </c>
      <c r="L2" s="40" t="s">
        <v>397</v>
      </c>
      <c r="M2" s="40" t="s">
        <v>291</v>
      </c>
      <c r="N2" s="40" t="s">
        <v>245</v>
      </c>
      <c r="O2" s="40" t="s">
        <v>246</v>
      </c>
      <c r="P2" s="40" t="s">
        <v>247</v>
      </c>
      <c r="Q2" s="40" t="s">
        <v>248</v>
      </c>
      <c r="R2" s="40" t="s">
        <v>293</v>
      </c>
      <c r="S2" s="40" t="s">
        <v>249</v>
      </c>
      <c r="T2" s="40" t="s">
        <v>560</v>
      </c>
      <c r="U2" s="40" t="s">
        <v>605</v>
      </c>
      <c r="V2" s="40" t="s">
        <v>402</v>
      </c>
      <c r="W2" s="40" t="s">
        <v>404</v>
      </c>
      <c r="X2" s="40" t="s">
        <v>525</v>
      </c>
      <c r="Y2" s="40" t="s">
        <v>526</v>
      </c>
      <c r="Z2" s="40" t="s">
        <v>228</v>
      </c>
      <c r="AA2" s="40" t="s">
        <v>229</v>
      </c>
      <c r="AB2" s="40" t="s">
        <v>230</v>
      </c>
      <c r="AC2" s="80" t="s">
        <v>214</v>
      </c>
      <c r="AD2" s="80" t="s">
        <v>231</v>
      </c>
    </row>
    <row r="3" spans="1:39" s="6" customFormat="1">
      <c r="A3" s="6" t="s">
        <v>1</v>
      </c>
      <c r="B3" s="6" t="s">
        <v>168</v>
      </c>
      <c r="C3" s="6">
        <v>2013</v>
      </c>
      <c r="D3" s="84">
        <v>167.78909999999999</v>
      </c>
      <c r="F3" s="84">
        <v>16047</v>
      </c>
      <c r="G3" s="84">
        <v>3659</v>
      </c>
      <c r="H3" s="6" t="s">
        <v>394</v>
      </c>
      <c r="I3" s="84">
        <v>2324</v>
      </c>
      <c r="J3" s="93">
        <v>85187</v>
      </c>
      <c r="K3" s="84">
        <v>22866</v>
      </c>
      <c r="L3" s="84">
        <v>8.3000000000000007</v>
      </c>
      <c r="M3" s="84">
        <v>68189</v>
      </c>
      <c r="N3" s="84">
        <v>5660</v>
      </c>
      <c r="O3" s="84">
        <v>1023</v>
      </c>
      <c r="P3" s="84">
        <v>1500</v>
      </c>
      <c r="Q3" s="84"/>
      <c r="R3" s="84">
        <v>7023</v>
      </c>
      <c r="S3" s="84">
        <f>145124760/24</f>
        <v>6046865</v>
      </c>
      <c r="T3" s="84">
        <f>24*S3</f>
        <v>145124760</v>
      </c>
      <c r="U3" s="84"/>
      <c r="V3" s="148">
        <v>788570.36499998847</v>
      </c>
      <c r="W3" s="109">
        <v>197366.15749999904</v>
      </c>
      <c r="X3" s="84"/>
      <c r="Y3" s="84"/>
      <c r="AA3" s="6">
        <v>13.5</v>
      </c>
      <c r="AB3" s="6">
        <v>0.5</v>
      </c>
      <c r="AD3" s="64" t="s">
        <v>7</v>
      </c>
    </row>
    <row r="4" spans="1:39">
      <c r="D4" t="s">
        <v>405</v>
      </c>
      <c r="F4" s="75" t="s">
        <v>392</v>
      </c>
      <c r="G4" s="75" t="s">
        <v>392</v>
      </c>
      <c r="I4" s="75" t="s">
        <v>392</v>
      </c>
      <c r="J4" t="s">
        <v>392</v>
      </c>
      <c r="K4" t="s">
        <v>391</v>
      </c>
      <c r="L4" t="s">
        <v>395</v>
      </c>
      <c r="M4" s="75" t="s">
        <v>396</v>
      </c>
      <c r="N4" s="75" t="s">
        <v>395</v>
      </c>
      <c r="O4" s="6" t="s">
        <v>395</v>
      </c>
      <c r="P4" s="6" t="s">
        <v>395</v>
      </c>
      <c r="R4" s="6" t="s">
        <v>395</v>
      </c>
      <c r="S4" s="77" t="s">
        <v>392</v>
      </c>
      <c r="V4" s="77" t="s">
        <v>392</v>
      </c>
      <c r="W4" s="145" t="s">
        <v>392</v>
      </c>
      <c r="AA4" s="6" t="s">
        <v>395</v>
      </c>
      <c r="AB4" s="6" t="s">
        <v>395</v>
      </c>
      <c r="AE4" s="6"/>
      <c r="AF4" s="6"/>
      <c r="AG4" s="6"/>
      <c r="AH4" s="6"/>
      <c r="AI4" s="6"/>
      <c r="AJ4" s="6"/>
      <c r="AK4" s="6"/>
      <c r="AL4" s="6"/>
      <c r="AM4" s="6"/>
    </row>
    <row r="5" spans="1:39">
      <c r="O5" s="6" t="s">
        <v>7</v>
      </c>
    </row>
    <row r="6" spans="1:39" s="6" customFormat="1">
      <c r="A6" s="54"/>
      <c r="U6" s="6">
        <f>V3+W3</f>
        <v>985936.52249998751</v>
      </c>
      <c r="X6" s="6">
        <f>V3/F3</f>
        <v>49.141295257679843</v>
      </c>
      <c r="Y6" s="6">
        <f>W3/G3</f>
        <v>53.939917327138303</v>
      </c>
      <c r="AA6" s="6" t="s">
        <v>7</v>
      </c>
      <c r="AB6" s="6" t="s">
        <v>7</v>
      </c>
      <c r="AC6" s="64">
        <f>K3/J3*100</f>
        <v>26.842123798232127</v>
      </c>
      <c r="AD6" s="64">
        <f>F3/E8*100</f>
        <v>72.841579664094411</v>
      </c>
    </row>
    <row r="7" spans="1:39" s="6" customFormat="1">
      <c r="Q7" s="6" t="s">
        <v>7</v>
      </c>
      <c r="AA7" s="6" t="s">
        <v>7</v>
      </c>
      <c r="AC7" s="64"/>
      <c r="AD7" s="64"/>
    </row>
    <row r="8" spans="1:39" s="6" customFormat="1">
      <c r="A8" s="77" t="s">
        <v>317</v>
      </c>
      <c r="E8" s="6">
        <f>F3+G3+I3</f>
        <v>22030</v>
      </c>
      <c r="W8" s="41"/>
      <c r="X8" s="41"/>
      <c r="Y8" s="41"/>
      <c r="AC8" s="64"/>
      <c r="AD8" s="64"/>
    </row>
    <row r="9" spans="1:39" s="73" customFormat="1" ht="21" customHeight="1">
      <c r="A9" s="77"/>
      <c r="E9" s="6"/>
      <c r="K9" s="1"/>
      <c r="O9" s="6"/>
      <c r="T9" s="147"/>
      <c r="U9" s="6"/>
      <c r="V9" s="6"/>
      <c r="W9" s="6"/>
      <c r="X9" s="6"/>
      <c r="Y9" s="6"/>
      <c r="Z9" s="6">
        <f>S3/J3</f>
        <v>70.983424700952028</v>
      </c>
      <c r="AA9" s="6"/>
      <c r="AB9" s="6"/>
      <c r="AC9" s="64"/>
      <c r="AD9" s="64"/>
      <c r="AE9" s="6"/>
      <c r="AG9" s="6"/>
      <c r="AH9" s="6"/>
      <c r="AI9" s="6"/>
      <c r="AJ9" s="6"/>
    </row>
    <row r="10" spans="1:39" s="73" customFormat="1">
      <c r="A10" s="77" t="s">
        <v>401</v>
      </c>
      <c r="E10" s="77">
        <f>E8/$D$3</f>
        <v>131.29577547051628</v>
      </c>
      <c r="F10" s="77">
        <f>F3/$D$3</f>
        <v>95.637916884946648</v>
      </c>
      <c r="G10" s="77">
        <f>G3/$D$3</f>
        <v>21.807137650777079</v>
      </c>
      <c r="I10" s="77">
        <f>I3/$D$3</f>
        <v>13.850720934792546</v>
      </c>
      <c r="J10" s="73">
        <f>J3/$D$3</f>
        <v>507.70282455773349</v>
      </c>
      <c r="K10" s="77">
        <f>K3/$D$3</f>
        <v>136.27822069490807</v>
      </c>
      <c r="M10" s="77">
        <f>M3/$D$3</f>
        <v>406.39707823690577</v>
      </c>
      <c r="N10" s="77">
        <f>N3/$D$3</f>
        <v>33.732822930690972</v>
      </c>
      <c r="O10" s="6">
        <f>O3/$D$3</f>
        <v>6.0969395509005055</v>
      </c>
      <c r="P10" s="77">
        <f>P3/$D$3</f>
        <v>8.9397940629039674</v>
      </c>
      <c r="R10" s="77">
        <f>R3/$D$3</f>
        <v>41.856115802516378</v>
      </c>
      <c r="S10" s="77">
        <f>S3/$D$3</f>
        <v>36038.48521745453</v>
      </c>
      <c r="T10" s="147"/>
      <c r="U10" s="6"/>
      <c r="V10" s="6"/>
      <c r="W10" s="6"/>
      <c r="X10" s="6"/>
      <c r="Y10" s="6"/>
      <c r="Z10" s="6"/>
      <c r="AA10" s="6"/>
      <c r="AB10" s="6"/>
      <c r="AC10" s="64"/>
      <c r="AD10" s="64"/>
      <c r="AE10" s="6"/>
      <c r="AG10" s="6"/>
      <c r="AH10" s="6"/>
      <c r="AI10" s="6"/>
      <c r="AJ10" s="6"/>
    </row>
    <row r="11" spans="1:39" s="73" customFormat="1">
      <c r="A11" s="77" t="s">
        <v>399</v>
      </c>
      <c r="E11" s="77">
        <f>E8/($S$3/1000)</f>
        <v>3.6432101593139588</v>
      </c>
      <c r="F11" s="77">
        <f>F3/($S$3/1000)</f>
        <v>2.6537718305270581</v>
      </c>
      <c r="G11" s="77">
        <f>G3/($S$3/1000)</f>
        <v>0.60510694384610875</v>
      </c>
      <c r="I11" s="77">
        <f>I3/($S$3/1000)</f>
        <v>0.38433138494079166</v>
      </c>
      <c r="J11" s="73">
        <f>J3/($S$3/1000)</f>
        <v>14.0877959074661</v>
      </c>
      <c r="K11" s="77">
        <f>K3/($S$3/1000)</f>
        <v>3.7814636179243295</v>
      </c>
      <c r="M11" s="77">
        <f>M3/($S$3/1000)</f>
        <v>11.276752499022221</v>
      </c>
      <c r="N11" s="77">
        <f>N3/($S$3/1000)</f>
        <v>0.93602221977834799</v>
      </c>
      <c r="O11" s="6">
        <f>O3/($S$3/1000)</f>
        <v>0.1691785743521643</v>
      </c>
      <c r="P11" s="77">
        <f>P3/($S$3/1000)</f>
        <v>0.24806242573631129</v>
      </c>
      <c r="R11" s="77">
        <f>R3/($S$3/1000)</f>
        <v>1.1614282772974096</v>
      </c>
      <c r="S11" s="77">
        <f>S3/($S$3/1000)</f>
        <v>1000</v>
      </c>
      <c r="T11" s="147"/>
      <c r="U11" s="6"/>
      <c r="V11" s="6"/>
      <c r="W11" s="6"/>
      <c r="X11" s="6"/>
      <c r="Y11" s="6"/>
      <c r="Z11" s="6"/>
      <c r="AA11" s="6"/>
      <c r="AB11" s="6"/>
      <c r="AC11" s="64"/>
      <c r="AD11" s="64"/>
      <c r="AE11" s="6"/>
      <c r="AG11" s="6"/>
      <c r="AH11" s="6"/>
      <c r="AI11" s="6"/>
      <c r="AJ11" s="6"/>
    </row>
    <row r="12" spans="1:39">
      <c r="A12" t="s">
        <v>400</v>
      </c>
      <c r="E12" s="77">
        <f>E10/36.5</f>
        <v>3.5971445334388021</v>
      </c>
      <c r="J12">
        <f>J10/36.5</f>
        <v>13.909666426239275</v>
      </c>
    </row>
    <row r="13" spans="1:39">
      <c r="A13" t="s">
        <v>566</v>
      </c>
      <c r="E13">
        <f>U6/T3*1000</f>
        <v>6.7937168164825046</v>
      </c>
      <c r="AA13" s="6" t="s">
        <v>7</v>
      </c>
    </row>
    <row r="16" spans="1:39">
      <c r="A16" s="35" t="s">
        <v>257</v>
      </c>
    </row>
  </sheetData>
  <hyperlinks>
    <hyperlink ref="A16" location="'Table of Contents'!A1" display="return to table of contents" xr:uid="{00000000-0004-0000-08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26"/>
  <sheetViews>
    <sheetView zoomScale="110" zoomScaleNormal="110" workbookViewId="0">
      <selection activeCell="A7" sqref="A7"/>
    </sheetView>
  </sheetViews>
  <sheetFormatPr defaultRowHeight="14.5"/>
  <cols>
    <col min="1" max="1" width="22.54296875" customWidth="1"/>
    <col min="2" max="5" width="8.90625" style="20"/>
    <col min="6" max="6" width="8.81640625" style="128"/>
    <col min="7" max="8" width="8.81640625" style="138"/>
    <col min="9" max="9" width="8.90625" style="79"/>
    <col min="10" max="11" width="8.81640625" style="140"/>
    <col min="12" max="12" width="8.90625" style="137"/>
    <col min="14" max="14" width="8.81640625" style="79"/>
    <col min="16" max="17" width="8.81640625" style="20"/>
    <col min="18" max="19" width="8.81640625" style="79"/>
    <col min="20" max="20" width="8.81640625" style="20"/>
    <col min="21" max="21" width="8.81640625" style="83"/>
    <col min="22" max="23" width="8.81640625" style="134"/>
    <col min="31" max="31" width="8.90625" style="36"/>
  </cols>
  <sheetData>
    <row r="1" spans="1:26" s="40" customFormat="1" ht="96" customHeight="1">
      <c r="A1" s="40" t="s">
        <v>0</v>
      </c>
      <c r="B1" s="40" t="s">
        <v>305</v>
      </c>
      <c r="C1" s="40" t="s">
        <v>5</v>
      </c>
      <c r="D1" s="40" t="s">
        <v>222</v>
      </c>
      <c r="E1" s="40" t="s">
        <v>527</v>
      </c>
      <c r="F1" s="40" t="s">
        <v>574</v>
      </c>
      <c r="G1" s="40" t="s">
        <v>576</v>
      </c>
      <c r="H1" s="40" t="s">
        <v>577</v>
      </c>
      <c r="I1" s="40" t="s">
        <v>578</v>
      </c>
      <c r="J1" s="40" t="s">
        <v>586</v>
      </c>
      <c r="K1" s="40" t="s">
        <v>587</v>
      </c>
      <c r="L1" s="40" t="s">
        <v>579</v>
      </c>
      <c r="M1" s="40" t="s">
        <v>239</v>
      </c>
      <c r="N1" s="40" t="s">
        <v>406</v>
      </c>
      <c r="O1" s="40" t="s">
        <v>403</v>
      </c>
      <c r="P1" s="40" t="s">
        <v>374</v>
      </c>
      <c r="Q1" s="40" t="s">
        <v>226</v>
      </c>
      <c r="R1" s="40" t="s">
        <v>227</v>
      </c>
      <c r="S1" s="1" t="s">
        <v>584</v>
      </c>
      <c r="T1" s="1" t="s">
        <v>252</v>
      </c>
      <c r="U1" s="1" t="s">
        <v>456</v>
      </c>
      <c r="V1" s="1" t="s">
        <v>570</v>
      </c>
      <c r="W1" s="1" t="s">
        <v>566</v>
      </c>
      <c r="X1" s="40" t="s">
        <v>542</v>
      </c>
      <c r="Y1" s="40" t="s">
        <v>545</v>
      </c>
      <c r="Z1" s="1" t="s">
        <v>26</v>
      </c>
    </row>
    <row r="2" spans="1:26" s="6" customFormat="1">
      <c r="A2" s="6" t="s">
        <v>480</v>
      </c>
      <c r="B2" s="6" t="s">
        <v>14</v>
      </c>
      <c r="C2" s="6" t="s">
        <v>9</v>
      </c>
      <c r="D2" s="84">
        <v>46.9</v>
      </c>
      <c r="E2" s="84">
        <v>10015</v>
      </c>
      <c r="F2" s="84">
        <v>10611</v>
      </c>
      <c r="G2" s="84">
        <f>F2-E2</f>
        <v>596</v>
      </c>
      <c r="H2" s="95">
        <f>G2/E2*100</f>
        <v>5.9510733899151269</v>
      </c>
      <c r="I2" s="84">
        <v>5422</v>
      </c>
      <c r="J2" s="84">
        <f>(H2/100)*I2</f>
        <v>322.66719920119817</v>
      </c>
      <c r="K2" s="95">
        <f>I2+J2</f>
        <v>5744.6671992011979</v>
      </c>
      <c r="L2" s="6">
        <f>K2/F2*100</f>
        <v>54.138791812281575</v>
      </c>
      <c r="M2" s="84">
        <v>2513</v>
      </c>
      <c r="N2" s="84">
        <v>34</v>
      </c>
      <c r="Q2" s="84">
        <v>22.2</v>
      </c>
      <c r="R2" s="84">
        <f>65.4/60</f>
        <v>1.0900000000000001</v>
      </c>
      <c r="S2" s="85">
        <v>293019</v>
      </c>
      <c r="T2" s="85">
        <v>960</v>
      </c>
      <c r="U2" s="83"/>
      <c r="V2" s="134"/>
      <c r="W2" s="134"/>
      <c r="X2" s="6">
        <f>S2/F2</f>
        <v>27.614645179530676</v>
      </c>
      <c r="Y2" s="6">
        <f>S2/E2</f>
        <v>29.258012980529205</v>
      </c>
      <c r="Z2" s="84">
        <v>2.2000000000000002</v>
      </c>
    </row>
    <row r="3" spans="1:26" s="6" customFormat="1">
      <c r="A3" s="6" t="s">
        <v>264</v>
      </c>
      <c r="D3" s="6" t="s">
        <v>407</v>
      </c>
      <c r="E3" s="6" t="s">
        <v>411</v>
      </c>
      <c r="F3" s="6" t="s">
        <v>575</v>
      </c>
      <c r="I3" s="140" t="s">
        <v>585</v>
      </c>
      <c r="J3" s="140"/>
      <c r="K3" s="140"/>
      <c r="M3" s="6" t="s">
        <v>262</v>
      </c>
      <c r="N3" s="6" t="s">
        <v>412</v>
      </c>
      <c r="Q3" s="79" t="s">
        <v>263</v>
      </c>
      <c r="R3" s="6" t="s">
        <v>412</v>
      </c>
      <c r="S3" s="79" t="s">
        <v>261</v>
      </c>
      <c r="T3" s="79" t="s">
        <v>262</v>
      </c>
      <c r="U3" s="83"/>
      <c r="V3" s="134"/>
      <c r="W3" s="134"/>
      <c r="Z3" s="140" t="s">
        <v>263</v>
      </c>
    </row>
    <row r="4" spans="1:26" s="6" customFormat="1">
      <c r="A4" s="79" t="s">
        <v>413</v>
      </c>
    </row>
    <row r="5" spans="1:26" s="6" customFormat="1">
      <c r="A5" s="79" t="s">
        <v>414</v>
      </c>
    </row>
    <row r="6" spans="1:26" s="6" customFormat="1">
      <c r="A6" s="6" t="s">
        <v>588</v>
      </c>
      <c r="F6" s="6" t="s">
        <v>7</v>
      </c>
      <c r="I6" s="6" t="s">
        <v>7</v>
      </c>
    </row>
    <row r="7" spans="1:26" s="6" customFormat="1">
      <c r="F7" s="6" t="s">
        <v>7</v>
      </c>
      <c r="I7" s="6" t="s">
        <v>7</v>
      </c>
    </row>
    <row r="8" spans="1:26" s="6" customFormat="1">
      <c r="A8" s="6" t="s">
        <v>317</v>
      </c>
      <c r="I8" s="45" t="s">
        <v>7</v>
      </c>
      <c r="J8" s="45"/>
      <c r="K8" s="45"/>
      <c r="L8" s="45"/>
      <c r="O8" s="95">
        <f>M2+N2</f>
        <v>2547</v>
      </c>
      <c r="P8" s="6">
        <f>M2/O8*100</f>
        <v>98.665096191597954</v>
      </c>
      <c r="U8" s="6">
        <f>T2+N2</f>
        <v>994</v>
      </c>
      <c r="V8" s="6">
        <f>R2*N2+Q2*M2</f>
        <v>55825.659999999996</v>
      </c>
      <c r="W8" s="6">
        <f>V8/(S2*24)*1000</f>
        <v>7.9382878470906881</v>
      </c>
      <c r="X8" s="6">
        <f>S2/E2</f>
        <v>29.258012980529205</v>
      </c>
    </row>
    <row r="9" spans="1:26" s="6" customFormat="1">
      <c r="A9" s="6" t="s">
        <v>408</v>
      </c>
      <c r="E9" s="6">
        <f>E2/$D$2</f>
        <v>213.53944562899787</v>
      </c>
      <c r="F9" s="6">
        <f>F2/$D$2</f>
        <v>226.24733475479744</v>
      </c>
      <c r="I9" s="6" t="s">
        <v>7</v>
      </c>
      <c r="K9" s="6">
        <f>K2/$D$2</f>
        <v>122.48757354373556</v>
      </c>
      <c r="M9" s="6">
        <f>M2/$D$2</f>
        <v>53.582089552238806</v>
      </c>
      <c r="N9" s="6">
        <f>N2/$D$2</f>
        <v>0.72494669509594889</v>
      </c>
      <c r="O9" s="6">
        <f>O8/$D$2</f>
        <v>54.307036247334757</v>
      </c>
      <c r="T9" s="6">
        <f>T2/$D$2</f>
        <v>20.469083155650321</v>
      </c>
      <c r="U9" s="6">
        <f>U8/$D$2</f>
        <v>21.194029850746269</v>
      </c>
    </row>
    <row r="10" spans="1:26" s="6" customFormat="1">
      <c r="A10" s="6" t="s">
        <v>409</v>
      </c>
      <c r="E10" s="6">
        <f>E2/$S$2*1000</f>
        <v>34.178671007682098</v>
      </c>
      <c r="F10" s="6">
        <f>F2/$S$2*1000</f>
        <v>36.212668803046903</v>
      </c>
      <c r="I10" s="6" t="s">
        <v>7</v>
      </c>
      <c r="K10" s="6">
        <f>K2/$S$2*1000</f>
        <v>19.6051013729526</v>
      </c>
      <c r="M10" s="6">
        <f>M2/$S$2*1000</f>
        <v>8.5762356707244241</v>
      </c>
      <c r="N10" s="6">
        <f>N2/$S$2*1000</f>
        <v>0.11603343127920032</v>
      </c>
      <c r="O10" s="6">
        <f>O8/$S$2*1000</f>
        <v>8.6922691020036247</v>
      </c>
      <c r="P10" s="6" t="s">
        <v>7</v>
      </c>
      <c r="T10" s="6">
        <f>T2/$S$2*1000</f>
        <v>3.276238059648009</v>
      </c>
      <c r="U10" s="6">
        <f>U8/$S$2*1000</f>
        <v>3.3922714909272096</v>
      </c>
    </row>
    <row r="11" spans="1:26" s="6" customFormat="1">
      <c r="A11" s="6" t="s">
        <v>410</v>
      </c>
      <c r="E11" s="6">
        <f>E9/36.5</f>
        <v>5.8503957706574754</v>
      </c>
      <c r="F11" s="6">
        <f>F9/36.5</f>
        <v>6.198557116569793</v>
      </c>
      <c r="I11" s="6" t="s">
        <v>7</v>
      </c>
      <c r="K11" s="6">
        <f>K9/36.5</f>
        <v>3.3558239327050838</v>
      </c>
      <c r="M11" s="6">
        <f>M9/36.5</f>
        <v>1.4680024534859948</v>
      </c>
      <c r="N11" s="6">
        <f>N9/36.5</f>
        <v>1.9861553290299969E-2</v>
      </c>
      <c r="O11" s="6">
        <f>O9/36.5</f>
        <v>1.4878640067762947</v>
      </c>
      <c r="T11" s="6">
        <f>T9/36.5</f>
        <v>0.56079679878494026</v>
      </c>
      <c r="U11" s="6">
        <f>U9/36.5</f>
        <v>0.58065835207524019</v>
      </c>
    </row>
    <row r="12" spans="1:26" s="6" customFormat="1">
      <c r="A12" s="6" t="s">
        <v>566</v>
      </c>
      <c r="O12" s="6">
        <f>W8</f>
        <v>7.9382878470906881</v>
      </c>
    </row>
    <row r="13" spans="1:26" s="136" customFormat="1">
      <c r="G13" s="138"/>
      <c r="H13" s="138"/>
      <c r="J13" s="140"/>
      <c r="K13" s="140"/>
      <c r="L13" s="137"/>
      <c r="P13" s="35"/>
    </row>
    <row r="14" spans="1:26">
      <c r="A14" s="35" t="s">
        <v>257</v>
      </c>
    </row>
    <row r="15" spans="1:26">
      <c r="B15" s="3"/>
      <c r="C15" s="3"/>
      <c r="D15" s="2"/>
      <c r="E15" s="2"/>
      <c r="F15" s="2"/>
      <c r="G15" s="2"/>
      <c r="H15" s="2"/>
      <c r="O15" s="2"/>
      <c r="P15" s="2"/>
      <c r="Q15" s="2"/>
      <c r="R15" s="2"/>
      <c r="S15" s="2"/>
      <c r="T15" s="2"/>
      <c r="U15" s="2"/>
      <c r="V15" s="2"/>
      <c r="W15" s="2"/>
      <c r="X15" s="2"/>
      <c r="Y15" s="2"/>
    </row>
    <row r="16" spans="1:26">
      <c r="A16" s="35"/>
      <c r="B16" s="10" t="s">
        <v>118</v>
      </c>
      <c r="C16" s="4"/>
      <c r="D16" s="2"/>
      <c r="E16" s="2"/>
      <c r="F16" s="2"/>
      <c r="G16" s="2"/>
      <c r="H16" s="2"/>
      <c r="I16" s="2"/>
      <c r="J16" s="2"/>
      <c r="K16" s="2"/>
      <c r="L16" s="2"/>
      <c r="P16" s="5"/>
      <c r="Q16" s="5"/>
      <c r="R16" s="5"/>
      <c r="S16" s="5"/>
      <c r="T16" s="5"/>
      <c r="U16" s="5"/>
      <c r="V16" s="5"/>
      <c r="W16" s="5"/>
      <c r="X16" s="2"/>
      <c r="Y16" s="2"/>
    </row>
    <row r="17" spans="2:25">
      <c r="B17"/>
      <c r="C17" s="4"/>
      <c r="D17" s="129"/>
      <c r="E17" s="2"/>
      <c r="F17" s="2"/>
      <c r="G17" s="2"/>
      <c r="H17" s="2"/>
      <c r="I17" s="2"/>
      <c r="J17" s="2"/>
      <c r="K17" s="2"/>
      <c r="L17" s="2"/>
      <c r="P17" s="2"/>
      <c r="Q17" s="2"/>
      <c r="R17" s="2"/>
      <c r="S17" s="2"/>
      <c r="T17" s="2"/>
      <c r="U17" s="2"/>
      <c r="V17" s="2"/>
      <c r="W17" s="2"/>
      <c r="X17" s="2"/>
      <c r="Y17" s="2"/>
    </row>
    <row r="18" spans="2:25">
      <c r="B18" t="s">
        <v>119</v>
      </c>
      <c r="C18" s="4"/>
      <c r="D18" s="130"/>
      <c r="E18" s="2"/>
      <c r="F18" s="2"/>
      <c r="G18" s="2"/>
      <c r="H18" s="2"/>
      <c r="I18" s="2"/>
      <c r="J18" s="2"/>
      <c r="K18" s="2"/>
      <c r="L18" s="2"/>
      <c r="P18" s="2"/>
      <c r="Q18" s="2"/>
      <c r="R18" s="2"/>
      <c r="S18" s="2"/>
      <c r="T18" s="2"/>
      <c r="U18" s="2"/>
      <c r="V18" s="2"/>
      <c r="W18" s="2"/>
      <c r="X18" s="2"/>
      <c r="Y18" s="2"/>
    </row>
    <row r="19" spans="2:25">
      <c r="B19" t="s">
        <v>120</v>
      </c>
      <c r="C19" s="3"/>
      <c r="D19" s="2"/>
      <c r="E19" s="2"/>
      <c r="F19" s="2"/>
      <c r="G19" s="2"/>
      <c r="H19" s="2"/>
      <c r="I19" s="2"/>
      <c r="J19" s="2"/>
      <c r="K19" s="2"/>
      <c r="L19" s="2"/>
      <c r="P19" s="2"/>
      <c r="Q19" s="2"/>
      <c r="R19" s="2"/>
      <c r="S19" s="2"/>
      <c r="T19" s="2"/>
      <c r="U19" s="2"/>
      <c r="V19" s="2"/>
      <c r="W19" s="2"/>
      <c r="X19" s="2"/>
      <c r="Y19" s="2"/>
    </row>
    <row r="20" spans="2:25">
      <c r="B20" t="s">
        <v>121</v>
      </c>
      <c r="C20" s="3"/>
      <c r="D20" s="2"/>
      <c r="E20" s="2"/>
      <c r="F20" s="2"/>
      <c r="G20" s="2"/>
      <c r="H20" s="2"/>
      <c r="I20" s="2"/>
      <c r="J20" s="2"/>
      <c r="K20" s="2"/>
      <c r="L20" s="2"/>
      <c r="P20" s="2"/>
      <c r="Q20" s="2"/>
      <c r="R20" s="2"/>
      <c r="S20" s="2"/>
      <c r="T20" s="2"/>
      <c r="U20" s="2"/>
      <c r="V20" s="2"/>
      <c r="W20" s="2"/>
      <c r="X20" s="2"/>
      <c r="Y20" s="2"/>
    </row>
    <row r="21" spans="2:25" ht="21" customHeight="1">
      <c r="B21" t="s">
        <v>122</v>
      </c>
      <c r="P21" s="10"/>
      <c r="Q21" s="10"/>
      <c r="R21" s="10"/>
      <c r="S21" s="10"/>
      <c r="T21" s="10"/>
      <c r="U21" s="10"/>
      <c r="V21" s="10"/>
      <c r="W21" s="10"/>
    </row>
    <row r="22" spans="2:25">
      <c r="B22" t="s">
        <v>415</v>
      </c>
    </row>
    <row r="23" spans="2:25">
      <c r="B23" t="s">
        <v>123</v>
      </c>
    </row>
    <row r="24" spans="2:25">
      <c r="B24" t="s">
        <v>124</v>
      </c>
    </row>
    <row r="25" spans="2:25">
      <c r="B25" t="s">
        <v>589</v>
      </c>
    </row>
    <row r="26" spans="2:25">
      <c r="B26" t="s">
        <v>590</v>
      </c>
    </row>
  </sheetData>
  <hyperlinks>
    <hyperlink ref="A14" location="'Table of Contents'!A1" display="return to table of contents" xr:uid="{00000000-0004-0000-09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15"/>
  <sheetViews>
    <sheetView workbookViewId="0">
      <selection activeCell="A5" sqref="A5"/>
    </sheetView>
  </sheetViews>
  <sheetFormatPr defaultRowHeight="14.5"/>
  <cols>
    <col min="7" max="8" width="8.90625" style="82"/>
    <col min="9" max="9" width="8.90625" style="81"/>
    <col min="10" max="10" width="8.81640625" style="81"/>
    <col min="12" max="12" width="8.90625" style="82"/>
    <col min="13" max="13" width="8.90625" style="81"/>
    <col min="14" max="14" width="8.81640625" style="81"/>
    <col min="16" max="16" width="8.81640625" style="100"/>
    <col min="17" max="17" width="8.81640625" style="94"/>
    <col min="18" max="20" width="8.90625" style="82"/>
    <col min="21" max="21" width="11" style="81" bestFit="1" customWidth="1"/>
    <col min="22" max="23" width="11" style="82" customWidth="1"/>
    <col min="24" max="24" width="11" style="6" customWidth="1"/>
    <col min="25" max="25" width="8.81640625" style="6"/>
    <col min="26" max="27" width="8.90625" style="6"/>
    <col min="28" max="28" width="10" style="6" bestFit="1" customWidth="1"/>
    <col min="29" max="30" width="8.81640625" style="6"/>
  </cols>
  <sheetData>
    <row r="1" spans="1:32" s="40" customFormat="1" ht="96" customHeight="1">
      <c r="A1" s="40" t="s">
        <v>0</v>
      </c>
      <c r="B1" s="40" t="s">
        <v>305</v>
      </c>
      <c r="C1" s="40" t="s">
        <v>5</v>
      </c>
      <c r="D1" s="40" t="s">
        <v>222</v>
      </c>
      <c r="E1" s="40" t="s">
        <v>226</v>
      </c>
      <c r="F1" s="40" t="s">
        <v>227</v>
      </c>
      <c r="G1" s="40" t="s">
        <v>448</v>
      </c>
      <c r="H1" s="40" t="s">
        <v>432</v>
      </c>
      <c r="I1" s="40" t="s">
        <v>416</v>
      </c>
      <c r="J1" s="40" t="s">
        <v>419</v>
      </c>
      <c r="K1" s="40" t="s">
        <v>8</v>
      </c>
      <c r="L1" s="40" t="s">
        <v>428</v>
      </c>
      <c r="M1" s="40" t="s">
        <v>420</v>
      </c>
      <c r="N1" s="40" t="s">
        <v>421</v>
      </c>
      <c r="O1" s="40" t="s">
        <v>424</v>
      </c>
      <c r="P1" s="40" t="s">
        <v>543</v>
      </c>
      <c r="Q1" s="40" t="s">
        <v>482</v>
      </c>
      <c r="R1" s="40" t="s">
        <v>449</v>
      </c>
      <c r="S1" s="40" t="s">
        <v>450</v>
      </c>
      <c r="T1" s="40" t="s">
        <v>430</v>
      </c>
      <c r="U1" s="40" t="s">
        <v>429</v>
      </c>
    </row>
    <row r="2" spans="1:32" s="6" customFormat="1">
      <c r="A2" s="6" t="s">
        <v>457</v>
      </c>
      <c r="B2" s="6" t="s">
        <v>2</v>
      </c>
      <c r="C2" s="6">
        <v>2017</v>
      </c>
      <c r="D2" s="84">
        <v>3258</v>
      </c>
      <c r="E2" s="6">
        <v>6.4</v>
      </c>
      <c r="F2" s="6">
        <v>4.0599999999999996</v>
      </c>
      <c r="G2" s="6">
        <v>0.79</v>
      </c>
      <c r="H2" s="6" t="s">
        <v>279</v>
      </c>
      <c r="I2" s="85">
        <v>155194.4</v>
      </c>
      <c r="J2" s="85">
        <v>28425227</v>
      </c>
      <c r="K2" s="84">
        <v>0.23</v>
      </c>
      <c r="M2" s="85">
        <v>250637.92</v>
      </c>
      <c r="N2" s="85">
        <v>29102920</v>
      </c>
      <c r="O2" s="84">
        <v>0.36</v>
      </c>
      <c r="P2" s="95">
        <f>O2+K2</f>
        <v>0.59</v>
      </c>
      <c r="W2" s="84"/>
      <c r="Y2" s="84"/>
      <c r="Z2" s="84"/>
      <c r="AF2" s="85"/>
    </row>
    <row r="3" spans="1:32">
      <c r="A3" t="s">
        <v>306</v>
      </c>
      <c r="D3" s="6" t="s">
        <v>4</v>
      </c>
      <c r="E3" s="81" t="s">
        <v>481</v>
      </c>
      <c r="F3" s="94" t="s">
        <v>481</v>
      </c>
      <c r="G3" s="94" t="s">
        <v>481</v>
      </c>
      <c r="H3" s="81" t="s">
        <v>7</v>
      </c>
      <c r="I3" s="81" t="s">
        <v>417</v>
      </c>
      <c r="J3" s="81" t="s">
        <v>418</v>
      </c>
      <c r="K3" t="s">
        <v>422</v>
      </c>
      <c r="M3" s="81" t="s">
        <v>483</v>
      </c>
      <c r="N3" s="81" t="s">
        <v>431</v>
      </c>
      <c r="O3" t="s">
        <v>423</v>
      </c>
      <c r="Q3" s="94" t="s">
        <v>484</v>
      </c>
      <c r="R3" s="82" t="s">
        <v>484</v>
      </c>
    </row>
    <row r="4" spans="1:32" ht="21" customHeight="1">
      <c r="A4" s="1" t="s">
        <v>618</v>
      </c>
    </row>
    <row r="5" spans="1:32">
      <c r="A5" t="s">
        <v>458</v>
      </c>
      <c r="B5" t="s">
        <v>462</v>
      </c>
      <c r="C5">
        <v>2017</v>
      </c>
      <c r="I5" s="85">
        <v>214.1</v>
      </c>
      <c r="J5" s="85">
        <v>786112</v>
      </c>
      <c r="M5" s="85">
        <v>312.8</v>
      </c>
      <c r="N5" s="85">
        <v>786112</v>
      </c>
    </row>
    <row r="6" spans="1:32">
      <c r="A6" t="s">
        <v>459</v>
      </c>
      <c r="I6" s="83">
        <f>I5+I2</f>
        <v>155408.5</v>
      </c>
      <c r="J6" s="81">
        <f>J5+J2</f>
        <v>29211339</v>
      </c>
      <c r="M6" s="83">
        <f>M5+M2</f>
        <v>250950.72</v>
      </c>
      <c r="N6" s="83">
        <f>N5+N2</f>
        <v>29889032</v>
      </c>
    </row>
    <row r="7" spans="1:32">
      <c r="A7" t="s">
        <v>325</v>
      </c>
      <c r="L7" s="6">
        <f>I6/E2</f>
        <v>24282.578125</v>
      </c>
      <c r="Q7" s="95">
        <f>M2/(0.714*F2+0.286*G2)</f>
        <v>80209.781168594287</v>
      </c>
      <c r="R7" s="6">
        <f>Q7*0.714</f>
        <v>57269.783754376316</v>
      </c>
      <c r="S7" s="6">
        <f>Q7*0.286</f>
        <v>22939.997414217964</v>
      </c>
      <c r="T7" s="82">
        <f>Q7+L7</f>
        <v>104492.35929359429</v>
      </c>
      <c r="U7" s="81">
        <f>AVERAGE(J2,N2)</f>
        <v>28764073.5</v>
      </c>
    </row>
    <row r="8" spans="1:32">
      <c r="J8" s="81">
        <f>0.714*4.06+0.286*0.79</f>
        <v>3.1247799999999994</v>
      </c>
      <c r="Q8" s="6"/>
    </row>
    <row r="9" spans="1:32">
      <c r="A9" t="s">
        <v>401</v>
      </c>
      <c r="L9" s="82">
        <f>L7/$D$2</f>
        <v>7.4532161218538979</v>
      </c>
      <c r="R9" s="82">
        <f>R7/$D$2</f>
        <v>17.578202502877936</v>
      </c>
      <c r="S9" s="82">
        <f>S7/$D$2</f>
        <v>7.0411287336457837</v>
      </c>
      <c r="T9" s="82">
        <f>T7/$D$2</f>
        <v>32.072547358377619</v>
      </c>
      <c r="U9" s="82">
        <f>U7/$D$2</f>
        <v>8828.7518416206258</v>
      </c>
    </row>
    <row r="10" spans="1:32">
      <c r="A10" t="s">
        <v>426</v>
      </c>
      <c r="L10" s="82">
        <f>L7/$U$7*1000</f>
        <v>0.84419816702943695</v>
      </c>
      <c r="R10" s="82">
        <f>R7/$U$7*1000</f>
        <v>1.991017849206105</v>
      </c>
      <c r="S10" s="82">
        <f>S7/$U$7*1000</f>
        <v>0.79752255584446208</v>
      </c>
      <c r="T10" s="82">
        <f>T7/$U$7*1000</f>
        <v>3.6327385720800041</v>
      </c>
      <c r="U10" s="82">
        <f>U7/$U$7*1000</f>
        <v>1000</v>
      </c>
    </row>
    <row r="11" spans="1:32">
      <c r="A11" t="s">
        <v>427</v>
      </c>
      <c r="L11" s="82">
        <f>L9/36.5</f>
        <v>0.20419770196859993</v>
      </c>
      <c r="R11" s="82">
        <f>R9/36.5</f>
        <v>0.48159458911994346</v>
      </c>
      <c r="S11" s="82">
        <f>S9/36.5</f>
        <v>0.19290763653824064</v>
      </c>
      <c r="T11" s="82">
        <f>T9/36.5</f>
        <v>0.87869992762678406</v>
      </c>
      <c r="U11" s="82">
        <f>U9/36.5</f>
        <v>241.88361209919523</v>
      </c>
      <c r="AF11" s="6"/>
    </row>
    <row r="12" spans="1:32">
      <c r="A12" t="s">
        <v>606</v>
      </c>
      <c r="T12" s="82">
        <f>P2</f>
        <v>0.59</v>
      </c>
    </row>
    <row r="15" spans="1:32">
      <c r="A15" s="35" t="s">
        <v>256</v>
      </c>
    </row>
  </sheetData>
  <hyperlinks>
    <hyperlink ref="A15" location="'Table of Contents'!A1" display="Return to Table of Contents" xr:uid="{00000000-0004-0000-0A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15"/>
  <sheetViews>
    <sheetView workbookViewId="0">
      <selection activeCell="A15" sqref="A15"/>
    </sheetView>
  </sheetViews>
  <sheetFormatPr defaultRowHeight="14.5"/>
  <cols>
    <col min="5" max="5" width="8.90625" style="82"/>
    <col min="8" max="9" width="8.90625" style="82"/>
    <col min="11" max="11" width="8.90625" style="82"/>
    <col min="13" max="14" width="8.81640625" style="94"/>
  </cols>
  <sheetData>
    <row r="1" spans="1:23">
      <c r="A1" t="s">
        <v>438</v>
      </c>
    </row>
    <row r="2" spans="1:23" s="40" customFormat="1" ht="96" customHeight="1">
      <c r="A2" s="40" t="s">
        <v>0</v>
      </c>
      <c r="B2" s="40" t="s">
        <v>305</v>
      </c>
      <c r="C2" s="40" t="s">
        <v>5</v>
      </c>
      <c r="D2" s="40" t="s">
        <v>222</v>
      </c>
      <c r="E2" s="40" t="s">
        <v>244</v>
      </c>
      <c r="F2" s="40" t="s">
        <v>214</v>
      </c>
      <c r="G2" s="40" t="s">
        <v>243</v>
      </c>
      <c r="H2" s="40" t="s">
        <v>452</v>
      </c>
      <c r="I2" s="40" t="s">
        <v>239</v>
      </c>
      <c r="J2" s="40" t="s">
        <v>245</v>
      </c>
      <c r="K2" s="40" t="s">
        <v>439</v>
      </c>
      <c r="L2" s="40" t="s">
        <v>440</v>
      </c>
      <c r="M2" s="40" t="s">
        <v>486</v>
      </c>
      <c r="N2" s="40" t="s">
        <v>488</v>
      </c>
      <c r="O2" s="40" t="s">
        <v>293</v>
      </c>
      <c r="P2" s="40" t="s">
        <v>249</v>
      </c>
      <c r="Q2" s="40" t="s">
        <v>292</v>
      </c>
      <c r="S2" s="40" t="s">
        <v>231</v>
      </c>
      <c r="T2" s="40" t="s">
        <v>133</v>
      </c>
      <c r="U2" s="40" t="s">
        <v>441</v>
      </c>
      <c r="V2" s="40" t="s">
        <v>236</v>
      </c>
      <c r="W2" s="40" t="s">
        <v>237</v>
      </c>
    </row>
    <row r="3" spans="1:23" s="6" customFormat="1">
      <c r="A3" s="6" t="s">
        <v>1</v>
      </c>
      <c r="B3" s="6" t="s">
        <v>302</v>
      </c>
      <c r="C3" s="6">
        <v>2013</v>
      </c>
      <c r="D3" s="84">
        <f>3099820/100000</f>
        <v>30.998200000000001</v>
      </c>
      <c r="E3" s="84">
        <v>10842</v>
      </c>
      <c r="F3" s="84">
        <v>26</v>
      </c>
      <c r="G3" s="6" t="s">
        <v>7</v>
      </c>
      <c r="H3" s="84">
        <v>1886</v>
      </c>
      <c r="I3" s="6">
        <f>H3*0.017</f>
        <v>32.062000000000005</v>
      </c>
      <c r="K3" s="84">
        <v>46.5</v>
      </c>
      <c r="L3" s="84">
        <f>8.54/60</f>
        <v>0.14233333333333331</v>
      </c>
      <c r="M3" s="84">
        <v>1</v>
      </c>
      <c r="N3" s="84">
        <v>0.1</v>
      </c>
      <c r="O3" s="96">
        <v>582</v>
      </c>
      <c r="P3" s="84">
        <v>504960</v>
      </c>
      <c r="S3" s="84">
        <v>1.7</v>
      </c>
      <c r="T3" s="84">
        <v>17.399999999999999</v>
      </c>
      <c r="U3" s="84">
        <v>5.37</v>
      </c>
      <c r="V3" s="84">
        <v>3.24</v>
      </c>
      <c r="W3" s="84">
        <v>5.37</v>
      </c>
    </row>
    <row r="4" spans="1:23">
      <c r="D4" t="s">
        <v>433</v>
      </c>
      <c r="E4" s="82" t="s">
        <v>436</v>
      </c>
      <c r="F4" t="s">
        <v>453</v>
      </c>
      <c r="H4" s="82" t="s">
        <v>437</v>
      </c>
      <c r="I4" s="82" t="s">
        <v>437</v>
      </c>
      <c r="J4" s="82" t="s">
        <v>437</v>
      </c>
      <c r="K4" s="82" t="s">
        <v>437</v>
      </c>
      <c r="L4" s="82" t="s">
        <v>437</v>
      </c>
      <c r="M4" s="94" t="s">
        <v>487</v>
      </c>
      <c r="N4" s="94" t="s">
        <v>489</v>
      </c>
      <c r="O4" s="82" t="s">
        <v>437</v>
      </c>
      <c r="P4" s="82" t="s">
        <v>437</v>
      </c>
      <c r="S4" s="82" t="s">
        <v>437</v>
      </c>
      <c r="T4" s="82" t="s">
        <v>437</v>
      </c>
      <c r="U4" s="82" t="s">
        <v>437</v>
      </c>
    </row>
    <row r="5" spans="1:23">
      <c r="F5" s="35" t="s">
        <v>454</v>
      </c>
    </row>
    <row r="7" spans="1:23">
      <c r="A7" t="s">
        <v>141</v>
      </c>
    </row>
    <row r="8" spans="1:23">
      <c r="A8" t="s">
        <v>317</v>
      </c>
      <c r="J8" s="95">
        <f>O3*0.983</f>
        <v>572.10599999999999</v>
      </c>
    </row>
    <row r="9" spans="1:23">
      <c r="G9" s="6">
        <f>F3*E3/100</f>
        <v>2818.92</v>
      </c>
      <c r="Q9" s="6">
        <f>H3/E3*100</f>
        <v>17.395314517616676</v>
      </c>
    </row>
    <row r="10" spans="1:23">
      <c r="A10" t="s">
        <v>435</v>
      </c>
      <c r="E10" s="82">
        <f>E3/$D$3</f>
        <v>349.76224425934407</v>
      </c>
      <c r="G10" s="99">
        <f>G9/$D$3</f>
        <v>90.938183507429457</v>
      </c>
      <c r="H10" s="82">
        <f>H3/$D$3</f>
        <v>60.84224245278758</v>
      </c>
      <c r="I10" s="82">
        <f>I3/$D$3</f>
        <v>1.0343181216973889</v>
      </c>
      <c r="J10" s="82">
        <f>J8/$D$3</f>
        <v>18.456103902807261</v>
      </c>
      <c r="O10" s="83">
        <f>O3/$D$3</f>
        <v>18.775283726151841</v>
      </c>
    </row>
    <row r="11" spans="1:23">
      <c r="A11" t="s">
        <v>426</v>
      </c>
      <c r="E11" s="82">
        <f>E3/$P$3*1000</f>
        <v>21.471007604562736</v>
      </c>
      <c r="G11" s="99">
        <f>G9/$P$3*1000</f>
        <v>5.5824619771863127</v>
      </c>
      <c r="H11" s="82">
        <f>H3/$P$3*1000</f>
        <v>3.7349493029150822</v>
      </c>
      <c r="I11" s="82">
        <f>I3/$P$3*1000</f>
        <v>6.3494138149556414E-2</v>
      </c>
      <c r="J11" s="82">
        <f>J8/$P$3*1000</f>
        <v>1.1329729087452471</v>
      </c>
    </row>
    <row r="12" spans="1:23">
      <c r="A12" t="s">
        <v>434</v>
      </c>
      <c r="E12" s="82">
        <f>E10/36.5</f>
        <v>9.5825272399820296</v>
      </c>
      <c r="G12" s="99">
        <f>G10/36.5</f>
        <v>2.4914570823953275</v>
      </c>
      <c r="H12" s="82">
        <f>H10/36.5</f>
        <v>1.6669107521311666</v>
      </c>
      <c r="I12" s="82">
        <f>I10/36.5</f>
        <v>2.8337482786229832E-2</v>
      </c>
      <c r="J12" s="82">
        <f>J10/36.5</f>
        <v>0.50564668226869203</v>
      </c>
    </row>
    <row r="13" spans="1:23">
      <c r="A13" t="s">
        <v>566</v>
      </c>
      <c r="H13" s="82">
        <f>H3*L3/(P3*24)*1000</f>
        <v>2.2150324338121391E-2</v>
      </c>
    </row>
    <row r="14" spans="1:23" s="147" customFormat="1"/>
    <row r="15" spans="1:23">
      <c r="A15" s="35" t="s">
        <v>256</v>
      </c>
    </row>
  </sheetData>
  <hyperlinks>
    <hyperlink ref="A15" location="'Table of Contents'!A1" display="Return to Table of Contents" xr:uid="{00000000-0004-0000-0B00-000000000000}"/>
    <hyperlink ref="F5" r:id="rId1" xr:uid="{2DACD6CB-C354-4888-9F03-55329B86A7D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30"/>
  <sheetViews>
    <sheetView workbookViewId="0"/>
  </sheetViews>
  <sheetFormatPr defaultColWidth="8.90625" defaultRowHeight="14.5"/>
  <cols>
    <col min="1" max="1" width="8.90625" style="20"/>
    <col min="2" max="2" width="11.08984375" style="20" customWidth="1"/>
    <col min="3" max="3" width="13.90625" style="20" customWidth="1"/>
    <col min="4" max="4" width="13" style="20" customWidth="1"/>
    <col min="5" max="5" width="11.90625" style="20" customWidth="1"/>
    <col min="6" max="6" width="12" style="20" customWidth="1"/>
    <col min="7" max="7" width="10.08984375" style="20" customWidth="1"/>
    <col min="8" max="8" width="12.90625" style="20" customWidth="1"/>
    <col min="9" max="9" width="13.08984375" style="20" customWidth="1"/>
    <col min="10" max="10" width="10.90625" style="20" customWidth="1"/>
    <col min="11" max="11" width="8.90625" style="20"/>
    <col min="12" max="12" width="12.90625" style="20" customWidth="1"/>
    <col min="13" max="13" width="11" style="20" bestFit="1" customWidth="1"/>
    <col min="14" max="15" width="11" style="20" customWidth="1"/>
    <col min="16" max="16" width="11" style="73" customWidth="1"/>
    <col min="17" max="17" width="11" style="20" customWidth="1"/>
    <col min="18" max="16384" width="8.90625" style="20"/>
  </cols>
  <sheetData>
    <row r="1" spans="1:23">
      <c r="A1" s="42">
        <v>2017</v>
      </c>
      <c r="B1" s="42" t="s">
        <v>540</v>
      </c>
      <c r="C1" s="42"/>
      <c r="D1" s="42"/>
      <c r="E1" s="42"/>
      <c r="F1" s="42" t="s">
        <v>111</v>
      </c>
      <c r="G1" s="42"/>
      <c r="H1" s="42"/>
      <c r="I1" s="42"/>
      <c r="J1" s="42"/>
      <c r="K1" s="42"/>
      <c r="L1" s="42"/>
      <c r="M1" s="42"/>
      <c r="N1" s="42"/>
      <c r="O1" s="42"/>
      <c r="Q1" s="42"/>
      <c r="R1" s="42"/>
      <c r="S1" s="42"/>
      <c r="T1" s="42"/>
      <c r="U1" s="42"/>
      <c r="V1" s="42"/>
      <c r="W1" s="42"/>
    </row>
    <row r="2" spans="1:23" s="115" customFormat="1">
      <c r="B2" s="115" t="s">
        <v>541</v>
      </c>
    </row>
    <row r="3" spans="1:23">
      <c r="A3" s="150" t="s">
        <v>87</v>
      </c>
      <c r="B3" s="42" t="s">
        <v>88</v>
      </c>
      <c r="C3" s="42" t="s">
        <v>89</v>
      </c>
      <c r="D3" s="42" t="s">
        <v>90</v>
      </c>
      <c r="E3" s="8" t="s">
        <v>517</v>
      </c>
      <c r="F3" s="8" t="s">
        <v>91</v>
      </c>
      <c r="G3" s="42" t="s">
        <v>92</v>
      </c>
      <c r="H3" s="42" t="s">
        <v>93</v>
      </c>
      <c r="I3" s="42" t="s">
        <v>94</v>
      </c>
      <c r="J3" s="42" t="s">
        <v>95</v>
      </c>
      <c r="K3" s="42" t="s">
        <v>96</v>
      </c>
      <c r="L3" s="42" t="s">
        <v>97</v>
      </c>
      <c r="M3" s="42" t="s">
        <v>98</v>
      </c>
      <c r="N3" s="42" t="s">
        <v>99</v>
      </c>
      <c r="O3" s="42" t="s">
        <v>100</v>
      </c>
      <c r="P3" s="73" t="s">
        <v>385</v>
      </c>
      <c r="Q3" s="42" t="s">
        <v>383</v>
      </c>
      <c r="R3" s="42" t="s">
        <v>101</v>
      </c>
      <c r="S3" s="42"/>
      <c r="T3" s="42" t="s">
        <v>102</v>
      </c>
      <c r="U3" s="42" t="s">
        <v>103</v>
      </c>
      <c r="V3" s="42"/>
      <c r="W3" s="42"/>
    </row>
    <row r="4" spans="1:23" ht="15">
      <c r="A4" s="150"/>
      <c r="B4" s="31">
        <v>284172</v>
      </c>
      <c r="C4" s="32">
        <v>27721</v>
      </c>
      <c r="D4" s="32">
        <v>33760</v>
      </c>
      <c r="E4" s="32">
        <v>21750</v>
      </c>
      <c r="F4" s="32">
        <v>25950</v>
      </c>
      <c r="G4" s="32">
        <v>81535</v>
      </c>
      <c r="H4" s="32">
        <v>38003</v>
      </c>
      <c r="I4" s="32">
        <v>29158</v>
      </c>
      <c r="J4" s="32">
        <v>25776</v>
      </c>
      <c r="K4" s="32">
        <v>519</v>
      </c>
      <c r="L4" s="33"/>
      <c r="M4" s="34">
        <f>SUM(C4:J4)</f>
        <v>283653</v>
      </c>
      <c r="N4" s="34">
        <f>SUM(C4:F4)</f>
        <v>109181</v>
      </c>
      <c r="O4" s="34">
        <f>SUM(G4:J4)</f>
        <v>174472</v>
      </c>
      <c r="P4" s="34">
        <f>SUM(F4:K4)</f>
        <v>200941</v>
      </c>
      <c r="Q4" s="34">
        <f>M4-P4</f>
        <v>82712</v>
      </c>
      <c r="R4" s="42"/>
      <c r="S4" s="42"/>
      <c r="T4" s="42"/>
      <c r="U4" s="42"/>
      <c r="V4" s="42"/>
      <c r="W4" s="42"/>
    </row>
    <row r="5" spans="1:23" s="56" customFormat="1" ht="15">
      <c r="A5" s="150"/>
      <c r="B5" s="57" t="s">
        <v>297</v>
      </c>
      <c r="C5" s="58">
        <f>C4</f>
        <v>27721</v>
      </c>
      <c r="D5" s="58">
        <f t="shared" ref="D5:J5" si="0">C5+D4</f>
        <v>61481</v>
      </c>
      <c r="E5" s="58">
        <f t="shared" si="0"/>
        <v>83231</v>
      </c>
      <c r="F5" s="58">
        <f t="shared" si="0"/>
        <v>109181</v>
      </c>
      <c r="G5" s="58">
        <f t="shared" si="0"/>
        <v>190716</v>
      </c>
      <c r="H5" s="58">
        <f t="shared" si="0"/>
        <v>228719</v>
      </c>
      <c r="I5" s="58">
        <f t="shared" si="0"/>
        <v>257877</v>
      </c>
      <c r="J5" s="58">
        <f t="shared" si="0"/>
        <v>283653</v>
      </c>
      <c r="K5" s="58" t="s">
        <v>298</v>
      </c>
      <c r="L5" s="33"/>
      <c r="M5" s="34"/>
      <c r="N5" s="34"/>
      <c r="O5" s="34"/>
      <c r="P5" s="34"/>
      <c r="Q5" s="34"/>
    </row>
    <row r="6" spans="1:23">
      <c r="A6" s="150"/>
      <c r="B6" s="6" t="s">
        <v>104</v>
      </c>
      <c r="C6" s="6">
        <f>0.3*C4</f>
        <v>8316.2999999999993</v>
      </c>
      <c r="D6" s="120">
        <f>2*D4</f>
        <v>67520</v>
      </c>
      <c r="E6" s="6">
        <f>6*E4</f>
        <v>130500</v>
      </c>
      <c r="F6" s="6">
        <f>12*F4</f>
        <v>311400</v>
      </c>
      <c r="G6" s="6">
        <f>24*G4</f>
        <v>1956840</v>
      </c>
      <c r="H6" s="6">
        <f>120*H4</f>
        <v>4560360</v>
      </c>
      <c r="I6" s="6">
        <f>240*I4</f>
        <v>6997920</v>
      </c>
      <c r="J6" s="6">
        <f>300*J4</f>
        <v>7732800</v>
      </c>
      <c r="K6" s="6"/>
      <c r="L6" s="42"/>
      <c r="M6" s="42">
        <f>SUM(C6:J6)</f>
        <v>21765656.300000001</v>
      </c>
      <c r="N6" s="34">
        <f t="shared" ref="N6:N7" si="1">SUM(C6:F6)</f>
        <v>517736.3</v>
      </c>
      <c r="O6" s="34">
        <f t="shared" ref="O6:O7" si="2">SUM(G6:J6)</f>
        <v>21247920</v>
      </c>
      <c r="P6" s="34"/>
      <c r="Q6" s="34"/>
      <c r="R6" s="42">
        <f>M6/M4</f>
        <v>76.733390092824692</v>
      </c>
      <c r="S6" s="42">
        <f>AVERAGE(R6:R7)</f>
        <v>112.00484095003402</v>
      </c>
      <c r="T6" s="42">
        <f>S6*30</f>
        <v>3360.1452285010205</v>
      </c>
      <c r="U6" s="42">
        <f>S6/12</f>
        <v>9.333736745836168</v>
      </c>
      <c r="V6" s="42"/>
      <c r="W6" s="42"/>
    </row>
    <row r="7" spans="1:23">
      <c r="A7" s="150"/>
      <c r="B7" s="6" t="s">
        <v>105</v>
      </c>
      <c r="C7" s="120">
        <f>C4*2</f>
        <v>55442</v>
      </c>
      <c r="D7" s="6">
        <f>6*D4</f>
        <v>202560</v>
      </c>
      <c r="E7" s="6">
        <f>12*E4</f>
        <v>261000</v>
      </c>
      <c r="F7" s="6">
        <f>24*F4</f>
        <v>622800</v>
      </c>
      <c r="G7" s="6">
        <f>120*G4</f>
        <v>9784200</v>
      </c>
      <c r="H7" s="6">
        <f>240*H4</f>
        <v>9120720</v>
      </c>
      <c r="I7" s="6">
        <f>480*I4</f>
        <v>13995840</v>
      </c>
      <c r="J7" s="6">
        <f>300*J4</f>
        <v>7732800</v>
      </c>
      <c r="K7" s="6"/>
      <c r="L7" s="42"/>
      <c r="M7" s="42">
        <f>SUM(C7:J7)</f>
        <v>41775362</v>
      </c>
      <c r="N7" s="34">
        <f t="shared" si="1"/>
        <v>1141802</v>
      </c>
      <c r="O7" s="34">
        <f t="shared" si="2"/>
        <v>40633560</v>
      </c>
      <c r="P7" s="34"/>
      <c r="Q7" s="34"/>
      <c r="R7" s="42">
        <f>M7/M4</f>
        <v>147.27629180724335</v>
      </c>
      <c r="S7" s="42"/>
      <c r="T7" s="42"/>
      <c r="U7" s="42"/>
      <c r="V7" s="42"/>
      <c r="W7" s="42"/>
    </row>
    <row r="8" spans="1:23">
      <c r="A8" s="42" t="s">
        <v>106</v>
      </c>
      <c r="B8" s="6"/>
      <c r="C8" s="120">
        <f>6*C4</f>
        <v>166326</v>
      </c>
      <c r="D8" s="6">
        <f>2*D4</f>
        <v>67520</v>
      </c>
      <c r="E8" s="120">
        <f t="shared" ref="E8:J8" si="3">E4</f>
        <v>21750</v>
      </c>
      <c r="F8" s="120">
        <f t="shared" si="3"/>
        <v>25950</v>
      </c>
      <c r="G8" s="120">
        <f t="shared" si="3"/>
        <v>81535</v>
      </c>
      <c r="H8" s="120">
        <f t="shared" si="3"/>
        <v>38003</v>
      </c>
      <c r="I8" s="120">
        <f t="shared" si="3"/>
        <v>29158</v>
      </c>
      <c r="J8" s="120">
        <f t="shared" si="3"/>
        <v>25776</v>
      </c>
      <c r="K8" s="6"/>
      <c r="L8" s="34">
        <f>SUM(C8:J8)</f>
        <v>456018</v>
      </c>
      <c r="M8" s="42"/>
      <c r="N8" s="34"/>
      <c r="O8" s="34"/>
      <c r="P8" s="34"/>
      <c r="Q8" s="34"/>
      <c r="R8" s="42"/>
      <c r="S8" s="42"/>
      <c r="T8" s="42"/>
      <c r="U8" s="42"/>
      <c r="V8" s="42"/>
      <c r="W8" s="42"/>
    </row>
    <row r="9" spans="1:23">
      <c r="A9" s="42" t="s">
        <v>107</v>
      </c>
      <c r="B9" s="6"/>
      <c r="C9" s="120">
        <f>365*C4/2</f>
        <v>5059082.5</v>
      </c>
      <c r="D9" s="6">
        <f>6*D4</f>
        <v>202560</v>
      </c>
      <c r="E9" s="6">
        <f>2*E4</f>
        <v>43500</v>
      </c>
      <c r="F9" s="120">
        <f>F4</f>
        <v>25950</v>
      </c>
      <c r="G9" s="120">
        <f>G4</f>
        <v>81535</v>
      </c>
      <c r="H9" s="120">
        <f>H4</f>
        <v>38003</v>
      </c>
      <c r="I9" s="120">
        <f>I4</f>
        <v>29158</v>
      </c>
      <c r="J9" s="120">
        <f>J4</f>
        <v>25776</v>
      </c>
      <c r="K9" s="6" t="s">
        <v>7</v>
      </c>
      <c r="L9" s="34">
        <f>SUM(C9:J9)</f>
        <v>5505564.5</v>
      </c>
      <c r="M9" s="42"/>
      <c r="N9" s="34"/>
      <c r="O9" s="34"/>
      <c r="P9" s="34"/>
      <c r="Q9" s="34"/>
      <c r="R9" s="42"/>
      <c r="S9" s="42"/>
      <c r="T9" s="42"/>
      <c r="U9" s="42"/>
      <c r="V9" s="42"/>
      <c r="W9" s="42"/>
    </row>
    <row r="10" spans="1:23">
      <c r="A10" s="42" t="s">
        <v>108</v>
      </c>
      <c r="B10" s="42"/>
      <c r="C10" s="42"/>
      <c r="D10" s="42"/>
      <c r="E10" s="42"/>
      <c r="F10" s="42"/>
      <c r="G10" s="42"/>
      <c r="H10" s="42"/>
      <c r="I10" s="42"/>
      <c r="J10" s="42"/>
      <c r="K10" s="42"/>
      <c r="L10" s="34">
        <f>AVERAGE(L8:L9)</f>
        <v>2980791.25</v>
      </c>
      <c r="M10" s="42"/>
      <c r="N10" s="42"/>
      <c r="O10" s="42"/>
      <c r="Q10" s="42"/>
      <c r="R10" s="42"/>
      <c r="S10" s="42"/>
      <c r="T10" s="42"/>
      <c r="U10" s="42"/>
      <c r="V10" s="42"/>
      <c r="W10" s="42"/>
    </row>
    <row r="11" spans="1:23">
      <c r="A11" s="85" t="s">
        <v>134</v>
      </c>
      <c r="B11" s="85"/>
      <c r="C11" s="85"/>
      <c r="D11" s="85"/>
      <c r="E11" s="85"/>
      <c r="F11" s="85"/>
      <c r="G11" s="85"/>
      <c r="H11" s="85"/>
      <c r="I11" s="85"/>
      <c r="J11" s="85"/>
      <c r="K11" s="85"/>
      <c r="L11" s="34"/>
      <c r="M11" s="42"/>
      <c r="N11" s="42"/>
      <c r="O11" s="42"/>
      <c r="Q11" s="42"/>
      <c r="R11" s="42"/>
      <c r="S11" s="42"/>
      <c r="T11" s="42"/>
      <c r="U11" s="42"/>
      <c r="V11" s="42"/>
      <c r="W11" s="42"/>
    </row>
    <row r="12" spans="1:23" ht="15">
      <c r="A12" s="85" t="s">
        <v>135</v>
      </c>
      <c r="B12" s="121" t="s">
        <v>136</v>
      </c>
      <c r="C12" s="122">
        <v>0.5</v>
      </c>
      <c r="D12" s="123">
        <v>1.5</v>
      </c>
      <c r="E12" s="123">
        <v>4.5</v>
      </c>
      <c r="F12" s="123">
        <v>9</v>
      </c>
      <c r="G12" s="124">
        <v>36</v>
      </c>
      <c r="H12" s="124">
        <f>7.5*12</f>
        <v>90</v>
      </c>
      <c r="I12" s="124">
        <f>15*12</f>
        <v>180</v>
      </c>
      <c r="J12" s="124">
        <f>25*12</f>
        <v>300</v>
      </c>
      <c r="K12" s="124" t="s">
        <v>518</v>
      </c>
      <c r="L12" s="34"/>
      <c r="M12" s="42"/>
      <c r="N12" s="42"/>
      <c r="O12" s="42"/>
      <c r="Q12" s="42"/>
      <c r="R12" s="42"/>
      <c r="S12" s="42"/>
      <c r="T12" s="42"/>
      <c r="U12" s="42"/>
      <c r="V12" s="42"/>
      <c r="W12" s="42"/>
    </row>
    <row r="13" spans="1:23">
      <c r="A13" s="85"/>
      <c r="B13" s="85" t="s">
        <v>137</v>
      </c>
      <c r="C13" s="125">
        <f>C4/$B$4</f>
        <v>9.7550075306504516E-2</v>
      </c>
      <c r="D13" s="125">
        <f t="shared" ref="D13:J13" si="4">D4/$B$4</f>
        <v>0.11880128935996509</v>
      </c>
      <c r="E13" s="125">
        <f t="shared" si="4"/>
        <v>7.653815294962206E-2</v>
      </c>
      <c r="F13" s="125">
        <f t="shared" si="4"/>
        <v>9.1317934208859419E-2</v>
      </c>
      <c r="G13" s="125">
        <f t="shared" si="4"/>
        <v>0.28692130118379011</v>
      </c>
      <c r="H13" s="125">
        <f t="shared" si="4"/>
        <v>0.13373238742733273</v>
      </c>
      <c r="I13" s="125">
        <f t="shared" si="4"/>
        <v>0.10260687189448643</v>
      </c>
      <c r="J13" s="125">
        <f t="shared" si="4"/>
        <v>9.0705628985262451E-2</v>
      </c>
      <c r="K13" s="125">
        <f>SUM(C13:J13)</f>
        <v>0.99817364131582287</v>
      </c>
      <c r="L13" s="34"/>
      <c r="M13" s="42"/>
      <c r="N13" s="42"/>
      <c r="O13" s="42"/>
      <c r="Q13" s="42"/>
      <c r="R13" s="42"/>
      <c r="S13" s="42"/>
      <c r="T13" s="42"/>
      <c r="U13" s="42"/>
      <c r="V13" s="42"/>
      <c r="W13" s="42"/>
    </row>
    <row r="14" spans="1:23">
      <c r="A14" s="85"/>
      <c r="B14" s="85" t="s">
        <v>138</v>
      </c>
      <c r="C14" s="125">
        <f>C13*C12</f>
        <v>4.8775037653252258E-2</v>
      </c>
      <c r="D14" s="125">
        <f t="shared" ref="D14:J14" si="5">D13*D12</f>
        <v>0.17820193403994763</v>
      </c>
      <c r="E14" s="125">
        <f t="shared" si="5"/>
        <v>0.34442168827329928</v>
      </c>
      <c r="F14" s="125">
        <f t="shared" si="5"/>
        <v>0.82186140787973483</v>
      </c>
      <c r="G14" s="125">
        <f t="shared" si="5"/>
        <v>10.329166842616445</v>
      </c>
      <c r="H14" s="125">
        <f t="shared" si="5"/>
        <v>12.035914868459946</v>
      </c>
      <c r="I14" s="125">
        <f t="shared" si="5"/>
        <v>18.469236941007559</v>
      </c>
      <c r="J14" s="125">
        <f t="shared" si="5"/>
        <v>27.211688695578736</v>
      </c>
      <c r="K14" s="85"/>
      <c r="L14" s="127">
        <f>SUM(C14:J14)</f>
        <v>69.439267415508922</v>
      </c>
      <c r="M14" s="42" t="s">
        <v>139</v>
      </c>
      <c r="N14" s="42"/>
      <c r="O14" s="42"/>
      <c r="Q14" s="42"/>
      <c r="R14" s="42"/>
      <c r="S14" s="42"/>
      <c r="T14" s="42"/>
      <c r="U14" s="42"/>
      <c r="V14" s="42"/>
      <c r="W14" s="42"/>
    </row>
    <row r="15" spans="1:23" s="73" customFormat="1">
      <c r="A15" s="85"/>
      <c r="B15" s="85"/>
      <c r="C15" s="125"/>
      <c r="D15" s="125"/>
      <c r="E15" s="125"/>
      <c r="F15" s="125"/>
      <c r="G15" s="125"/>
      <c r="H15" s="125"/>
      <c r="I15" s="125"/>
      <c r="J15" s="125"/>
      <c r="K15" s="85"/>
      <c r="L15" s="116">
        <f>L14*365/12</f>
        <v>2112.1110505550628</v>
      </c>
      <c r="M15" s="42" t="s">
        <v>140</v>
      </c>
    </row>
    <row r="16" spans="1:23">
      <c r="A16" s="126" t="s">
        <v>386</v>
      </c>
      <c r="B16" s="85"/>
      <c r="C16" s="125">
        <f t="shared" ref="C16:J16" si="6">12/C12</f>
        <v>24</v>
      </c>
      <c r="D16" s="125">
        <f t="shared" si="6"/>
        <v>8</v>
      </c>
      <c r="E16" s="125">
        <f t="shared" si="6"/>
        <v>2.6666666666666665</v>
      </c>
      <c r="F16" s="125">
        <f t="shared" si="6"/>
        <v>1.3333333333333333</v>
      </c>
      <c r="G16" s="125">
        <f t="shared" si="6"/>
        <v>0.33333333333333331</v>
      </c>
      <c r="H16" s="125">
        <f t="shared" si="6"/>
        <v>0.13333333333333333</v>
      </c>
      <c r="I16" s="125">
        <f t="shared" si="6"/>
        <v>6.6666666666666666E-2</v>
      </c>
      <c r="J16" s="125">
        <f t="shared" si="6"/>
        <v>0.04</v>
      </c>
      <c r="K16" s="85"/>
      <c r="N16" s="42"/>
      <c r="O16" s="42"/>
      <c r="Q16" s="42"/>
      <c r="R16" s="42"/>
      <c r="S16" s="42"/>
      <c r="T16" s="42"/>
      <c r="U16" s="42"/>
      <c r="V16" s="42"/>
      <c r="W16" s="42"/>
    </row>
    <row r="17" spans="1:23">
      <c r="A17" s="85" t="s">
        <v>387</v>
      </c>
      <c r="B17" s="85"/>
      <c r="C17" s="116">
        <f t="shared" ref="C17:J17" si="7">C13*$B$4*C16</f>
        <v>665304</v>
      </c>
      <c r="D17" s="116">
        <f t="shared" si="7"/>
        <v>270080</v>
      </c>
      <c r="E17" s="116">
        <f t="shared" si="7"/>
        <v>58000</v>
      </c>
      <c r="F17" s="116">
        <f t="shared" si="7"/>
        <v>34600</v>
      </c>
      <c r="G17" s="116">
        <f t="shared" si="7"/>
        <v>27178.333333333332</v>
      </c>
      <c r="H17" s="116">
        <f t="shared" si="7"/>
        <v>5067.0666666666666</v>
      </c>
      <c r="I17" s="116">
        <f t="shared" si="7"/>
        <v>1943.8666666666666</v>
      </c>
      <c r="J17" s="116">
        <f t="shared" si="7"/>
        <v>1031.04</v>
      </c>
      <c r="K17" s="85"/>
      <c r="L17" s="120">
        <f>SUM(C17:J17)</f>
        <v>1063204.3066666666</v>
      </c>
      <c r="M17" s="82" t="s">
        <v>447</v>
      </c>
      <c r="N17" s="42"/>
      <c r="O17" s="42"/>
      <c r="Q17" s="42"/>
      <c r="R17" s="42"/>
      <c r="S17" s="42"/>
      <c r="T17" s="42"/>
      <c r="U17" s="42"/>
      <c r="V17" s="42"/>
      <c r="W17" s="42"/>
    </row>
    <row r="18" spans="1:23" s="73" customFormat="1">
      <c r="A18" s="85" t="s">
        <v>519</v>
      </c>
      <c r="B18" s="85"/>
      <c r="C18" s="116">
        <f t="shared" ref="C18:J18" si="8">C17/2</f>
        <v>332652</v>
      </c>
      <c r="D18" s="116">
        <f t="shared" si="8"/>
        <v>135040</v>
      </c>
      <c r="E18" s="116">
        <f t="shared" si="8"/>
        <v>29000</v>
      </c>
      <c r="F18" s="116">
        <f t="shared" si="8"/>
        <v>17300</v>
      </c>
      <c r="G18" s="116">
        <f t="shared" si="8"/>
        <v>13589.166666666666</v>
      </c>
      <c r="H18" s="116">
        <f t="shared" si="8"/>
        <v>2533.5333333333333</v>
      </c>
      <c r="I18" s="116">
        <f t="shared" si="8"/>
        <v>971.93333333333328</v>
      </c>
      <c r="J18" s="116">
        <f t="shared" si="8"/>
        <v>515.52</v>
      </c>
      <c r="K18" s="85"/>
      <c r="L18" s="93">
        <f>SUM(C18:J18)</f>
        <v>531602.15333333332</v>
      </c>
      <c r="M18" s="82" t="s">
        <v>446</v>
      </c>
    </row>
    <row r="19" spans="1:23" s="147" customFormat="1">
      <c r="A19" s="85"/>
      <c r="B19" s="85"/>
      <c r="C19" s="116"/>
      <c r="D19" s="116"/>
      <c r="E19" s="116"/>
      <c r="F19" s="116"/>
      <c r="G19" s="116"/>
      <c r="H19" s="116"/>
      <c r="I19" s="116"/>
      <c r="J19" s="116"/>
      <c r="K19" s="85"/>
      <c r="L19" s="93"/>
    </row>
    <row r="20" spans="1:23">
      <c r="A20" s="35" t="s">
        <v>257</v>
      </c>
      <c r="B20" s="42"/>
      <c r="C20" s="43"/>
      <c r="D20" s="42"/>
      <c r="E20" s="42"/>
      <c r="F20" s="42"/>
      <c r="G20" s="42"/>
      <c r="H20" s="42"/>
      <c r="I20" s="42"/>
      <c r="J20" s="42"/>
      <c r="K20" s="42"/>
      <c r="L20" s="34" t="s">
        <v>7</v>
      </c>
      <c r="M20" s="42"/>
      <c r="N20" s="42"/>
      <c r="O20" s="42"/>
      <c r="Q20" s="42"/>
      <c r="R20" s="42"/>
      <c r="S20" s="42"/>
      <c r="T20" s="42"/>
      <c r="U20" s="42"/>
      <c r="V20" s="42"/>
      <c r="W20" s="42"/>
    </row>
    <row r="21" spans="1:23">
      <c r="A21" s="35" t="s">
        <v>538</v>
      </c>
      <c r="B21" s="42"/>
      <c r="C21" s="42"/>
      <c r="D21" s="42"/>
      <c r="E21" s="42"/>
      <c r="F21" s="42"/>
      <c r="G21" s="42"/>
      <c r="H21" s="42"/>
      <c r="I21" s="42"/>
      <c r="J21" s="42"/>
      <c r="K21" s="42"/>
      <c r="L21" s="34"/>
      <c r="M21" s="42"/>
      <c r="N21" s="42"/>
      <c r="O21" s="42"/>
      <c r="Q21" s="42"/>
      <c r="R21" s="42"/>
      <c r="S21" s="42"/>
      <c r="T21" s="42"/>
      <c r="U21" s="42"/>
      <c r="V21" s="42"/>
      <c r="W21" s="42"/>
    </row>
    <row r="22" spans="1:23">
      <c r="A22" s="42"/>
      <c r="B22" s="42"/>
      <c r="C22" s="34" t="s">
        <v>7</v>
      </c>
      <c r="D22" s="42"/>
      <c r="E22" s="42"/>
      <c r="F22" s="42"/>
      <c r="G22" s="42"/>
      <c r="H22" s="42"/>
      <c r="I22" s="42"/>
      <c r="J22" s="42"/>
      <c r="K22" s="42"/>
      <c r="L22" s="42"/>
      <c r="M22" s="42" t="s">
        <v>109</v>
      </c>
      <c r="N22" s="42"/>
      <c r="O22" s="42"/>
      <c r="Q22" s="42"/>
      <c r="R22" s="42"/>
      <c r="S22" s="42"/>
      <c r="T22" s="42"/>
      <c r="U22" s="42"/>
      <c r="V22" s="42"/>
      <c r="W22" s="42"/>
    </row>
    <row r="23" spans="1:23">
      <c r="A23" s="42"/>
      <c r="B23" s="42"/>
      <c r="C23" s="42"/>
      <c r="D23" s="42"/>
      <c r="E23" s="42"/>
      <c r="F23" s="42"/>
      <c r="G23" s="42"/>
      <c r="H23" s="42"/>
      <c r="I23" s="42"/>
      <c r="J23" s="42" t="s">
        <v>7</v>
      </c>
      <c r="K23" s="42"/>
      <c r="L23" s="42"/>
      <c r="M23" s="42" t="s">
        <v>113</v>
      </c>
      <c r="N23" s="42"/>
      <c r="O23" s="42"/>
      <c r="Q23" s="42"/>
      <c r="R23" s="42"/>
      <c r="S23" s="42"/>
      <c r="T23" s="42"/>
      <c r="U23" s="42"/>
      <c r="V23" s="42"/>
      <c r="W23" s="42"/>
    </row>
    <row r="24" spans="1:23">
      <c r="A24" s="42"/>
      <c r="B24" s="42"/>
      <c r="C24" s="42"/>
      <c r="D24" s="42"/>
      <c r="E24" s="42"/>
      <c r="F24" s="42"/>
      <c r="G24" s="42"/>
      <c r="H24" s="42"/>
      <c r="I24" s="42"/>
      <c r="J24" s="42"/>
      <c r="K24" s="42"/>
      <c r="L24" s="42"/>
      <c r="M24" s="42" t="s">
        <v>112</v>
      </c>
      <c r="N24" s="42" t="s">
        <v>114</v>
      </c>
      <c r="O24" s="42"/>
      <c r="Q24" s="42"/>
      <c r="R24" s="42"/>
      <c r="S24" s="42"/>
      <c r="T24" s="42"/>
      <c r="U24" s="42"/>
      <c r="V24" s="42"/>
      <c r="W24" s="42"/>
    </row>
    <row r="25" spans="1:23">
      <c r="A25" s="42"/>
      <c r="B25" s="8"/>
      <c r="C25" s="42"/>
      <c r="D25" s="42"/>
      <c r="E25" s="42"/>
      <c r="F25" s="42"/>
      <c r="G25" s="42"/>
      <c r="H25" s="42"/>
      <c r="I25" s="42"/>
      <c r="J25" s="42"/>
      <c r="K25" s="42"/>
      <c r="L25" s="42"/>
      <c r="M25" s="42"/>
      <c r="N25" s="42"/>
      <c r="O25" s="42"/>
      <c r="Q25" s="42"/>
      <c r="R25" s="42"/>
      <c r="S25" s="42"/>
      <c r="T25" s="42"/>
      <c r="U25" s="42"/>
      <c r="V25" s="42"/>
      <c r="W25" s="42"/>
    </row>
    <row r="26" spans="1:23">
      <c r="A26" s="42"/>
      <c r="B26" s="8"/>
      <c r="C26" s="42"/>
      <c r="D26" s="42"/>
      <c r="E26" s="42"/>
      <c r="F26" s="42"/>
      <c r="G26" s="42"/>
      <c r="H26" s="42"/>
      <c r="I26" s="42"/>
      <c r="J26" s="42"/>
      <c r="K26" s="42"/>
      <c r="L26" s="42"/>
      <c r="M26" s="42" t="s">
        <v>115</v>
      </c>
      <c r="N26" s="42"/>
      <c r="O26" s="42"/>
      <c r="Q26" s="42"/>
      <c r="R26" s="42"/>
      <c r="S26" s="42"/>
      <c r="T26" s="42"/>
      <c r="U26" s="42"/>
      <c r="V26" s="42"/>
      <c r="W26" s="42"/>
    </row>
    <row r="27" spans="1:23">
      <c r="A27" s="42"/>
      <c r="B27" s="42"/>
      <c r="C27" s="42"/>
      <c r="D27" s="42"/>
      <c r="E27" s="42"/>
      <c r="F27" s="42"/>
      <c r="G27" s="42"/>
      <c r="H27" s="42"/>
      <c r="I27" s="42"/>
      <c r="J27" s="42"/>
      <c r="K27" s="42"/>
      <c r="L27" s="42"/>
      <c r="M27" s="42" t="s">
        <v>116</v>
      </c>
      <c r="N27" s="42"/>
      <c r="O27" s="42"/>
      <c r="Q27" s="42"/>
      <c r="R27" s="42"/>
      <c r="S27" s="42"/>
      <c r="T27" s="42"/>
      <c r="U27" s="42"/>
      <c r="V27" s="42"/>
      <c r="W27" s="42"/>
    </row>
    <row r="28" spans="1:23">
      <c r="A28" s="42"/>
      <c r="B28" s="42"/>
      <c r="C28" s="42"/>
      <c r="D28" s="42"/>
      <c r="E28" s="42"/>
      <c r="F28" s="42"/>
      <c r="G28" s="42"/>
      <c r="H28" s="42"/>
      <c r="I28" s="42"/>
      <c r="J28" s="42"/>
      <c r="K28" s="42"/>
      <c r="L28" s="42"/>
      <c r="M28" s="42" t="s">
        <v>117</v>
      </c>
      <c r="N28" s="42"/>
      <c r="O28" s="42"/>
      <c r="Q28" s="42"/>
      <c r="R28" s="42"/>
      <c r="S28" s="42"/>
      <c r="T28" s="42"/>
      <c r="U28" s="42"/>
      <c r="V28" s="42"/>
      <c r="W28" s="42"/>
    </row>
    <row r="29" spans="1:23">
      <c r="A29" s="42"/>
      <c r="B29" s="42"/>
      <c r="C29" s="42"/>
      <c r="D29" s="42"/>
      <c r="E29" s="42"/>
      <c r="F29" s="42"/>
      <c r="G29" s="42"/>
      <c r="H29" s="42"/>
      <c r="I29" s="42"/>
      <c r="J29" s="42"/>
      <c r="K29" s="42"/>
      <c r="L29" s="42"/>
      <c r="M29" s="42" t="s">
        <v>110</v>
      </c>
      <c r="N29" s="42"/>
      <c r="O29" s="42"/>
      <c r="Q29" s="42"/>
      <c r="R29" s="42"/>
      <c r="S29" s="42"/>
      <c r="T29" s="42"/>
      <c r="U29" s="42"/>
      <c r="V29" s="42"/>
      <c r="W29" s="42"/>
    </row>
    <row r="30" spans="1:23">
      <c r="A30" s="42"/>
      <c r="B30" s="42"/>
      <c r="C30" s="42"/>
      <c r="D30" s="42"/>
      <c r="E30" s="42"/>
      <c r="F30" s="42"/>
      <c r="G30" s="42"/>
      <c r="H30" s="42"/>
      <c r="I30" s="42"/>
      <c r="J30" s="42"/>
      <c r="K30" s="42"/>
      <c r="L30" s="42"/>
      <c r="M30" s="42" t="s">
        <v>384</v>
      </c>
      <c r="N30" s="42"/>
      <c r="O30" s="42"/>
      <c r="Q30" s="42"/>
      <c r="R30" s="42"/>
      <c r="S30" s="42"/>
      <c r="T30" s="42"/>
      <c r="U30" s="42"/>
      <c r="V30" s="42"/>
      <c r="W30" s="42"/>
    </row>
  </sheetData>
  <mergeCells count="1">
    <mergeCell ref="A3:A7"/>
  </mergeCells>
  <hyperlinks>
    <hyperlink ref="A20" location="'Table of Contents'!A1" display="return to table of contents" xr:uid="{00000000-0004-0000-0E00-000000000000}"/>
    <hyperlink ref="A21" location="Japan!A1" display="return to Japan calculations" xr:uid="{754E268C-9588-46F7-8A0C-66F42E8D17AB}"/>
  </hyperlinks>
  <pageMargins left="0.7" right="0.7" top="0.75" bottom="0.75" header="0.3" footer="0.3"/>
  <pageSetup paperSize="9" orientation="portrait" r:id="rId1"/>
  <ignoredErrors>
    <ignoredError sqref="M4:P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26"/>
  <sheetViews>
    <sheetView workbookViewId="0">
      <pane xSplit="2" ySplit="2" topLeftCell="C9" activePane="bottomRight" state="frozen"/>
      <selection pane="topRight" activeCell="C1" sqref="C1"/>
      <selection pane="bottomLeft" activeCell="A3" sqref="A3"/>
      <selection pane="bottomRight" activeCell="B16" sqref="B16"/>
    </sheetView>
  </sheetViews>
  <sheetFormatPr defaultColWidth="8.90625" defaultRowHeight="14.5"/>
  <cols>
    <col min="1" max="1" width="0" style="153" hidden="1" customWidth="1"/>
    <col min="2" max="3" width="9.08984375" style="153" customWidth="1"/>
    <col min="4" max="4" width="9.08984375" style="153" hidden="1" customWidth="1"/>
    <col min="5" max="15" width="8.90625" style="153" customWidth="1"/>
    <col min="16" max="16" width="9.08984375" style="153" customWidth="1"/>
    <col min="17" max="21" width="8.90625" style="153" customWidth="1"/>
    <col min="22" max="23" width="8.90625" style="152" customWidth="1"/>
    <col min="24" max="24" width="8.90625" style="153"/>
    <col min="25" max="25" width="8.90625" style="153" customWidth="1"/>
    <col min="26" max="26" width="11.453125" style="153" customWidth="1"/>
    <col min="27" max="35" width="8.90625" style="153" customWidth="1"/>
    <col min="36" max="36" width="10" style="153" customWidth="1"/>
    <col min="37" max="53" width="8.90625" style="153" customWidth="1"/>
    <col min="54" max="16384" width="8.90625" style="153"/>
  </cols>
  <sheetData>
    <row r="1" spans="1:88" s="151" customFormat="1" hidden="1">
      <c r="A1" s="151" t="s">
        <v>72</v>
      </c>
      <c r="V1" s="152"/>
      <c r="W1" s="152"/>
      <c r="AA1" s="153"/>
      <c r="AB1" s="153"/>
    </row>
    <row r="2" spans="1:88" ht="98.4" customHeight="1">
      <c r="A2" s="154" t="s">
        <v>0</v>
      </c>
      <c r="B2" s="154" t="s">
        <v>208</v>
      </c>
      <c r="C2" s="154" t="s">
        <v>5</v>
      </c>
      <c r="D2" s="154" t="s">
        <v>478</v>
      </c>
      <c r="E2" s="154" t="s">
        <v>130</v>
      </c>
      <c r="F2" s="154" t="s">
        <v>546</v>
      </c>
      <c r="G2" s="154" t="s">
        <v>547</v>
      </c>
      <c r="H2" s="154" t="s">
        <v>548</v>
      </c>
      <c r="I2" s="154" t="s">
        <v>549</v>
      </c>
      <c r="J2" s="154" t="s">
        <v>131</v>
      </c>
      <c r="K2" s="154" t="s">
        <v>485</v>
      </c>
      <c r="L2" s="154" t="s">
        <v>209</v>
      </c>
      <c r="M2" s="154" t="s">
        <v>479</v>
      </c>
      <c r="N2" s="154" t="s">
        <v>214</v>
      </c>
      <c r="O2" s="154" t="s">
        <v>210</v>
      </c>
      <c r="P2" s="154" t="s">
        <v>211</v>
      </c>
      <c r="Q2" s="154" t="s">
        <v>212</v>
      </c>
      <c r="R2" s="154" t="s">
        <v>213</v>
      </c>
      <c r="S2" s="154" t="s">
        <v>451</v>
      </c>
      <c r="T2" s="154" t="s">
        <v>318</v>
      </c>
      <c r="U2" s="154" t="s">
        <v>455</v>
      </c>
      <c r="V2" s="155" t="s">
        <v>550</v>
      </c>
      <c r="W2" s="155" t="s">
        <v>633</v>
      </c>
      <c r="X2" s="154" t="s">
        <v>591</v>
      </c>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row>
    <row r="3" spans="1:88" s="165" customFormat="1">
      <c r="A3" s="156" t="s">
        <v>4</v>
      </c>
      <c r="B3" s="156" t="s">
        <v>3</v>
      </c>
      <c r="C3" s="157" t="s">
        <v>6</v>
      </c>
      <c r="D3" s="157">
        <f>AVERAGE(24.196,24.59)</f>
        <v>24.393000000000001</v>
      </c>
      <c r="E3" s="157">
        <v>24.6</v>
      </c>
      <c r="F3" s="157">
        <v>48</v>
      </c>
      <c r="G3" s="157">
        <v>6</v>
      </c>
      <c r="H3" s="158">
        <v>54.15</v>
      </c>
      <c r="I3" s="156"/>
      <c r="J3" s="156">
        <v>110</v>
      </c>
      <c r="K3" s="156">
        <v>45</v>
      </c>
      <c r="L3" s="157">
        <v>520</v>
      </c>
      <c r="M3" s="157">
        <v>220</v>
      </c>
      <c r="N3" s="156">
        <v>43</v>
      </c>
      <c r="O3" s="157">
        <v>5.8</v>
      </c>
      <c r="P3" s="156"/>
      <c r="Q3" s="153"/>
      <c r="R3" s="156">
        <v>13</v>
      </c>
      <c r="S3" s="159">
        <v>18.420000000000002</v>
      </c>
      <c r="T3" s="160">
        <v>2.98</v>
      </c>
      <c r="U3" s="160"/>
      <c r="V3" s="161" t="s">
        <v>7</v>
      </c>
      <c r="W3" s="161">
        <v>4.3</v>
      </c>
      <c r="X3" s="153"/>
      <c r="Y3" s="157"/>
      <c r="Z3" s="162"/>
      <c r="AA3" s="156"/>
      <c r="AB3" s="157"/>
      <c r="AC3" s="157"/>
      <c r="AD3" s="157"/>
      <c r="AE3" s="157"/>
      <c r="AF3" s="157"/>
      <c r="AG3" s="157"/>
      <c r="AH3" s="157"/>
      <c r="AI3" s="157"/>
      <c r="AJ3" s="163"/>
      <c r="AK3" s="157"/>
      <c r="AL3" s="157"/>
      <c r="AM3" s="157"/>
      <c r="AN3" s="156"/>
      <c r="AO3" s="156"/>
      <c r="AP3" s="156"/>
      <c r="AQ3" s="157"/>
      <c r="AR3" s="157"/>
      <c r="AS3" s="157"/>
      <c r="AT3" s="156"/>
      <c r="AU3" s="156"/>
      <c r="AV3" s="156"/>
      <c r="AW3" s="164"/>
      <c r="AX3" s="157"/>
      <c r="AY3" s="157"/>
      <c r="AZ3" s="157"/>
      <c r="BB3" s="156"/>
      <c r="BC3" s="156"/>
      <c r="BD3" s="156"/>
      <c r="BE3" s="156"/>
      <c r="BF3" s="156"/>
    </row>
    <row r="4" spans="1:88">
      <c r="B4" s="153" t="s">
        <v>296</v>
      </c>
      <c r="C4" s="166" t="s">
        <v>73</v>
      </c>
      <c r="E4" s="166">
        <v>55.62</v>
      </c>
      <c r="F4" s="167">
        <v>16.84</v>
      </c>
      <c r="G4" s="168">
        <v>1.94</v>
      </c>
      <c r="H4" s="166">
        <v>110</v>
      </c>
      <c r="I4" s="167">
        <v>15.7</v>
      </c>
      <c r="J4" s="153">
        <v>150</v>
      </c>
      <c r="K4" s="169">
        <v>11.35</v>
      </c>
      <c r="L4" s="166">
        <v>220</v>
      </c>
      <c r="M4" s="169">
        <v>73.497529999999998</v>
      </c>
      <c r="N4" s="169">
        <v>40.9</v>
      </c>
      <c r="R4" s="169">
        <v>76.3</v>
      </c>
      <c r="S4" s="168">
        <v>8.92</v>
      </c>
      <c r="T4" s="170">
        <v>4.07</v>
      </c>
      <c r="U4" s="167">
        <v>18.0296705665628</v>
      </c>
      <c r="V4" s="161" t="s">
        <v>7</v>
      </c>
      <c r="W4" s="161">
        <f>U4/L4*100</f>
        <v>8.1953048029830899</v>
      </c>
      <c r="X4" s="170">
        <v>8.23</v>
      </c>
      <c r="Y4" s="166"/>
      <c r="Z4" s="171"/>
      <c r="AB4" s="166"/>
      <c r="AC4" s="166"/>
      <c r="AE4" s="166"/>
      <c r="AF4" s="166"/>
      <c r="AG4" s="166"/>
      <c r="AH4" s="166"/>
      <c r="AI4" s="166"/>
      <c r="AJ4" s="172"/>
      <c r="AK4" s="166"/>
      <c r="AL4" s="166"/>
      <c r="AO4" s="173"/>
      <c r="AP4" s="156"/>
      <c r="AT4" s="171"/>
      <c r="AU4" s="174"/>
      <c r="AV4" s="171"/>
      <c r="AW4" s="175"/>
      <c r="AX4" s="166"/>
      <c r="AY4" s="166"/>
      <c r="AZ4" s="166"/>
    </row>
    <row r="5" spans="1:88">
      <c r="A5" s="153" t="s">
        <v>1</v>
      </c>
      <c r="B5" s="153" t="s">
        <v>150</v>
      </c>
      <c r="C5" s="166">
        <v>2013</v>
      </c>
      <c r="E5" s="166">
        <v>2.109</v>
      </c>
      <c r="F5" s="167">
        <v>80.3</v>
      </c>
      <c r="G5" s="167">
        <v>80.7</v>
      </c>
      <c r="H5" s="166">
        <v>0.24</v>
      </c>
      <c r="I5" s="166">
        <v>2.2999999999999998</v>
      </c>
      <c r="J5" s="166">
        <v>160</v>
      </c>
      <c r="K5" s="176">
        <v>49.1</v>
      </c>
      <c r="L5" s="166">
        <v>760</v>
      </c>
      <c r="N5" s="169"/>
      <c r="O5" s="167">
        <v>6.93</v>
      </c>
      <c r="P5" s="168">
        <v>8.15</v>
      </c>
      <c r="Q5" s="166">
        <v>0.25</v>
      </c>
      <c r="R5" s="167">
        <v>24.7</v>
      </c>
      <c r="S5" s="168">
        <v>8.66</v>
      </c>
      <c r="T5" s="168">
        <v>4.4800000000000004</v>
      </c>
      <c r="U5" s="167">
        <v>37.74</v>
      </c>
      <c r="V5" s="177">
        <v>2.68</v>
      </c>
      <c r="W5" s="161">
        <f t="shared" ref="W5:W11" si="0">U5/L5*100</f>
        <v>4.965789473684211</v>
      </c>
      <c r="X5" s="170">
        <v>4.33</v>
      </c>
      <c r="Y5" s="166"/>
      <c r="Z5" s="171"/>
      <c r="AA5" s="166"/>
      <c r="AB5" s="166"/>
      <c r="AC5" s="166"/>
      <c r="AD5" s="166"/>
      <c r="AE5" s="166"/>
      <c r="AF5" s="166"/>
      <c r="AG5" s="166"/>
      <c r="AH5" s="166"/>
      <c r="AI5" s="166"/>
      <c r="AJ5" s="172"/>
      <c r="AK5" s="166"/>
      <c r="AL5" s="166"/>
      <c r="AM5" s="166"/>
      <c r="AN5" s="166"/>
      <c r="AP5" s="156"/>
      <c r="AQ5" s="166"/>
      <c r="AR5" s="166"/>
      <c r="AS5" s="166"/>
      <c r="AW5" s="175"/>
      <c r="AX5" s="166"/>
      <c r="AY5" s="166"/>
      <c r="AZ5" s="166"/>
    </row>
    <row r="6" spans="1:88">
      <c r="A6" s="153" t="s">
        <v>27</v>
      </c>
      <c r="B6" s="153" t="s">
        <v>158</v>
      </c>
      <c r="C6" s="166">
        <v>2020</v>
      </c>
      <c r="D6" s="166">
        <v>4.9459999999999997</v>
      </c>
      <c r="E6" s="166">
        <v>4.8819999999999997</v>
      </c>
      <c r="F6" s="166">
        <v>38</v>
      </c>
      <c r="G6" s="166">
        <v>3.1</v>
      </c>
      <c r="H6" s="167">
        <v>81.7</v>
      </c>
      <c r="I6" s="166"/>
      <c r="J6" s="166">
        <v>120</v>
      </c>
      <c r="K6" s="169">
        <v>31.6</v>
      </c>
      <c r="L6" s="166">
        <v>360</v>
      </c>
      <c r="M6" s="167">
        <v>42.318721835313397</v>
      </c>
      <c r="N6" s="169">
        <v>11.61</v>
      </c>
      <c r="O6" s="167">
        <v>14.2</v>
      </c>
      <c r="P6" s="173">
        <v>23</v>
      </c>
      <c r="Q6" s="153">
        <v>0.1</v>
      </c>
      <c r="R6" s="167">
        <v>26.3</v>
      </c>
      <c r="S6" s="167">
        <v>12.64</v>
      </c>
      <c r="T6" s="168">
        <v>3.27</v>
      </c>
      <c r="U6" s="167">
        <v>38.51</v>
      </c>
      <c r="V6" s="161">
        <v>3.69</v>
      </c>
      <c r="W6" s="161">
        <f t="shared" si="0"/>
        <v>10.697222222222221</v>
      </c>
      <c r="X6" s="170">
        <v>3.101</v>
      </c>
      <c r="Y6" s="166"/>
      <c r="Z6" s="171"/>
      <c r="AA6" s="166"/>
      <c r="AB6" s="166"/>
      <c r="AC6" s="166"/>
      <c r="AD6" s="166"/>
      <c r="AE6" s="166"/>
      <c r="AF6" s="166"/>
      <c r="AG6" s="166"/>
      <c r="AH6" s="166"/>
      <c r="AI6" s="166"/>
      <c r="AK6" s="166"/>
      <c r="AN6" s="166"/>
      <c r="AP6" s="156"/>
      <c r="AS6" s="178"/>
      <c r="AT6" s="174"/>
      <c r="AU6" s="174"/>
      <c r="AV6" s="178"/>
      <c r="AW6" s="175"/>
      <c r="AX6" s="166"/>
      <c r="AY6" s="166"/>
      <c r="AZ6" s="166"/>
    </row>
    <row r="7" spans="1:88">
      <c r="A7" s="153" t="s">
        <v>4</v>
      </c>
      <c r="B7" s="153" t="s">
        <v>164</v>
      </c>
      <c r="C7" s="166">
        <v>2017</v>
      </c>
      <c r="D7" s="166">
        <v>126.66200000000001</v>
      </c>
      <c r="E7" s="166">
        <v>126.86</v>
      </c>
      <c r="F7" s="173">
        <v>189</v>
      </c>
      <c r="G7" s="173">
        <v>118</v>
      </c>
      <c r="J7" s="153">
        <v>260</v>
      </c>
      <c r="K7" s="169">
        <v>54</v>
      </c>
      <c r="L7" s="153">
        <v>419</v>
      </c>
      <c r="M7" s="153">
        <v>220</v>
      </c>
      <c r="N7" s="169">
        <v>46.7</v>
      </c>
      <c r="O7" s="169">
        <v>470</v>
      </c>
      <c r="P7" s="153">
        <v>730</v>
      </c>
      <c r="R7" s="169">
        <v>2100</v>
      </c>
      <c r="S7" s="169">
        <v>83.4</v>
      </c>
      <c r="T7" s="166">
        <v>190</v>
      </c>
      <c r="U7" s="169"/>
      <c r="V7" s="169">
        <v>83.4</v>
      </c>
      <c r="W7" s="161">
        <v>8.9</v>
      </c>
      <c r="X7" s="170"/>
      <c r="Y7" s="166"/>
      <c r="Z7" s="171"/>
      <c r="AB7" s="166"/>
      <c r="AC7" s="166"/>
      <c r="AD7" s="166"/>
      <c r="AE7" s="166"/>
      <c r="AG7" s="166"/>
      <c r="AH7" s="166"/>
      <c r="AI7" s="166"/>
      <c r="AJ7" s="172"/>
      <c r="AK7" s="166"/>
      <c r="AM7" s="166"/>
      <c r="AP7" s="156"/>
      <c r="AS7" s="172"/>
      <c r="AV7" s="172"/>
      <c r="AW7" s="175"/>
      <c r="AX7" s="166"/>
      <c r="AY7" s="166"/>
      <c r="AZ7" s="166"/>
    </row>
    <row r="8" spans="1:88" s="179" customFormat="1">
      <c r="A8" s="179" t="s">
        <v>1</v>
      </c>
      <c r="B8" s="153" t="s">
        <v>168</v>
      </c>
      <c r="C8" s="157">
        <v>2013</v>
      </c>
      <c r="D8" s="157">
        <v>16.867000000000001</v>
      </c>
      <c r="E8" s="157">
        <v>16.79</v>
      </c>
      <c r="F8" s="157">
        <v>96</v>
      </c>
      <c r="G8" s="158">
        <v>21.8</v>
      </c>
      <c r="H8" s="156" t="s">
        <v>7</v>
      </c>
      <c r="I8" s="158">
        <v>13.9</v>
      </c>
      <c r="J8" s="156">
        <v>130</v>
      </c>
      <c r="K8" s="169">
        <v>72.8</v>
      </c>
      <c r="L8" s="153">
        <v>510</v>
      </c>
      <c r="M8" s="153">
        <v>140</v>
      </c>
      <c r="N8" s="153">
        <v>27</v>
      </c>
      <c r="O8" s="167">
        <v>49</v>
      </c>
      <c r="P8" s="166">
        <v>54</v>
      </c>
      <c r="Q8" s="153"/>
      <c r="R8" s="169">
        <v>71</v>
      </c>
      <c r="S8" s="170">
        <v>3.64</v>
      </c>
      <c r="T8" s="160">
        <v>3.6</v>
      </c>
      <c r="U8" s="159">
        <v>41.856115802516378</v>
      </c>
      <c r="V8" s="161">
        <v>6.79</v>
      </c>
      <c r="W8" s="161">
        <f t="shared" si="0"/>
        <v>8.2070815299051727</v>
      </c>
      <c r="X8" s="170">
        <v>2.7</v>
      </c>
      <c r="Y8" s="157"/>
      <c r="Z8" s="162"/>
      <c r="AA8" s="156"/>
      <c r="AB8" s="157"/>
      <c r="AC8" s="157"/>
      <c r="AD8" s="156"/>
      <c r="AE8" s="157"/>
      <c r="AF8" s="157"/>
      <c r="AG8" s="157"/>
      <c r="AH8" s="156"/>
      <c r="AI8" s="157"/>
      <c r="AJ8" s="156"/>
      <c r="AK8" s="156"/>
      <c r="AL8" s="156"/>
      <c r="AM8" s="157"/>
      <c r="AN8" s="156"/>
      <c r="AO8" s="156"/>
      <c r="AP8" s="156"/>
      <c r="AQ8" s="157"/>
      <c r="AR8" s="156"/>
      <c r="AS8" s="156"/>
      <c r="AT8" s="156"/>
      <c r="AU8" s="156"/>
      <c r="AV8" s="156"/>
      <c r="AW8" s="180"/>
      <c r="AX8" s="156"/>
      <c r="AY8" s="157"/>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row>
    <row r="9" spans="1:88">
      <c r="A9" s="153" t="s">
        <v>4</v>
      </c>
      <c r="B9" s="153" t="s">
        <v>303</v>
      </c>
      <c r="C9" s="166" t="s">
        <v>6</v>
      </c>
      <c r="D9" s="166">
        <f>AVERAGE(4668081,4746252)/1000000</f>
        <v>4.7071664999999996</v>
      </c>
      <c r="E9" s="166">
        <v>4.6900000000000004</v>
      </c>
      <c r="F9" s="167">
        <v>53.6</v>
      </c>
      <c r="G9" s="166">
        <v>0.72</v>
      </c>
      <c r="J9" s="166">
        <v>54</v>
      </c>
      <c r="K9" s="169">
        <v>98.7</v>
      </c>
      <c r="L9" s="153">
        <v>230</v>
      </c>
      <c r="M9" s="169">
        <v>122</v>
      </c>
      <c r="N9" s="153">
        <v>54</v>
      </c>
      <c r="O9" s="167">
        <v>22.2</v>
      </c>
      <c r="P9" s="168">
        <v>1.0900000000000001</v>
      </c>
      <c r="R9" s="169">
        <v>27.6</v>
      </c>
      <c r="S9" s="170">
        <v>8.6999999999999993</v>
      </c>
      <c r="T9" s="170">
        <v>1.49</v>
      </c>
      <c r="U9" s="167">
        <v>21.1</v>
      </c>
      <c r="V9" s="161">
        <v>7.9379999999999997</v>
      </c>
      <c r="W9" s="161">
        <f t="shared" si="0"/>
        <v>9.1739130434782616</v>
      </c>
      <c r="X9" s="170">
        <v>2.56</v>
      </c>
      <c r="Y9" s="157"/>
      <c r="Z9" s="162"/>
      <c r="AA9" s="156"/>
      <c r="AB9" s="157"/>
      <c r="AC9" s="157"/>
      <c r="AD9" s="157"/>
      <c r="AE9" s="157"/>
      <c r="AF9" s="157"/>
      <c r="AG9" s="157"/>
      <c r="AH9" s="157"/>
      <c r="AI9" s="157"/>
      <c r="AJ9" s="163"/>
      <c r="AK9" s="157"/>
      <c r="AL9" s="157"/>
      <c r="AM9" s="157"/>
      <c r="AN9" s="157"/>
      <c r="AO9" s="181"/>
      <c r="AP9" s="181"/>
      <c r="AQ9" s="157"/>
      <c r="AR9" s="157"/>
      <c r="AS9" s="156"/>
      <c r="AT9" s="156"/>
      <c r="AU9" s="156"/>
      <c r="AV9" s="162"/>
      <c r="AW9" s="164"/>
      <c r="AX9" s="157"/>
      <c r="AY9" s="157"/>
      <c r="AZ9" s="157"/>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row>
    <row r="10" spans="1:88" s="179" customFormat="1">
      <c r="A10" s="179" t="s">
        <v>4</v>
      </c>
      <c r="B10" s="153" t="s">
        <v>2</v>
      </c>
      <c r="C10" s="157">
        <v>2017</v>
      </c>
      <c r="D10" s="157">
        <v>329.791</v>
      </c>
      <c r="E10" s="156">
        <v>325.8</v>
      </c>
      <c r="F10" s="160">
        <v>7.45</v>
      </c>
      <c r="G10" s="169">
        <v>17.578202502877936</v>
      </c>
      <c r="H10" s="170">
        <v>7.0411287336457837</v>
      </c>
      <c r="I10" s="153"/>
      <c r="J10" s="159">
        <v>32.072547358377619</v>
      </c>
      <c r="K10" s="159">
        <v>23.2</v>
      </c>
      <c r="L10" s="159" t="s">
        <v>7</v>
      </c>
      <c r="M10" s="156" t="s">
        <v>7</v>
      </c>
      <c r="N10" s="159" t="s">
        <v>7</v>
      </c>
      <c r="O10" s="156">
        <v>6.4</v>
      </c>
      <c r="P10" s="156">
        <v>4</v>
      </c>
      <c r="Q10" s="153">
        <v>0.79</v>
      </c>
      <c r="R10" s="156" t="s">
        <v>7</v>
      </c>
      <c r="S10" s="160">
        <v>3.6</v>
      </c>
      <c r="T10" s="156">
        <v>0.88</v>
      </c>
      <c r="U10" s="159"/>
      <c r="V10" s="182">
        <v>0.59</v>
      </c>
      <c r="W10" s="161" t="s">
        <v>7</v>
      </c>
      <c r="X10" s="160"/>
      <c r="Y10" s="157"/>
      <c r="Z10" s="162"/>
      <c r="AA10" s="157"/>
      <c r="AB10" s="157"/>
      <c r="AC10" s="157"/>
      <c r="AD10" s="156"/>
      <c r="AE10" s="157"/>
      <c r="AF10" s="157"/>
      <c r="AG10" s="157"/>
      <c r="AH10" s="157"/>
      <c r="AI10" s="157"/>
      <c r="AJ10" s="156"/>
      <c r="AK10" s="157"/>
      <c r="AL10" s="157"/>
      <c r="AM10" s="157"/>
      <c r="AN10" s="157"/>
      <c r="AO10" s="156"/>
      <c r="AP10" s="156"/>
      <c r="AQ10" s="156"/>
      <c r="AR10" s="156"/>
      <c r="AS10" s="156"/>
      <c r="AT10" s="156"/>
      <c r="AU10" s="156"/>
      <c r="AV10" s="157"/>
      <c r="AW10" s="157"/>
      <c r="AX10" s="157"/>
      <c r="AY10" s="157"/>
      <c r="AZ10" s="157"/>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row>
    <row r="11" spans="1:88">
      <c r="A11" s="153" t="s">
        <v>1</v>
      </c>
      <c r="B11" s="153" t="s">
        <v>302</v>
      </c>
      <c r="C11" s="166">
        <v>2013</v>
      </c>
      <c r="E11" s="166">
        <v>3.1</v>
      </c>
      <c r="F11" s="183">
        <v>1.03</v>
      </c>
      <c r="G11" s="166">
        <v>0</v>
      </c>
      <c r="H11" s="176">
        <v>59.8</v>
      </c>
      <c r="J11" s="166">
        <v>61</v>
      </c>
      <c r="K11" s="166">
        <v>1.7</v>
      </c>
      <c r="L11" s="166">
        <v>350</v>
      </c>
      <c r="M11" s="153">
        <v>91</v>
      </c>
      <c r="N11" s="166">
        <v>26</v>
      </c>
      <c r="O11" s="167">
        <v>1.1000000000000001</v>
      </c>
      <c r="Q11" s="166">
        <v>0.1</v>
      </c>
      <c r="R11" s="167">
        <v>46.5</v>
      </c>
      <c r="S11" s="168">
        <v>3.73</v>
      </c>
      <c r="T11" s="170">
        <v>1.67</v>
      </c>
      <c r="U11" s="167">
        <v>18.771942446043166</v>
      </c>
      <c r="V11" s="184">
        <v>2.1999999999999999E-2</v>
      </c>
      <c r="W11" s="161">
        <f t="shared" si="0"/>
        <v>5.3634121274409043</v>
      </c>
      <c r="X11" s="161">
        <v>3.2402234636871503</v>
      </c>
      <c r="Y11" s="166"/>
      <c r="Z11" s="174"/>
      <c r="AB11" s="166"/>
      <c r="AJ11" s="178"/>
      <c r="AT11" s="174"/>
      <c r="AU11" s="174"/>
      <c r="AV11" s="174"/>
      <c r="AW11" s="185"/>
    </row>
    <row r="12" spans="1:88">
      <c r="H12" s="169"/>
      <c r="V12" s="153"/>
      <c r="W12" s="153"/>
      <c r="Z12" s="174"/>
    </row>
    <row r="13" spans="1:88">
      <c r="B13" s="154" t="s">
        <v>304</v>
      </c>
      <c r="E13" s="153">
        <f t="shared" ref="E13:V13" si="1">MEDIAN(E3:E11)</f>
        <v>16.79</v>
      </c>
      <c r="F13" s="153">
        <f t="shared" si="1"/>
        <v>48</v>
      </c>
      <c r="G13" s="153">
        <f t="shared" si="1"/>
        <v>6</v>
      </c>
      <c r="H13" s="169">
        <f t="shared" si="1"/>
        <v>56.974999999999994</v>
      </c>
      <c r="I13" s="169">
        <f t="shared" si="1"/>
        <v>13.9</v>
      </c>
      <c r="J13" s="153">
        <f t="shared" si="1"/>
        <v>120</v>
      </c>
      <c r="K13" s="153">
        <f t="shared" si="1"/>
        <v>45</v>
      </c>
      <c r="L13" s="169">
        <f t="shared" si="1"/>
        <v>389.5</v>
      </c>
      <c r="M13" s="153">
        <f t="shared" si="1"/>
        <v>122</v>
      </c>
      <c r="N13" s="169">
        <f t="shared" si="1"/>
        <v>40.9</v>
      </c>
      <c r="O13" s="170">
        <f t="shared" si="1"/>
        <v>10.565</v>
      </c>
      <c r="P13" s="170">
        <f t="shared" si="1"/>
        <v>15.574999999999999</v>
      </c>
      <c r="Q13" s="186">
        <f t="shared" si="1"/>
        <v>0.17499999999999999</v>
      </c>
      <c r="R13" s="169">
        <f t="shared" si="1"/>
        <v>37.049999999999997</v>
      </c>
      <c r="S13" s="153">
        <f t="shared" si="1"/>
        <v>8.6999999999999993</v>
      </c>
      <c r="T13" s="170">
        <f t="shared" si="1"/>
        <v>3.27</v>
      </c>
      <c r="U13" s="169">
        <f t="shared" si="1"/>
        <v>29.42</v>
      </c>
      <c r="V13" s="170">
        <f t="shared" si="1"/>
        <v>3.69</v>
      </c>
      <c r="W13" s="170"/>
      <c r="X13" s="170">
        <f>MEDIAN(X3:X11)</f>
        <v>3.1706117318435751</v>
      </c>
      <c r="Z13" s="174"/>
      <c r="AA13" s="174"/>
      <c r="AC13" s="174"/>
      <c r="AD13" s="174"/>
      <c r="AE13" s="174"/>
      <c r="AF13" s="174"/>
      <c r="AG13" s="174"/>
      <c r="AH13" s="174"/>
      <c r="AI13" s="174"/>
      <c r="AJ13" s="174"/>
      <c r="AK13" s="174"/>
      <c r="AL13" s="174"/>
      <c r="AM13" s="174"/>
      <c r="AN13" s="174"/>
    </row>
    <row r="14" spans="1:88">
      <c r="B14" s="151" t="s">
        <v>253</v>
      </c>
      <c r="E14" s="170">
        <f>MAX(E3:E11)/MIN(E3:E11)</f>
        <v>154.48079658605974</v>
      </c>
      <c r="F14" s="170">
        <f>MAX(F3:F11)/MIN(F3:F11)</f>
        <v>183.49514563106797</v>
      </c>
      <c r="G14" s="170">
        <f>MAX(G3:G10)/MIN(G3:G10)</f>
        <v>163.88888888888889</v>
      </c>
      <c r="H14" s="169">
        <f t="shared" ref="H14:O14" si="2">MAX(H3:H11)/MIN(H3:H11)</f>
        <v>458.33333333333337</v>
      </c>
      <c r="I14" s="170">
        <f t="shared" si="2"/>
        <v>6.8260869565217392</v>
      </c>
      <c r="J14" s="170">
        <f t="shared" si="2"/>
        <v>8.106621438414864</v>
      </c>
      <c r="K14" s="169">
        <f t="shared" si="2"/>
        <v>58.058823529411768</v>
      </c>
      <c r="L14" s="170">
        <f t="shared" si="2"/>
        <v>3.4545454545454546</v>
      </c>
      <c r="M14" s="170">
        <f t="shared" si="2"/>
        <v>5.1986447241045495</v>
      </c>
      <c r="N14" s="170">
        <f t="shared" si="2"/>
        <v>4.6511627906976747</v>
      </c>
      <c r="O14" s="169">
        <f t="shared" si="2"/>
        <v>427.27272727272725</v>
      </c>
      <c r="P14" s="169">
        <f t="shared" ref="P14:V14" si="3">MAX(P3:P11)/MIN(P3:P11)</f>
        <v>669.72477064220175</v>
      </c>
      <c r="Q14" s="170">
        <f t="shared" si="3"/>
        <v>7.9</v>
      </c>
      <c r="R14" s="169">
        <f t="shared" si="3"/>
        <v>161.53846153846155</v>
      </c>
      <c r="S14" s="169">
        <f t="shared" si="3"/>
        <v>23.166666666666668</v>
      </c>
      <c r="T14" s="169">
        <f t="shared" si="3"/>
        <v>215.90909090909091</v>
      </c>
      <c r="U14" s="170">
        <f t="shared" si="3"/>
        <v>2.3215130663641341</v>
      </c>
      <c r="V14" s="169">
        <f t="shared" si="3"/>
        <v>3790.9090909090914</v>
      </c>
      <c r="W14" s="169"/>
      <c r="X14" s="170">
        <f>MAX(X3:X11)/MIN(X3:X11)</f>
        <v>3.21484375</v>
      </c>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row>
    <row r="15" spans="1:88">
      <c r="B15" s="151" t="s">
        <v>597</v>
      </c>
      <c r="E15" s="170">
        <f t="shared" ref="E15:X15" si="4">MAX(E3:E11)/E13</f>
        <v>19.404407385348424</v>
      </c>
      <c r="F15" s="170">
        <f t="shared" si="4"/>
        <v>3.9375</v>
      </c>
      <c r="G15" s="170">
        <f t="shared" si="4"/>
        <v>19.666666666666668</v>
      </c>
      <c r="H15" s="170">
        <f t="shared" si="4"/>
        <v>1.9306713470820538</v>
      </c>
      <c r="I15" s="170">
        <f t="shared" si="4"/>
        <v>1.1294964028776977</v>
      </c>
      <c r="J15" s="170">
        <f t="shared" si="4"/>
        <v>2.1666666666666665</v>
      </c>
      <c r="K15" s="170">
        <f t="shared" si="4"/>
        <v>2.1933333333333334</v>
      </c>
      <c r="L15" s="170">
        <f t="shared" si="4"/>
        <v>1.9512195121951219</v>
      </c>
      <c r="M15" s="170">
        <f t="shared" si="4"/>
        <v>1.8032786885245902</v>
      </c>
      <c r="N15" s="170">
        <f t="shared" si="4"/>
        <v>1.3202933985330074</v>
      </c>
      <c r="O15" s="170">
        <f t="shared" si="4"/>
        <v>44.486512068149551</v>
      </c>
      <c r="P15" s="170">
        <f t="shared" si="4"/>
        <v>46.869983948635635</v>
      </c>
      <c r="Q15" s="170">
        <f t="shared" si="4"/>
        <v>4.5142857142857151</v>
      </c>
      <c r="R15" s="170">
        <f t="shared" si="4"/>
        <v>56.680161943319845</v>
      </c>
      <c r="S15" s="170">
        <f t="shared" si="4"/>
        <v>9.586206896551726</v>
      </c>
      <c r="T15" s="170">
        <f t="shared" si="4"/>
        <v>58.103975535168196</v>
      </c>
      <c r="U15" s="170">
        <f t="shared" si="4"/>
        <v>1.4227095786035477</v>
      </c>
      <c r="V15" s="170">
        <f t="shared" si="4"/>
        <v>22.601626016260166</v>
      </c>
      <c r="W15" s="170"/>
      <c r="X15" s="170">
        <f t="shared" si="4"/>
        <v>2.5957136023131433</v>
      </c>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row>
    <row r="16" spans="1:88" ht="38.5">
      <c r="B16" s="187" t="s">
        <v>256</v>
      </c>
    </row>
    <row r="19" spans="26:49">
      <c r="Z19" s="174"/>
    </row>
    <row r="20" spans="26:49">
      <c r="Z20" s="174"/>
    </row>
    <row r="21" spans="26:49">
      <c r="Z21" s="174"/>
    </row>
    <row r="22" spans="26:49">
      <c r="Z22" s="174"/>
      <c r="AU22" s="174"/>
    </row>
    <row r="23" spans="26:49">
      <c r="Z23" s="174"/>
      <c r="AJ23" s="178"/>
      <c r="AT23" s="174"/>
      <c r="AU23" s="174"/>
    </row>
    <row r="24" spans="26:49">
      <c r="Z24" s="174"/>
      <c r="AW24" s="188"/>
    </row>
    <row r="25" spans="26:49">
      <c r="Z25" s="174"/>
    </row>
    <row r="26" spans="26:49">
      <c r="Z26" s="174"/>
    </row>
  </sheetData>
  <sortState xmlns:xlrd2="http://schemas.microsoft.com/office/spreadsheetml/2017/richdata2" ref="A3:S15">
    <sortCondition ref="B3:B15"/>
  </sortState>
  <hyperlinks>
    <hyperlink ref="B16" location="'Table of Contents'!A1" display="Return to Table of Contents"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8"/>
  <sheetViews>
    <sheetView workbookViewId="0">
      <pane xSplit="1" ySplit="2" topLeftCell="J19" activePane="bottomRight" state="frozen"/>
      <selection pane="topRight" activeCell="B1" sqref="B1"/>
      <selection pane="bottomLeft" activeCell="A3" sqref="A3"/>
      <selection pane="bottomRight" activeCell="N31" sqref="N31"/>
    </sheetView>
  </sheetViews>
  <sheetFormatPr defaultColWidth="8.90625" defaultRowHeight="14.5"/>
  <cols>
    <col min="1" max="1" width="11.90625" style="6" customWidth="1"/>
    <col min="2" max="2" width="8.90625" style="6"/>
    <col min="3" max="3" width="10.90625" style="6" bestFit="1" customWidth="1"/>
    <col min="4" max="6" width="8.90625" style="6"/>
    <col min="7" max="7" width="11.6328125" style="6" bestFit="1" customWidth="1"/>
    <col min="8" max="8" width="8.90625" style="6"/>
    <col min="9" max="23" width="8.90625" style="6" customWidth="1"/>
    <col min="24" max="24" width="8.90625" style="6"/>
    <col min="25" max="30" width="8.90625" style="6" customWidth="1"/>
    <col min="31" max="31" width="8.90625" style="6"/>
    <col min="32" max="32" width="9.90625" style="6" bestFit="1" customWidth="1"/>
    <col min="33" max="16384" width="8.90625" style="6"/>
  </cols>
  <sheetData>
    <row r="1" spans="1:33">
      <c r="A1" s="6" t="s">
        <v>71</v>
      </c>
      <c r="M1" s="41"/>
    </row>
    <row r="2" spans="1:33" s="40" customFormat="1" ht="126.9" customHeight="1">
      <c r="A2" s="40" t="s">
        <v>30</v>
      </c>
      <c r="B2" s="40" t="s">
        <v>260</v>
      </c>
      <c r="C2" s="40" t="s">
        <v>31</v>
      </c>
      <c r="D2" s="40" t="s">
        <v>146</v>
      </c>
      <c r="E2" s="40" t="s">
        <v>259</v>
      </c>
      <c r="F2" s="40" t="s">
        <v>190</v>
      </c>
      <c r="G2" s="40" t="s">
        <v>191</v>
      </c>
      <c r="H2" s="40" t="s">
        <v>32</v>
      </c>
      <c r="I2" s="40" t="s">
        <v>33</v>
      </c>
      <c r="J2" s="40" t="s">
        <v>192</v>
      </c>
      <c r="K2" s="40" t="s">
        <v>193</v>
      </c>
      <c r="L2" s="40" t="s">
        <v>497</v>
      </c>
      <c r="M2" s="40" t="s">
        <v>496</v>
      </c>
      <c r="N2" s="40" t="s">
        <v>194</v>
      </c>
      <c r="O2" s="40" t="s">
        <v>195</v>
      </c>
      <c r="P2" s="40" t="s">
        <v>196</v>
      </c>
      <c r="Q2" s="40" t="s">
        <v>197</v>
      </c>
      <c r="R2" s="40" t="s">
        <v>198</v>
      </c>
      <c r="S2" s="40" t="s">
        <v>199</v>
      </c>
      <c r="T2" s="40" t="s">
        <v>200</v>
      </c>
      <c r="U2" s="40" t="s">
        <v>201</v>
      </c>
      <c r="V2" s="40" t="s">
        <v>490</v>
      </c>
      <c r="W2" s="40" t="s">
        <v>491</v>
      </c>
      <c r="X2" s="40" t="s">
        <v>205</v>
      </c>
      <c r="Y2" s="40" t="s">
        <v>202</v>
      </c>
      <c r="Z2" s="40" t="s">
        <v>492</v>
      </c>
      <c r="AA2" s="40" t="s">
        <v>220</v>
      </c>
      <c r="AB2" s="40" t="s">
        <v>277</v>
      </c>
      <c r="AC2" s="40" t="s">
        <v>278</v>
      </c>
      <c r="AD2" s="40" t="s">
        <v>203</v>
      </c>
      <c r="AE2" s="40" t="s">
        <v>204</v>
      </c>
      <c r="AF2" s="40" t="s">
        <v>206</v>
      </c>
      <c r="AG2" s="40" t="s">
        <v>207</v>
      </c>
    </row>
    <row r="3" spans="1:33">
      <c r="A3" s="6" t="s">
        <v>3</v>
      </c>
      <c r="B3" s="84">
        <v>2020</v>
      </c>
      <c r="C3" s="91">
        <v>25203200</v>
      </c>
      <c r="D3" s="84" t="s">
        <v>147</v>
      </c>
      <c r="E3" s="84" t="s">
        <v>148</v>
      </c>
      <c r="F3" s="6">
        <f>373*0.7255</f>
        <v>270.61150000000004</v>
      </c>
      <c r="G3" s="6">
        <f t="shared" ref="G3:G10" si="0">F3/1.08</f>
        <v>250.56620370370371</v>
      </c>
      <c r="H3" s="84" t="s">
        <v>34</v>
      </c>
      <c r="I3" s="84">
        <v>11.25</v>
      </c>
      <c r="J3" s="84" t="s">
        <v>267</v>
      </c>
      <c r="K3" s="84" t="s">
        <v>35</v>
      </c>
      <c r="L3" s="84" t="s">
        <v>36</v>
      </c>
      <c r="M3" s="84" t="s">
        <v>280</v>
      </c>
      <c r="N3" s="84">
        <v>7.6</v>
      </c>
      <c r="O3" s="84">
        <v>6</v>
      </c>
      <c r="P3" s="84">
        <v>13.37</v>
      </c>
      <c r="Q3" s="84">
        <v>87.92</v>
      </c>
      <c r="R3" s="84">
        <v>104.4</v>
      </c>
      <c r="S3" s="84"/>
      <c r="T3" s="84">
        <v>205.68</v>
      </c>
      <c r="U3" s="104">
        <v>37730.83</v>
      </c>
      <c r="V3" s="45" t="s">
        <v>7</v>
      </c>
      <c r="W3" s="45"/>
      <c r="X3" s="84">
        <v>0.71</v>
      </c>
      <c r="Y3" s="84" t="s">
        <v>493</v>
      </c>
      <c r="Z3" s="84" t="s">
        <v>494</v>
      </c>
      <c r="AA3" s="95">
        <f>21.06+6.4</f>
        <v>27.46</v>
      </c>
      <c r="AB3" s="84" t="s">
        <v>149</v>
      </c>
      <c r="AC3" s="84" t="s">
        <v>7</v>
      </c>
    </row>
    <row r="4" spans="1:33">
      <c r="A4" s="6" t="s">
        <v>155</v>
      </c>
      <c r="B4" s="84">
        <v>2020</v>
      </c>
      <c r="C4" s="91">
        <v>67530161</v>
      </c>
      <c r="D4" s="84" t="s">
        <v>147</v>
      </c>
      <c r="E4" s="84" t="s">
        <v>156</v>
      </c>
      <c r="F4" s="106">
        <v>3598</v>
      </c>
      <c r="G4" s="107">
        <f>F4/1.08</f>
        <v>3331.4814814814813</v>
      </c>
      <c r="H4" s="84" t="s">
        <v>37</v>
      </c>
      <c r="I4" s="84">
        <v>6.88</v>
      </c>
      <c r="J4" s="84" t="s">
        <v>267</v>
      </c>
      <c r="K4" s="84" t="s">
        <v>38</v>
      </c>
      <c r="L4" s="84" t="s">
        <v>39</v>
      </c>
      <c r="M4" s="84" t="s">
        <v>280</v>
      </c>
      <c r="N4" s="84" t="s">
        <v>7</v>
      </c>
      <c r="O4" s="84" t="s">
        <v>7</v>
      </c>
      <c r="P4" s="84">
        <v>13.76</v>
      </c>
      <c r="Q4" s="84">
        <v>55.62</v>
      </c>
      <c r="R4" s="84">
        <v>19.77</v>
      </c>
      <c r="S4" s="84">
        <v>4.75</v>
      </c>
      <c r="T4" s="84">
        <v>201.14</v>
      </c>
      <c r="U4" s="104">
        <v>2948.14</v>
      </c>
      <c r="V4" s="84" t="s">
        <v>7</v>
      </c>
      <c r="W4" s="6" t="s">
        <v>7</v>
      </c>
      <c r="X4" s="84" t="s">
        <v>7</v>
      </c>
      <c r="Y4" s="84" t="s">
        <v>157</v>
      </c>
      <c r="Z4" s="84" t="s">
        <v>7</v>
      </c>
      <c r="AA4" s="84"/>
      <c r="AB4" s="84" t="s">
        <v>7</v>
      </c>
      <c r="AC4" s="91">
        <v>124935</v>
      </c>
      <c r="AD4" s="91">
        <v>49633</v>
      </c>
      <c r="AE4" s="44">
        <f>AD4/AC4*100</f>
        <v>39.727058070196506</v>
      </c>
      <c r="AF4" s="91">
        <v>120508</v>
      </c>
      <c r="AG4" s="6">
        <f>AF4/C4*100000</f>
        <v>178.45063333996788</v>
      </c>
    </row>
    <row r="5" spans="1:33">
      <c r="A5" s="6" t="s">
        <v>150</v>
      </c>
      <c r="B5" s="84">
        <v>2020</v>
      </c>
      <c r="C5" s="91">
        <v>83517046</v>
      </c>
      <c r="D5" s="84" t="s">
        <v>147</v>
      </c>
      <c r="E5" s="84" t="s">
        <v>151</v>
      </c>
      <c r="F5" s="106">
        <f>531.3*1.08</f>
        <v>573.80399999999997</v>
      </c>
      <c r="G5" s="107">
        <f t="shared" si="0"/>
        <v>531.29999999999995</v>
      </c>
      <c r="H5" s="84" t="s">
        <v>37</v>
      </c>
      <c r="I5" s="84">
        <v>8.27</v>
      </c>
      <c r="J5" s="84" t="s">
        <v>267</v>
      </c>
      <c r="K5" s="84" t="s">
        <v>38</v>
      </c>
      <c r="L5" s="84" t="s">
        <v>36</v>
      </c>
      <c r="M5" s="84" t="s">
        <v>280</v>
      </c>
      <c r="N5" s="84">
        <v>13.1</v>
      </c>
      <c r="O5" s="84" t="s">
        <v>7</v>
      </c>
      <c r="P5" s="84">
        <v>14.22</v>
      </c>
      <c r="Q5" s="84">
        <v>1.2</v>
      </c>
      <c r="R5" s="84">
        <v>55.08</v>
      </c>
      <c r="S5" s="84">
        <v>67.05</v>
      </c>
      <c r="T5" s="84">
        <v>223.76</v>
      </c>
      <c r="U5" s="104">
        <v>1569.88</v>
      </c>
      <c r="V5" s="104">
        <v>97.1</v>
      </c>
      <c r="W5" s="45"/>
      <c r="X5" s="84">
        <v>3.04</v>
      </c>
      <c r="Y5" s="84" t="s">
        <v>152</v>
      </c>
      <c r="Z5" s="84" t="s">
        <v>153</v>
      </c>
      <c r="AA5" s="84"/>
      <c r="AB5" s="84" t="s">
        <v>154</v>
      </c>
      <c r="AC5" s="91">
        <v>618087</v>
      </c>
      <c r="AG5" s="6" t="s">
        <v>7</v>
      </c>
    </row>
    <row r="6" spans="1:33">
      <c r="A6" s="6" t="s">
        <v>158</v>
      </c>
      <c r="B6" s="84">
        <v>2020</v>
      </c>
      <c r="C6" s="91">
        <v>4882498</v>
      </c>
      <c r="D6" s="84" t="s">
        <v>147</v>
      </c>
      <c r="E6" s="84" t="s">
        <v>159</v>
      </c>
      <c r="F6" s="106">
        <f>210.1*1.08122</f>
        <v>227.164322</v>
      </c>
      <c r="G6" s="107">
        <f t="shared" si="0"/>
        <v>210.33733518518517</v>
      </c>
      <c r="H6" s="84" t="s">
        <v>37</v>
      </c>
      <c r="I6" s="84">
        <v>8.9</v>
      </c>
      <c r="J6" s="102" t="s">
        <v>160</v>
      </c>
      <c r="K6" s="84" t="s">
        <v>38</v>
      </c>
      <c r="L6" s="84" t="s">
        <v>40</v>
      </c>
      <c r="M6" s="84" t="s">
        <v>268</v>
      </c>
      <c r="N6" s="84">
        <v>6</v>
      </c>
      <c r="O6" s="84">
        <v>40.5</v>
      </c>
      <c r="P6" s="84">
        <v>8.01</v>
      </c>
      <c r="Q6" s="84">
        <v>99.09</v>
      </c>
      <c r="R6" s="84">
        <v>7.95</v>
      </c>
      <c r="S6" s="84">
        <v>7.09</v>
      </c>
      <c r="T6" s="84">
        <v>236.25</v>
      </c>
      <c r="U6" s="84" t="s">
        <v>7</v>
      </c>
      <c r="V6" s="84">
        <v>554.14</v>
      </c>
      <c r="W6" s="6" t="s">
        <v>7</v>
      </c>
      <c r="X6" s="104">
        <v>5.98</v>
      </c>
      <c r="Y6" s="84" t="s">
        <v>161</v>
      </c>
      <c r="Z6" s="84" t="s">
        <v>162</v>
      </c>
      <c r="AA6" s="84"/>
      <c r="AB6" s="84" t="s">
        <v>163</v>
      </c>
      <c r="AC6" s="91">
        <v>10136</v>
      </c>
      <c r="AD6" s="91">
        <v>2390</v>
      </c>
      <c r="AE6" s="44">
        <f>AD6/AC6*100</f>
        <v>23.579321231254934</v>
      </c>
      <c r="AF6" s="104" t="s">
        <v>7</v>
      </c>
      <c r="AG6" s="6" t="s">
        <v>7</v>
      </c>
    </row>
    <row r="7" spans="1:33">
      <c r="A7" s="6" t="s">
        <v>164</v>
      </c>
      <c r="B7" s="84">
        <v>2020</v>
      </c>
      <c r="C7" s="91">
        <v>126860299</v>
      </c>
      <c r="D7" s="84" t="s">
        <v>147</v>
      </c>
      <c r="E7" s="84" t="s">
        <v>165</v>
      </c>
      <c r="F7" s="106">
        <f>15043.3/128.567</f>
        <v>117.00747470190639</v>
      </c>
      <c r="G7" s="107">
        <f t="shared" si="0"/>
        <v>108.34025435361701</v>
      </c>
      <c r="H7" s="84" t="s">
        <v>34</v>
      </c>
      <c r="I7" s="84">
        <v>12.24</v>
      </c>
      <c r="J7" s="84" t="s">
        <v>267</v>
      </c>
      <c r="K7" s="84" t="s">
        <v>38</v>
      </c>
      <c r="L7" s="84" t="s">
        <v>36</v>
      </c>
      <c r="M7" s="84" t="s">
        <v>280</v>
      </c>
      <c r="N7" s="84">
        <v>6.2</v>
      </c>
      <c r="O7" s="84" t="s">
        <v>7</v>
      </c>
      <c r="P7" s="84">
        <v>12.55</v>
      </c>
      <c r="Q7" s="84" t="s">
        <v>7</v>
      </c>
      <c r="R7" s="84">
        <v>27.81</v>
      </c>
      <c r="S7" s="84">
        <v>71.56</v>
      </c>
      <c r="T7" s="84">
        <v>111.92</v>
      </c>
      <c r="U7" s="104">
        <v>251.06</v>
      </c>
      <c r="V7" s="84" t="s">
        <v>7</v>
      </c>
      <c r="W7" s="84">
        <v>46.64</v>
      </c>
      <c r="X7" s="104">
        <v>0.89</v>
      </c>
      <c r="Y7" s="84" t="s">
        <v>166</v>
      </c>
      <c r="Z7" s="84" t="s">
        <v>167</v>
      </c>
      <c r="AA7" s="84"/>
      <c r="AB7" s="84" t="s">
        <v>7</v>
      </c>
      <c r="AC7" s="84" t="s">
        <v>7</v>
      </c>
      <c r="AF7" s="91">
        <v>216200</v>
      </c>
      <c r="AG7" s="6">
        <f>AF7/C7*100000</f>
        <v>170.42368787101788</v>
      </c>
    </row>
    <row r="8" spans="1:33">
      <c r="A8" s="6" t="s">
        <v>168</v>
      </c>
      <c r="B8" s="84">
        <v>2014</v>
      </c>
      <c r="C8" s="91">
        <v>16802462</v>
      </c>
      <c r="D8" s="84" t="s">
        <v>147</v>
      </c>
      <c r="E8" s="84" t="s">
        <v>169</v>
      </c>
      <c r="F8" s="106">
        <v>6145</v>
      </c>
      <c r="G8" s="107">
        <f t="shared" si="0"/>
        <v>5689.8148148148148</v>
      </c>
      <c r="H8" s="84" t="s">
        <v>37</v>
      </c>
      <c r="I8" s="84">
        <v>8.1999999999999993</v>
      </c>
      <c r="J8" s="103" t="s">
        <v>41</v>
      </c>
      <c r="K8" s="84" t="s">
        <v>7</v>
      </c>
      <c r="L8" s="84" t="s">
        <v>276</v>
      </c>
      <c r="M8" s="84" t="s">
        <v>7</v>
      </c>
      <c r="N8" s="84"/>
      <c r="O8" s="84"/>
      <c r="P8" s="84">
        <v>20.100000000000001</v>
      </c>
      <c r="Q8" s="84">
        <v>2.87</v>
      </c>
      <c r="R8" s="84">
        <v>90.76</v>
      </c>
      <c r="S8" s="84" t="s">
        <v>7</v>
      </c>
      <c r="T8" s="84">
        <v>45.7</v>
      </c>
      <c r="U8" s="84" t="s">
        <v>7</v>
      </c>
      <c r="V8" s="84" t="s">
        <v>7</v>
      </c>
      <c r="W8" s="6" t="s">
        <v>7</v>
      </c>
      <c r="X8" s="84" t="s">
        <v>7</v>
      </c>
      <c r="Y8" s="84" t="s">
        <v>7</v>
      </c>
      <c r="Z8" s="84" t="s">
        <v>43</v>
      </c>
      <c r="AA8" s="84"/>
      <c r="AB8" s="84" t="s">
        <v>44</v>
      </c>
      <c r="AC8" s="84" t="s">
        <v>7</v>
      </c>
      <c r="AF8" s="84" t="s">
        <v>7</v>
      </c>
      <c r="AG8" s="6" t="s">
        <v>7</v>
      </c>
    </row>
    <row r="9" spans="1:33">
      <c r="A9" s="6" t="s">
        <v>170</v>
      </c>
      <c r="B9" s="84">
        <v>2020</v>
      </c>
      <c r="C9" s="91">
        <v>4783062</v>
      </c>
      <c r="D9" s="84" t="s">
        <v>147</v>
      </c>
      <c r="E9" s="84" t="s">
        <v>171</v>
      </c>
      <c r="F9" s="106">
        <f>319.9*0.66296</f>
        <v>212.08090399999998</v>
      </c>
      <c r="G9" s="107">
        <f t="shared" si="0"/>
        <v>196.37120740740738</v>
      </c>
      <c r="H9" s="84" t="s">
        <v>34</v>
      </c>
      <c r="I9" s="84">
        <v>10.3</v>
      </c>
      <c r="J9" s="103" t="s">
        <v>41</v>
      </c>
      <c r="K9" s="84" t="s">
        <v>38</v>
      </c>
      <c r="L9" s="84" t="s">
        <v>40</v>
      </c>
      <c r="M9" s="84" t="s">
        <v>268</v>
      </c>
      <c r="N9" s="84">
        <v>8.4</v>
      </c>
      <c r="O9" s="84" t="s">
        <v>7</v>
      </c>
      <c r="P9" s="84">
        <v>8.66</v>
      </c>
      <c r="Q9" s="84">
        <v>71.59</v>
      </c>
      <c r="R9" s="84">
        <v>9.6199999999999992</v>
      </c>
      <c r="S9" s="84">
        <v>14.87</v>
      </c>
      <c r="T9" s="84">
        <v>116.61</v>
      </c>
      <c r="U9" s="104">
        <v>649.4</v>
      </c>
      <c r="V9" s="104">
        <v>75172.41</v>
      </c>
      <c r="W9" s="6" t="s">
        <v>7</v>
      </c>
      <c r="X9" s="84" t="s">
        <v>7</v>
      </c>
      <c r="Y9" s="84" t="s">
        <v>7</v>
      </c>
      <c r="Z9" s="84" t="s">
        <v>172</v>
      </c>
      <c r="AA9" s="84"/>
      <c r="AB9" s="84" t="s">
        <v>173</v>
      </c>
      <c r="AC9" s="84" t="s">
        <v>7</v>
      </c>
      <c r="AF9" s="91">
        <v>7917</v>
      </c>
      <c r="AG9" s="6">
        <f>AF9/C9*100000</f>
        <v>165.52158429056533</v>
      </c>
    </row>
    <row r="10" spans="1:33">
      <c r="A10" s="6" t="s">
        <v>174</v>
      </c>
      <c r="B10" s="84" t="s">
        <v>273</v>
      </c>
      <c r="C10" s="91">
        <v>329064917</v>
      </c>
      <c r="D10" s="84" t="s">
        <v>147</v>
      </c>
      <c r="E10" s="84" t="s">
        <v>275</v>
      </c>
      <c r="F10" s="106">
        <v>343.8</v>
      </c>
      <c r="G10" s="107">
        <f t="shared" si="0"/>
        <v>318.33333333333331</v>
      </c>
      <c r="H10" s="84" t="s">
        <v>45</v>
      </c>
      <c r="I10" s="84">
        <v>14.51</v>
      </c>
      <c r="J10" s="84" t="s">
        <v>46</v>
      </c>
      <c r="K10" s="84" t="s">
        <v>35</v>
      </c>
      <c r="L10" s="84" t="s">
        <v>40</v>
      </c>
      <c r="M10" s="84" t="s">
        <v>281</v>
      </c>
      <c r="N10" s="84" t="s">
        <v>175</v>
      </c>
      <c r="O10" s="84" t="s">
        <v>7</v>
      </c>
      <c r="P10" s="84">
        <v>10.54</v>
      </c>
      <c r="Q10" s="84">
        <v>4.28</v>
      </c>
      <c r="R10" s="84">
        <v>29.86</v>
      </c>
      <c r="S10" s="84">
        <v>60.34</v>
      </c>
      <c r="T10" s="84">
        <v>271.27999999999997</v>
      </c>
      <c r="U10" s="84" t="s">
        <v>7</v>
      </c>
      <c r="V10" s="84" t="s">
        <v>7</v>
      </c>
      <c r="W10" s="6" t="s">
        <v>7</v>
      </c>
      <c r="X10" s="84" t="s">
        <v>7</v>
      </c>
      <c r="Y10" s="84" t="s">
        <v>47</v>
      </c>
      <c r="Z10" s="84" t="s">
        <v>48</v>
      </c>
      <c r="AA10" s="84"/>
      <c r="AB10" s="84" t="s">
        <v>7</v>
      </c>
      <c r="AC10" s="84" t="s">
        <v>7</v>
      </c>
      <c r="AF10" s="84">
        <v>6700000</v>
      </c>
      <c r="AG10" s="6">
        <v>2094.21</v>
      </c>
    </row>
    <row r="11" spans="1:33">
      <c r="A11" s="6" t="s">
        <v>49</v>
      </c>
      <c r="F11" s="106">
        <f>MEDIAN(F3:F10)</f>
        <v>307.20575000000002</v>
      </c>
      <c r="G11" s="107">
        <f>MEDIAN(G3:G10)</f>
        <v>284.44976851851851</v>
      </c>
      <c r="H11" s="6" t="s">
        <v>7</v>
      </c>
      <c r="I11" s="6">
        <f>MEDIAN(I3:I10)</f>
        <v>9.6000000000000014</v>
      </c>
      <c r="J11" s="6" t="s">
        <v>269</v>
      </c>
      <c r="K11" s="6" t="s">
        <v>271</v>
      </c>
      <c r="L11" s="47" t="s">
        <v>270</v>
      </c>
      <c r="M11" s="6" t="s">
        <v>282</v>
      </c>
      <c r="N11" s="6">
        <f>MEDIAN(N3:N10)</f>
        <v>7.6</v>
      </c>
      <c r="P11" s="6">
        <f>MEDIAN(P3:P10)</f>
        <v>12.96</v>
      </c>
      <c r="Q11" s="6">
        <f t="shared" ref="Q11:AG11" si="1">MEDIAN(Q3:Q10)</f>
        <v>55.62</v>
      </c>
      <c r="R11" s="6">
        <f t="shared" si="1"/>
        <v>28.835000000000001</v>
      </c>
      <c r="S11" s="6">
        <f t="shared" si="1"/>
        <v>37.605000000000004</v>
      </c>
      <c r="T11" s="6">
        <f t="shared" si="1"/>
        <v>203.41</v>
      </c>
      <c r="U11" s="6">
        <f t="shared" si="1"/>
        <v>1569.88</v>
      </c>
      <c r="V11" s="6">
        <f t="shared" si="1"/>
        <v>554.14</v>
      </c>
      <c r="W11" s="6">
        <f t="shared" si="1"/>
        <v>46.64</v>
      </c>
      <c r="X11" s="6">
        <f t="shared" si="1"/>
        <v>1.9649999999999999</v>
      </c>
      <c r="Y11" s="6" t="s">
        <v>7</v>
      </c>
      <c r="Z11" s="6" t="s">
        <v>7</v>
      </c>
      <c r="AB11" s="6" t="s">
        <v>7</v>
      </c>
      <c r="AC11" s="6">
        <f t="shared" si="1"/>
        <v>124935</v>
      </c>
      <c r="AD11" s="6" t="s">
        <v>7</v>
      </c>
      <c r="AE11" s="6" t="s">
        <v>7</v>
      </c>
      <c r="AF11" s="6">
        <f t="shared" si="1"/>
        <v>168354</v>
      </c>
      <c r="AG11" s="6">
        <f t="shared" si="1"/>
        <v>174.43716060549286</v>
      </c>
    </row>
    <row r="12" spans="1:33">
      <c r="A12" s="6" t="s">
        <v>598</v>
      </c>
      <c r="F12" s="45">
        <f>MAX(F3:F10)/MIN(F3:F10)</f>
        <v>52.51801233771846</v>
      </c>
      <c r="G12" s="107"/>
      <c r="I12" s="45">
        <f>MAX(I3:I10)/MIN(I3:I10)</f>
        <v>2.1090116279069768</v>
      </c>
      <c r="L12" s="47"/>
      <c r="N12" s="45">
        <f>MAX(N3:N10)/MIN(N3:N10)</f>
        <v>2.1833333333333331</v>
      </c>
      <c r="P12" s="45">
        <f t="shared" ref="P12:V12" si="2">MAX(P3:P10)/MIN(P3:P10)</f>
        <v>2.5093632958801502</v>
      </c>
      <c r="Q12" s="45">
        <f t="shared" si="2"/>
        <v>82.575000000000003</v>
      </c>
      <c r="R12" s="45">
        <f t="shared" si="2"/>
        <v>13.132075471698114</v>
      </c>
      <c r="S12" s="45">
        <f t="shared" si="2"/>
        <v>15.065263157894737</v>
      </c>
      <c r="T12" s="45">
        <f t="shared" si="2"/>
        <v>5.9361050328227565</v>
      </c>
      <c r="U12" s="45">
        <f t="shared" si="2"/>
        <v>150.28610690671553</v>
      </c>
      <c r="V12" s="45">
        <f t="shared" si="2"/>
        <v>774.17518022657066</v>
      </c>
      <c r="X12" s="45">
        <f>MAX(X3:X10)/MIN(X3:X10)</f>
        <v>8.422535211267606</v>
      </c>
      <c r="AC12" s="45">
        <f>MAX(AC3:AC10)/MIN(AC3:AC10)</f>
        <v>60.979380426203633</v>
      </c>
      <c r="AF12" s="45">
        <f>MAX(AF3:AF10)/MIN(AF3:AF10)</f>
        <v>846.28015662498422</v>
      </c>
      <c r="AG12" s="45">
        <f>MAX(AG3:AG10)/MIN(AG3:AG10)</f>
        <v>12.65218677658204</v>
      </c>
    </row>
    <row r="13" spans="1:33">
      <c r="A13" s="6" t="s">
        <v>599</v>
      </c>
      <c r="F13" s="45">
        <f>MAX(F3:F10)/F11</f>
        <v>20.002880805453671</v>
      </c>
      <c r="G13" s="107"/>
      <c r="I13" s="45">
        <f>MAX(I3:I10)/I11</f>
        <v>1.5114583333333331</v>
      </c>
      <c r="L13" s="47"/>
      <c r="N13" s="45">
        <f>MAX(N3:N10)/N11</f>
        <v>1.7236842105263159</v>
      </c>
      <c r="P13" s="45">
        <f t="shared" ref="P13:V13" si="3">MAX(P3:P10)/P11</f>
        <v>1.550925925925926</v>
      </c>
      <c r="Q13" s="45">
        <f t="shared" si="3"/>
        <v>1.7815533980582525</v>
      </c>
      <c r="R13" s="45">
        <f t="shared" si="3"/>
        <v>3.6205999653199239</v>
      </c>
      <c r="S13" s="45">
        <f t="shared" si="3"/>
        <v>1.9029384390373618</v>
      </c>
      <c r="T13" s="45">
        <f t="shared" si="3"/>
        <v>1.3336610786097045</v>
      </c>
      <c r="U13" s="45">
        <f t="shared" si="3"/>
        <v>24.034212806074351</v>
      </c>
      <c r="V13" s="45">
        <f t="shared" si="3"/>
        <v>135.65598946114702</v>
      </c>
      <c r="X13" s="45">
        <f>MAX(X3:X10)/X11</f>
        <v>3.0432569974554711</v>
      </c>
      <c r="AC13" s="45">
        <f>MAX(AC3:AC10)/AC11</f>
        <v>4.947268579661424</v>
      </c>
      <c r="AF13" s="45">
        <f>MAX(AF3:AF10)/AF11</f>
        <v>39.797094218135598</v>
      </c>
      <c r="AG13" s="45">
        <f>MAX(AG3:AG10)/AG11</f>
        <v>12.005526762363818</v>
      </c>
    </row>
    <row r="14" spans="1:33" s="84" customFormat="1">
      <c r="A14" s="95" t="s">
        <v>274</v>
      </c>
      <c r="B14" s="84">
        <v>2020</v>
      </c>
      <c r="D14" s="84" t="s">
        <v>176</v>
      </c>
      <c r="E14" s="84" t="s">
        <v>177</v>
      </c>
      <c r="G14" s="84" t="s">
        <v>7</v>
      </c>
      <c r="I14" s="84">
        <v>9</v>
      </c>
      <c r="J14" s="84" t="s">
        <v>51</v>
      </c>
      <c r="K14" s="84" t="s">
        <v>52</v>
      </c>
      <c r="L14" s="108">
        <v>0.35</v>
      </c>
      <c r="M14" s="84" t="s">
        <v>221</v>
      </c>
      <c r="N14" s="84">
        <v>2.1</v>
      </c>
      <c r="O14" s="84">
        <v>66</v>
      </c>
      <c r="P14" s="84">
        <v>1.7</v>
      </c>
      <c r="Q14" s="84">
        <v>3.8</v>
      </c>
      <c r="R14" s="84">
        <v>1.4</v>
      </c>
      <c r="S14" s="84">
        <v>0.7</v>
      </c>
      <c r="T14" s="84">
        <v>13</v>
      </c>
      <c r="U14" s="84">
        <v>1102.7</v>
      </c>
      <c r="V14" s="84">
        <v>1085.8</v>
      </c>
      <c r="W14" s="84">
        <v>158.19999999999999</v>
      </c>
      <c r="X14" s="84">
        <v>0.62</v>
      </c>
      <c r="Y14" s="103" t="s">
        <v>178</v>
      </c>
      <c r="Z14" s="84" t="s">
        <v>179</v>
      </c>
      <c r="AB14" s="84" t="s">
        <v>180</v>
      </c>
      <c r="AD14" s="84" t="s">
        <v>53</v>
      </c>
      <c r="AG14" s="109">
        <v>212.4</v>
      </c>
    </row>
    <row r="15" spans="1:33" s="84" customFormat="1">
      <c r="A15" s="95" t="s">
        <v>54</v>
      </c>
      <c r="B15" s="84">
        <v>2020</v>
      </c>
      <c r="D15" s="84" t="s">
        <v>147</v>
      </c>
      <c r="E15" s="110">
        <v>52.73</v>
      </c>
      <c r="F15" s="84" t="s">
        <v>7</v>
      </c>
      <c r="I15" s="84">
        <v>10.9</v>
      </c>
      <c r="J15" s="108" t="s">
        <v>55</v>
      </c>
      <c r="K15" s="108">
        <v>0.94</v>
      </c>
      <c r="L15" s="108">
        <v>0.49</v>
      </c>
      <c r="M15" s="108">
        <v>0.37</v>
      </c>
      <c r="N15" s="84">
        <v>3.8</v>
      </c>
      <c r="O15" s="108">
        <v>0.35</v>
      </c>
      <c r="P15" s="144">
        <v>9</v>
      </c>
      <c r="Q15" s="144">
        <v>29</v>
      </c>
      <c r="R15" s="144">
        <v>11</v>
      </c>
      <c r="S15" s="144">
        <v>3</v>
      </c>
      <c r="T15" s="84">
        <v>62.2</v>
      </c>
      <c r="U15" s="84">
        <v>3142.8</v>
      </c>
      <c r="V15" s="84">
        <v>3137.7</v>
      </c>
      <c r="W15" s="84">
        <v>705.5</v>
      </c>
      <c r="X15" s="84">
        <v>5.0999999999999996</v>
      </c>
      <c r="Y15" s="84">
        <v>29</v>
      </c>
      <c r="Z15" s="84" t="s">
        <v>181</v>
      </c>
      <c r="AG15" s="84">
        <v>506.5</v>
      </c>
    </row>
    <row r="16" spans="1:33">
      <c r="A16" s="6" t="s">
        <v>495</v>
      </c>
      <c r="M16" s="47"/>
      <c r="P16" s="108" t="s">
        <v>596</v>
      </c>
      <c r="Q16" s="108" t="s">
        <v>7</v>
      </c>
      <c r="R16" s="108" t="s">
        <v>7</v>
      </c>
      <c r="S16" s="108" t="s">
        <v>7</v>
      </c>
      <c r="Y16" s="6" t="s">
        <v>7</v>
      </c>
    </row>
    <row r="17" spans="1:33">
      <c r="A17" s="6" t="s">
        <v>641</v>
      </c>
      <c r="E17" s="6" t="s">
        <v>272</v>
      </c>
      <c r="P17" s="6" t="s">
        <v>272</v>
      </c>
      <c r="Q17" s="6" t="s">
        <v>272</v>
      </c>
      <c r="R17" s="6" t="s">
        <v>272</v>
      </c>
      <c r="S17" s="6" t="s">
        <v>272</v>
      </c>
      <c r="T17" s="6" t="s">
        <v>272</v>
      </c>
      <c r="Y17" s="6" t="s">
        <v>272</v>
      </c>
      <c r="Z17" s="6" t="s">
        <v>272</v>
      </c>
      <c r="AF17" s="6" t="s">
        <v>607</v>
      </c>
      <c r="AG17" s="6" t="s">
        <v>272</v>
      </c>
    </row>
    <row r="18" spans="1:33">
      <c r="A18" s="6" t="s">
        <v>182</v>
      </c>
    </row>
    <row r="19" spans="1:33">
      <c r="A19" s="6" t="s">
        <v>3</v>
      </c>
      <c r="B19" s="6">
        <v>2017</v>
      </c>
      <c r="C19" s="44">
        <v>23799556</v>
      </c>
      <c r="D19" s="6" t="s">
        <v>147</v>
      </c>
      <c r="E19" s="6" t="s">
        <v>183</v>
      </c>
      <c r="F19" s="106">
        <f>340.8*0.7255</f>
        <v>247.25040000000001</v>
      </c>
      <c r="H19" s="6" t="s">
        <v>56</v>
      </c>
      <c r="I19" s="6">
        <v>13.2</v>
      </c>
      <c r="J19" s="46" t="s">
        <v>41</v>
      </c>
      <c r="K19" s="6" t="s">
        <v>35</v>
      </c>
      <c r="L19" s="6" t="s">
        <v>268</v>
      </c>
      <c r="M19" s="6" t="s">
        <v>42</v>
      </c>
      <c r="N19" s="6">
        <v>7.81</v>
      </c>
      <c r="O19" s="6" t="s">
        <v>7</v>
      </c>
      <c r="P19" s="6">
        <v>13.53</v>
      </c>
      <c r="Q19" s="6">
        <v>90.58</v>
      </c>
      <c r="R19" s="6">
        <v>103.04</v>
      </c>
      <c r="S19" s="6" t="s">
        <v>7</v>
      </c>
      <c r="T19" s="6">
        <v>214.81</v>
      </c>
      <c r="U19" s="6" t="s">
        <v>7</v>
      </c>
      <c r="V19" s="6" t="s">
        <v>7</v>
      </c>
      <c r="W19" s="6" t="s">
        <v>7</v>
      </c>
      <c r="Y19" s="6" t="s">
        <v>57</v>
      </c>
      <c r="Z19" s="6" t="s">
        <v>58</v>
      </c>
      <c r="AB19" s="6" t="s">
        <v>59</v>
      </c>
      <c r="AC19" s="6" t="s">
        <v>7</v>
      </c>
      <c r="AD19" s="6">
        <v>4643</v>
      </c>
      <c r="AG19" s="6" t="s">
        <v>7</v>
      </c>
    </row>
    <row r="20" spans="1:33">
      <c r="A20" s="6" t="s">
        <v>150</v>
      </c>
      <c r="B20" s="6">
        <v>2017</v>
      </c>
      <c r="C20" s="44">
        <v>81707789</v>
      </c>
      <c r="D20" s="6" t="s">
        <v>147</v>
      </c>
      <c r="E20" s="6" t="s">
        <v>184</v>
      </c>
      <c r="F20" s="106">
        <f>350.58*1.08</f>
        <v>378.62639999999999</v>
      </c>
      <c r="H20" s="6" t="s">
        <v>60</v>
      </c>
      <c r="I20" s="6">
        <v>13.6</v>
      </c>
      <c r="J20" s="46" t="s">
        <v>41</v>
      </c>
      <c r="K20" s="6" t="s">
        <v>38</v>
      </c>
      <c r="L20" s="6" t="s">
        <v>268</v>
      </c>
      <c r="M20" s="6" t="s">
        <v>268</v>
      </c>
      <c r="N20" s="6">
        <v>11.2</v>
      </c>
      <c r="O20" s="6" t="s">
        <v>7</v>
      </c>
      <c r="P20" s="6">
        <v>13.2</v>
      </c>
      <c r="Q20" s="6" t="s">
        <v>7</v>
      </c>
      <c r="R20" s="6">
        <v>49.55</v>
      </c>
      <c r="S20" s="6" t="s">
        <v>7</v>
      </c>
      <c r="T20" s="6">
        <v>144.87</v>
      </c>
      <c r="U20" s="6" t="s">
        <v>7</v>
      </c>
      <c r="V20" s="6">
        <v>99.2</v>
      </c>
      <c r="W20" s="6" t="s">
        <v>7</v>
      </c>
      <c r="X20" s="6" t="s">
        <v>7</v>
      </c>
      <c r="Y20" s="6" t="s">
        <v>61</v>
      </c>
      <c r="Z20" s="6" t="s">
        <v>62</v>
      </c>
      <c r="AB20" s="6" t="s">
        <v>63</v>
      </c>
      <c r="AC20" s="6" t="s">
        <v>7</v>
      </c>
      <c r="AD20" s="6" t="s">
        <v>7</v>
      </c>
      <c r="AG20" s="6" t="s">
        <v>7</v>
      </c>
    </row>
    <row r="21" spans="1:33">
      <c r="A21" s="6" t="s">
        <v>155</v>
      </c>
      <c r="B21" s="6">
        <v>2014</v>
      </c>
      <c r="C21" s="44">
        <v>63498233</v>
      </c>
      <c r="D21" s="6" t="s">
        <v>147</v>
      </c>
      <c r="E21" s="6" t="s">
        <v>185</v>
      </c>
      <c r="F21" s="106">
        <v>3598</v>
      </c>
      <c r="H21" s="6" t="s">
        <v>60</v>
      </c>
      <c r="I21" s="6">
        <v>6.2</v>
      </c>
      <c r="J21" s="46" t="s">
        <v>41</v>
      </c>
      <c r="K21" s="6" t="s">
        <v>7</v>
      </c>
      <c r="L21" s="6" t="s">
        <v>42</v>
      </c>
      <c r="M21" s="6" t="s">
        <v>7</v>
      </c>
      <c r="N21" s="6" t="s">
        <v>7</v>
      </c>
      <c r="O21" s="6" t="s">
        <v>7</v>
      </c>
      <c r="P21" s="6">
        <v>14.63</v>
      </c>
      <c r="Q21" s="6">
        <v>67.349999999999994</v>
      </c>
      <c r="R21" s="6">
        <v>12.83</v>
      </c>
      <c r="T21" s="6">
        <v>318.89999999999998</v>
      </c>
      <c r="U21" s="6">
        <v>3335</v>
      </c>
      <c r="V21" s="6">
        <v>1035</v>
      </c>
      <c r="X21" s="6" t="s">
        <v>7</v>
      </c>
      <c r="Y21" s="6" t="s">
        <v>7</v>
      </c>
      <c r="Z21" s="6" t="s">
        <v>7</v>
      </c>
      <c r="AB21" s="6" t="s">
        <v>7</v>
      </c>
      <c r="AC21" s="6" t="s">
        <v>7</v>
      </c>
      <c r="AD21" s="6" t="s">
        <v>7</v>
      </c>
      <c r="AG21" s="6" t="s">
        <v>7</v>
      </c>
    </row>
    <row r="22" spans="1:33">
      <c r="A22" s="6" t="s">
        <v>158</v>
      </c>
      <c r="B22" s="6">
        <v>2017</v>
      </c>
      <c r="C22" s="44">
        <v>4700107</v>
      </c>
      <c r="D22" s="6" t="s">
        <v>147</v>
      </c>
      <c r="E22" s="6" t="s">
        <v>186</v>
      </c>
      <c r="F22" s="106">
        <f>175.74*1.08122</f>
        <v>190.01360280000003</v>
      </c>
      <c r="H22" s="6" t="s">
        <v>60</v>
      </c>
      <c r="I22" s="6">
        <v>11.5</v>
      </c>
      <c r="J22" s="6" t="s">
        <v>7</v>
      </c>
      <c r="K22" s="6" t="s">
        <v>38</v>
      </c>
      <c r="L22" s="6" t="s">
        <v>42</v>
      </c>
      <c r="M22" s="6" t="s">
        <v>42</v>
      </c>
      <c r="N22" s="6">
        <v>6</v>
      </c>
      <c r="O22" s="6" t="s">
        <v>7</v>
      </c>
      <c r="P22" s="6" t="s">
        <v>7</v>
      </c>
      <c r="Q22" s="6" t="s">
        <v>7</v>
      </c>
      <c r="R22" s="6" t="s">
        <v>7</v>
      </c>
      <c r="T22" s="6" t="s">
        <v>7</v>
      </c>
      <c r="U22" s="6" t="s">
        <v>7</v>
      </c>
      <c r="V22" s="6">
        <v>623.9</v>
      </c>
      <c r="W22" s="6">
        <v>187.36</v>
      </c>
      <c r="X22" s="6" t="s">
        <v>7</v>
      </c>
      <c r="Y22" s="6" t="s">
        <v>64</v>
      </c>
      <c r="Z22" s="6" t="s">
        <v>64</v>
      </c>
      <c r="AB22" s="6" t="s">
        <v>7</v>
      </c>
      <c r="AC22" s="6">
        <v>2278</v>
      </c>
      <c r="AD22" s="6">
        <v>1958</v>
      </c>
      <c r="AE22" s="44">
        <f>AD22/AC22*100</f>
        <v>85.952589991220378</v>
      </c>
      <c r="AG22" s="6" t="s">
        <v>7</v>
      </c>
    </row>
    <row r="23" spans="1:33">
      <c r="A23" s="6" t="s">
        <v>164</v>
      </c>
      <c r="B23" s="6">
        <v>2017</v>
      </c>
      <c r="C23" s="44">
        <v>127974958</v>
      </c>
      <c r="D23" s="6" t="s">
        <v>147</v>
      </c>
      <c r="E23" s="6" t="s">
        <v>7</v>
      </c>
      <c r="F23" s="106"/>
      <c r="H23" s="6" t="s">
        <v>56</v>
      </c>
      <c r="I23" s="6">
        <v>18.5</v>
      </c>
      <c r="J23" s="46" t="s">
        <v>41</v>
      </c>
      <c r="K23" s="6" t="s">
        <v>38</v>
      </c>
      <c r="L23" s="6" t="s">
        <v>268</v>
      </c>
      <c r="M23" s="6" t="s">
        <v>42</v>
      </c>
      <c r="N23" s="6" t="s">
        <v>7</v>
      </c>
      <c r="O23" s="6" t="s">
        <v>7</v>
      </c>
      <c r="P23" s="6">
        <v>11.87</v>
      </c>
      <c r="Q23" s="6">
        <v>83.81</v>
      </c>
      <c r="R23" s="6">
        <v>3.04</v>
      </c>
      <c r="S23" s="6">
        <v>8.33</v>
      </c>
      <c r="T23" s="6">
        <v>146.19</v>
      </c>
      <c r="U23" s="45">
        <v>25700.2</v>
      </c>
      <c r="V23" s="45">
        <v>1377.5</v>
      </c>
      <c r="W23" s="6">
        <v>39.33</v>
      </c>
      <c r="X23" s="6" t="s">
        <v>7</v>
      </c>
      <c r="Y23" s="6" t="s">
        <v>65</v>
      </c>
      <c r="Z23" s="6" t="s">
        <v>66</v>
      </c>
      <c r="AB23" s="6" t="s">
        <v>7</v>
      </c>
      <c r="AC23" s="44">
        <v>32891</v>
      </c>
      <c r="AD23" s="44">
        <v>125287</v>
      </c>
      <c r="AE23" s="44">
        <f>AD23/AC23*100</f>
        <v>380.91575202943051</v>
      </c>
      <c r="AG23" s="6" t="s">
        <v>7</v>
      </c>
    </row>
    <row r="24" spans="1:33">
      <c r="A24" s="6" t="s">
        <v>170</v>
      </c>
      <c r="B24" s="6">
        <v>2017</v>
      </c>
      <c r="C24" s="44">
        <v>4614532</v>
      </c>
      <c r="D24" s="6" t="s">
        <v>147</v>
      </c>
      <c r="E24" s="6" t="s">
        <v>187</v>
      </c>
      <c r="F24" s="106">
        <f>0.3*0.66296</f>
        <v>0.19888799999999998</v>
      </c>
      <c r="H24" s="6" t="s">
        <v>56</v>
      </c>
      <c r="I24" s="6">
        <v>12.1</v>
      </c>
      <c r="J24" s="46" t="s">
        <v>498</v>
      </c>
      <c r="K24" s="6" t="s">
        <v>38</v>
      </c>
      <c r="M24" s="6" t="s">
        <v>42</v>
      </c>
      <c r="N24" s="6">
        <v>9</v>
      </c>
      <c r="O24" s="6" t="s">
        <v>7</v>
      </c>
      <c r="P24" s="6">
        <v>28.54</v>
      </c>
      <c r="Q24" s="6">
        <v>75.13</v>
      </c>
      <c r="R24" s="6" t="s">
        <v>7</v>
      </c>
      <c r="T24" s="6">
        <v>180.89</v>
      </c>
      <c r="U24" s="6" t="s">
        <v>7</v>
      </c>
      <c r="V24" s="45">
        <v>45140</v>
      </c>
      <c r="X24" s="6" t="s">
        <v>7</v>
      </c>
      <c r="Y24" s="6" t="s">
        <v>7</v>
      </c>
      <c r="Z24" s="6" t="s">
        <v>67</v>
      </c>
      <c r="AB24" s="6" t="s">
        <v>68</v>
      </c>
      <c r="AC24" s="6" t="s">
        <v>7</v>
      </c>
      <c r="AD24" s="6" t="s">
        <v>7</v>
      </c>
      <c r="AG24" s="6" t="s">
        <v>7</v>
      </c>
    </row>
    <row r="25" spans="1:33">
      <c r="A25" s="6" t="s">
        <v>168</v>
      </c>
      <c r="B25" s="6">
        <v>2014</v>
      </c>
      <c r="C25" s="44">
        <v>16802462</v>
      </c>
      <c r="D25" s="6" t="s">
        <v>147</v>
      </c>
      <c r="E25" s="6" t="s">
        <v>188</v>
      </c>
      <c r="F25" s="106">
        <v>6145</v>
      </c>
      <c r="H25" s="6" t="s">
        <v>60</v>
      </c>
      <c r="I25" s="6">
        <v>8.1999999999999993</v>
      </c>
      <c r="J25" s="46" t="s">
        <v>41</v>
      </c>
      <c r="K25" s="6" t="s">
        <v>7</v>
      </c>
      <c r="L25" s="6" t="s">
        <v>276</v>
      </c>
      <c r="M25" s="6" t="s">
        <v>7</v>
      </c>
      <c r="N25" s="6" t="s">
        <v>7</v>
      </c>
      <c r="O25" s="6" t="s">
        <v>7</v>
      </c>
      <c r="P25" s="6">
        <v>20.100000000000001</v>
      </c>
      <c r="Q25" s="6">
        <v>2.87</v>
      </c>
      <c r="R25" s="6">
        <v>90.76</v>
      </c>
      <c r="S25" s="6" t="s">
        <v>7</v>
      </c>
      <c r="T25" s="6">
        <v>45.7</v>
      </c>
      <c r="U25" s="6" t="s">
        <v>7</v>
      </c>
      <c r="V25" s="6" t="s">
        <v>7</v>
      </c>
      <c r="W25" s="6" t="s">
        <v>7</v>
      </c>
      <c r="Y25" s="6" t="s">
        <v>7</v>
      </c>
      <c r="Z25" s="6" t="s">
        <v>43</v>
      </c>
      <c r="AB25" s="6" t="s">
        <v>44</v>
      </c>
      <c r="AC25" s="6" t="s">
        <v>7</v>
      </c>
      <c r="AD25" s="6" t="s">
        <v>7</v>
      </c>
      <c r="AG25" s="6" t="s">
        <v>7</v>
      </c>
    </row>
    <row r="26" spans="1:33">
      <c r="A26" s="6" t="s">
        <v>174</v>
      </c>
      <c r="B26" s="6">
        <v>2017</v>
      </c>
      <c r="C26" s="44">
        <v>319929162</v>
      </c>
      <c r="D26" s="6" t="s">
        <v>147</v>
      </c>
      <c r="E26" s="6" t="s">
        <v>189</v>
      </c>
      <c r="F26" s="106">
        <v>343.83</v>
      </c>
      <c r="H26" s="6" t="s">
        <v>69</v>
      </c>
      <c r="I26" s="6">
        <v>15.3</v>
      </c>
      <c r="J26" s="46" t="s">
        <v>41</v>
      </c>
      <c r="K26" s="6" t="s">
        <v>35</v>
      </c>
      <c r="M26" s="6" t="s">
        <v>42</v>
      </c>
      <c r="N26" s="6" t="s">
        <v>70</v>
      </c>
      <c r="O26" s="6" t="s">
        <v>7</v>
      </c>
      <c r="P26" s="6">
        <v>10.54</v>
      </c>
      <c r="Q26" s="6">
        <v>4.28</v>
      </c>
      <c r="R26" s="6">
        <v>29.86</v>
      </c>
      <c r="S26" s="6">
        <v>60.34</v>
      </c>
      <c r="T26" s="6">
        <v>271.27999999999997</v>
      </c>
      <c r="U26" s="6" t="s">
        <v>7</v>
      </c>
      <c r="V26" s="6" t="s">
        <v>7</v>
      </c>
      <c r="W26" s="6" t="s">
        <v>7</v>
      </c>
      <c r="Y26" s="6" t="s">
        <v>47</v>
      </c>
      <c r="Z26" s="6" t="s">
        <v>48</v>
      </c>
      <c r="AB26" s="6" t="s">
        <v>7</v>
      </c>
      <c r="AC26" s="6" t="s">
        <v>7</v>
      </c>
      <c r="AD26" s="6" t="s">
        <v>7</v>
      </c>
      <c r="AF26" s="6">
        <v>6700000</v>
      </c>
      <c r="AG26" s="6">
        <v>2094.21</v>
      </c>
    </row>
    <row r="28" spans="1:33">
      <c r="A28" s="54" t="s">
        <v>257</v>
      </c>
    </row>
  </sheetData>
  <hyperlinks>
    <hyperlink ref="A28" location="'Table of Contents'!A1" display="return to table of contents" xr:uid="{00000000-0004-0000-0200-000000000000}"/>
  </hyperlinks>
  <pageMargins left="0.7" right="0.7" top="0.75" bottom="0.75" header="0.3" footer="0.3"/>
  <pageSetup paperSize="9" orientation="portrait" r:id="rId1"/>
  <ignoredErrors>
    <ignoredError sqref="Y1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89391-7855-432B-85C4-2E0A27B06038}">
  <dimension ref="A1:AX27"/>
  <sheetViews>
    <sheetView topLeftCell="B2" workbookViewId="0">
      <pane xSplit="1" ySplit="1" topLeftCell="C3" activePane="bottomRight" state="frozen"/>
      <selection activeCell="B2" sqref="B2"/>
      <selection pane="topRight" activeCell="C2" sqref="C2"/>
      <selection pane="bottomLeft" activeCell="B3" sqref="B3"/>
      <selection pane="bottomRight" activeCell="E5" sqref="E5"/>
    </sheetView>
  </sheetViews>
  <sheetFormatPr defaultColWidth="8.81640625" defaultRowHeight="14.5"/>
  <cols>
    <col min="1" max="1" width="0" style="92" hidden="1" customWidth="1"/>
    <col min="2" max="2" width="20.81640625" style="92" customWidth="1"/>
    <col min="3" max="3" width="8.81640625" style="92"/>
    <col min="4" max="4" width="8.81640625" style="101"/>
    <col min="5" max="5" width="11.453125" style="92" customWidth="1"/>
    <col min="6" max="6" width="11.6328125" style="92" bestFit="1" customWidth="1"/>
    <col min="7" max="9" width="8.90625" style="6" customWidth="1"/>
    <col min="10" max="22" width="8.81640625" style="92"/>
    <col min="23" max="23" width="10.81640625" style="131" bestFit="1" customWidth="1"/>
    <col min="24" max="24" width="8.81640625" style="92"/>
    <col min="25" max="25" width="10" style="92" customWidth="1"/>
    <col min="26" max="16384" width="8.81640625" style="92"/>
  </cols>
  <sheetData>
    <row r="1" spans="1:50" hidden="1">
      <c r="A1" s="92" t="s">
        <v>72</v>
      </c>
      <c r="C1" s="92" t="s">
        <v>71</v>
      </c>
    </row>
    <row r="2" spans="1:50" ht="174">
      <c r="A2" s="1" t="s">
        <v>0</v>
      </c>
      <c r="B2" s="1" t="s">
        <v>208</v>
      </c>
      <c r="C2" s="1" t="s">
        <v>219</v>
      </c>
      <c r="D2" s="1" t="s">
        <v>500</v>
      </c>
      <c r="E2" s="1" t="s">
        <v>501</v>
      </c>
      <c r="F2" s="1" t="s">
        <v>502</v>
      </c>
      <c r="G2" s="40" t="s">
        <v>508</v>
      </c>
      <c r="H2" s="40" t="s">
        <v>615</v>
      </c>
      <c r="I2" s="40" t="s">
        <v>509</v>
      </c>
      <c r="J2" s="1" t="s">
        <v>503</v>
      </c>
      <c r="K2" s="1" t="s">
        <v>463</v>
      </c>
      <c r="L2" s="40" t="s">
        <v>608</v>
      </c>
      <c r="M2" s="1" t="s">
        <v>551</v>
      </c>
      <c r="N2" s="1" t="s">
        <v>466</v>
      </c>
      <c r="O2" s="1" t="s">
        <v>609</v>
      </c>
      <c r="P2" s="1" t="s">
        <v>634</v>
      </c>
      <c r="Q2" s="1" t="s">
        <v>467</v>
      </c>
      <c r="R2" s="1" t="s">
        <v>610</v>
      </c>
      <c r="S2" s="1" t="s">
        <v>612</v>
      </c>
      <c r="T2" s="1" t="s">
        <v>468</v>
      </c>
      <c r="U2" s="1" t="s">
        <v>611</v>
      </c>
      <c r="V2" s="1" t="s">
        <v>601</v>
      </c>
      <c r="W2" s="1" t="s">
        <v>639</v>
      </c>
      <c r="X2" s="1" t="s">
        <v>636</v>
      </c>
      <c r="Y2" s="1" t="s">
        <v>638</v>
      </c>
      <c r="Z2" s="1"/>
      <c r="AA2" s="1"/>
      <c r="AB2" s="1"/>
      <c r="AC2" s="1"/>
      <c r="AD2" s="1"/>
      <c r="AE2" s="1"/>
      <c r="AF2" s="1"/>
      <c r="AG2" s="1"/>
      <c r="AH2" s="1"/>
      <c r="AI2" s="1"/>
      <c r="AJ2" s="1"/>
      <c r="AK2" s="1"/>
      <c r="AL2" s="1"/>
      <c r="AM2" s="1"/>
      <c r="AN2" s="1"/>
      <c r="AO2" s="1"/>
      <c r="AP2" s="1"/>
      <c r="AQ2" s="1"/>
      <c r="AR2" s="1"/>
    </row>
    <row r="3" spans="1:50">
      <c r="A3" s="92" t="s">
        <v>4</v>
      </c>
      <c r="B3" s="92" t="s">
        <v>3</v>
      </c>
      <c r="C3" s="85">
        <v>2020</v>
      </c>
      <c r="D3" s="85">
        <v>2019</v>
      </c>
      <c r="E3" s="88">
        <v>25203200</v>
      </c>
      <c r="F3" s="111">
        <v>250.56620370370371</v>
      </c>
      <c r="G3" s="84">
        <v>7.6</v>
      </c>
      <c r="H3" s="84">
        <v>7.6</v>
      </c>
      <c r="I3" s="146">
        <f>((H3-G3)/(G3)*100)</f>
        <v>0</v>
      </c>
      <c r="J3" s="85">
        <v>11.25</v>
      </c>
      <c r="K3" s="85">
        <v>12.8</v>
      </c>
      <c r="L3" s="146">
        <f>((K3-J3)/(J3)*100)</f>
        <v>13.777777777777784</v>
      </c>
      <c r="M3" s="85">
        <v>13.37</v>
      </c>
      <c r="N3" s="85">
        <v>17</v>
      </c>
      <c r="O3" s="146">
        <f>((N3-M3)/(M3)*100)</f>
        <v>27.150336574420354</v>
      </c>
      <c r="P3" s="85">
        <v>87.92</v>
      </c>
      <c r="Q3" s="85">
        <v>91</v>
      </c>
      <c r="R3" s="146">
        <f>((Q3-P3)/(P3)*100)</f>
        <v>3.5031847133757941</v>
      </c>
      <c r="S3" s="85">
        <v>104.4</v>
      </c>
      <c r="T3" s="85">
        <v>103</v>
      </c>
      <c r="U3" s="146">
        <f>((T3-S3)/(S3)*100)</f>
        <v>-1.3409961685823808</v>
      </c>
      <c r="W3" s="131" t="s">
        <v>279</v>
      </c>
      <c r="Y3" s="131" t="s">
        <v>552</v>
      </c>
      <c r="AO3" s="9"/>
      <c r="AS3" s="1"/>
    </row>
    <row r="4" spans="1:50" s="1" customFormat="1">
      <c r="A4" s="92"/>
      <c r="B4" s="6" t="s">
        <v>499</v>
      </c>
      <c r="C4" s="85" t="s">
        <v>143</v>
      </c>
      <c r="D4" s="85">
        <v>2019</v>
      </c>
      <c r="E4" s="88">
        <v>67530161</v>
      </c>
      <c r="F4" s="111">
        <v>3331.4814814814813</v>
      </c>
      <c r="G4" s="85">
        <v>10</v>
      </c>
      <c r="H4" s="84">
        <v>10.3</v>
      </c>
      <c r="I4" s="146">
        <f t="shared" ref="I4:I9" si="0">((H4-G4)/(G4)*100)</f>
        <v>3.0000000000000071</v>
      </c>
      <c r="J4" s="85">
        <v>6.88</v>
      </c>
      <c r="K4" s="85">
        <v>7.3</v>
      </c>
      <c r="L4" s="146">
        <f t="shared" ref="L4:L10" si="1">((K4-J4)/(J4)*100)</f>
        <v>6.104651162790697</v>
      </c>
      <c r="M4" s="85">
        <v>13.76</v>
      </c>
      <c r="N4" s="85">
        <v>19</v>
      </c>
      <c r="O4" s="146">
        <f t="shared" ref="O4:O10" si="2">((N4-M4)/(M4)*100)</f>
        <v>38.081395348837212</v>
      </c>
      <c r="P4" s="85">
        <v>55.62</v>
      </c>
      <c r="Q4" s="85">
        <v>53</v>
      </c>
      <c r="R4" s="146">
        <f t="shared" ref="R4:R10" si="3">((Q4-P4)/(P4)*100)</f>
        <v>-4.7105357784969391</v>
      </c>
      <c r="S4" s="85">
        <v>19.77</v>
      </c>
      <c r="T4" s="85">
        <v>36</v>
      </c>
      <c r="U4" s="146">
        <f t="shared" ref="U4:U10" si="4">((T4-S4)/(S4)*100)</f>
        <v>82.094081942336885</v>
      </c>
      <c r="V4" s="92" t="s">
        <v>504</v>
      </c>
      <c r="W4" s="131">
        <v>3267</v>
      </c>
      <c r="X4" s="92" t="s">
        <v>505</v>
      </c>
      <c r="Y4" s="7">
        <v>12447</v>
      </c>
      <c r="Z4" s="92"/>
      <c r="AA4" s="92"/>
      <c r="AB4" s="92"/>
      <c r="AC4" s="92"/>
      <c r="AD4" s="92"/>
      <c r="AE4" s="92"/>
      <c r="AF4" s="92"/>
      <c r="AG4" s="92"/>
      <c r="AH4" s="92"/>
      <c r="AI4" s="92"/>
      <c r="AJ4" s="92"/>
      <c r="AK4" s="2"/>
      <c r="AL4" s="2"/>
      <c r="AM4" s="92"/>
      <c r="AN4" s="2"/>
      <c r="AO4" s="9"/>
      <c r="AP4" s="92"/>
      <c r="AQ4" s="92"/>
      <c r="AR4" s="92"/>
      <c r="AS4" s="92"/>
      <c r="AT4" s="92"/>
      <c r="AU4" s="92"/>
      <c r="AV4" s="92"/>
      <c r="AW4" s="92"/>
      <c r="AX4" s="92"/>
    </row>
    <row r="5" spans="1:50">
      <c r="A5" s="92" t="s">
        <v>1</v>
      </c>
      <c r="B5" s="92" t="s">
        <v>150</v>
      </c>
      <c r="C5" s="85">
        <v>2020</v>
      </c>
      <c r="D5" s="85">
        <v>2019</v>
      </c>
      <c r="E5" s="88">
        <v>83517046</v>
      </c>
      <c r="F5" s="111">
        <v>531.29999999999995</v>
      </c>
      <c r="G5" s="84">
        <v>13.1</v>
      </c>
      <c r="H5" s="84">
        <v>11.3</v>
      </c>
      <c r="I5" s="146">
        <f t="shared" si="0"/>
        <v>-13.740458015267167</v>
      </c>
      <c r="J5" s="85">
        <v>8.27</v>
      </c>
      <c r="K5" s="85">
        <v>9.5</v>
      </c>
      <c r="L5" s="146">
        <f t="shared" si="1"/>
        <v>14.873035066505446</v>
      </c>
      <c r="M5" s="85">
        <v>14.22</v>
      </c>
      <c r="N5" s="85">
        <v>27</v>
      </c>
      <c r="O5" s="146">
        <f t="shared" si="2"/>
        <v>89.873417721518976</v>
      </c>
      <c r="P5" s="85">
        <v>1.2</v>
      </c>
      <c r="Q5" s="85" t="s">
        <v>7</v>
      </c>
      <c r="R5" s="146" t="s">
        <v>7</v>
      </c>
      <c r="S5" s="85">
        <v>55.08</v>
      </c>
      <c r="T5" s="85">
        <v>50</v>
      </c>
      <c r="U5" s="146">
        <f t="shared" si="4"/>
        <v>-9.2229484386347114</v>
      </c>
      <c r="W5" s="146">
        <f>416/21090000*83517046</f>
        <v>1647.3727423423425</v>
      </c>
      <c r="Y5" s="146">
        <f>489/21090000*83517046</f>
        <v>1936.4549783783782</v>
      </c>
      <c r="AO5" s="9"/>
    </row>
    <row r="6" spans="1:50">
      <c r="A6" s="92" t="s">
        <v>27</v>
      </c>
      <c r="B6" s="92" t="s">
        <v>158</v>
      </c>
      <c r="C6" s="85">
        <v>2020</v>
      </c>
      <c r="D6" s="85">
        <v>2019</v>
      </c>
      <c r="E6" s="88">
        <v>4882498</v>
      </c>
      <c r="F6" s="111">
        <v>210.33733518518517</v>
      </c>
      <c r="G6" s="84">
        <v>6</v>
      </c>
      <c r="H6" s="84">
        <v>6</v>
      </c>
      <c r="I6" s="146">
        <f t="shared" si="0"/>
        <v>0</v>
      </c>
      <c r="J6" s="85">
        <v>8.9</v>
      </c>
      <c r="K6" s="85">
        <v>9.3000000000000007</v>
      </c>
      <c r="L6" s="146">
        <f t="shared" si="1"/>
        <v>4.494382022471914</v>
      </c>
      <c r="M6" s="85">
        <v>8.01</v>
      </c>
      <c r="N6" s="85">
        <v>19</v>
      </c>
      <c r="O6" s="146">
        <f t="shared" si="2"/>
        <v>137.20349563046193</v>
      </c>
      <c r="P6" s="85">
        <v>99.1</v>
      </c>
      <c r="Q6" s="85" t="s">
        <v>7</v>
      </c>
      <c r="R6" s="146" t="s">
        <v>7</v>
      </c>
      <c r="S6" s="85">
        <v>7.95</v>
      </c>
      <c r="T6" s="85" t="s">
        <v>7</v>
      </c>
      <c r="U6" s="146" t="s">
        <v>7</v>
      </c>
      <c r="V6" s="92">
        <v>2000</v>
      </c>
      <c r="W6" s="131">
        <v>1880</v>
      </c>
      <c r="Y6" s="92" t="s">
        <v>646</v>
      </c>
      <c r="AK6" s="2"/>
      <c r="AL6" s="2"/>
      <c r="AM6" s="7"/>
      <c r="AN6" s="7"/>
      <c r="AO6" s="9"/>
    </row>
    <row r="7" spans="1:50">
      <c r="A7" s="92" t="s">
        <v>4</v>
      </c>
      <c r="B7" s="92" t="s">
        <v>164</v>
      </c>
      <c r="C7" s="85">
        <v>2020</v>
      </c>
      <c r="D7" s="85">
        <v>2019</v>
      </c>
      <c r="E7" s="88">
        <v>126860299</v>
      </c>
      <c r="F7" s="111">
        <v>108.34025435361701</v>
      </c>
      <c r="G7" s="84">
        <v>6.2</v>
      </c>
      <c r="H7" s="84">
        <v>6.2</v>
      </c>
      <c r="I7" s="146">
        <f t="shared" si="0"/>
        <v>0</v>
      </c>
      <c r="J7" s="85">
        <v>12.24</v>
      </c>
      <c r="K7" s="85">
        <v>14.9</v>
      </c>
      <c r="L7" s="146">
        <f t="shared" si="1"/>
        <v>21.732026143790851</v>
      </c>
      <c r="M7" s="85">
        <v>12.55</v>
      </c>
      <c r="N7" s="85">
        <v>13</v>
      </c>
      <c r="O7" s="146">
        <f t="shared" si="2"/>
        <v>3.5856573705179224</v>
      </c>
      <c r="P7" s="85" t="s">
        <v>7</v>
      </c>
      <c r="Q7" s="85">
        <v>84</v>
      </c>
      <c r="R7" s="146" t="s">
        <v>7</v>
      </c>
      <c r="S7" s="85">
        <v>27.81</v>
      </c>
      <c r="T7" s="85">
        <v>3</v>
      </c>
      <c r="U7" s="146">
        <f t="shared" si="4"/>
        <v>-89.212513484358141</v>
      </c>
      <c r="V7" s="92" t="s">
        <v>506</v>
      </c>
      <c r="W7" s="131" t="s">
        <v>602</v>
      </c>
      <c r="X7" s="92" t="s">
        <v>505</v>
      </c>
      <c r="Y7" s="143" t="s">
        <v>602</v>
      </c>
      <c r="AM7" s="7"/>
      <c r="AN7" s="7"/>
      <c r="AO7" s="9"/>
    </row>
    <row r="8" spans="1:50">
      <c r="A8" s="92" t="s">
        <v>1</v>
      </c>
      <c r="B8" s="92" t="s">
        <v>168</v>
      </c>
      <c r="C8" s="85">
        <v>2014</v>
      </c>
      <c r="D8" s="85">
        <v>2019</v>
      </c>
      <c r="E8" s="88">
        <v>16802462</v>
      </c>
      <c r="F8" s="111">
        <v>5689.8148148148148</v>
      </c>
      <c r="G8" s="85">
        <v>7</v>
      </c>
      <c r="H8" s="84">
        <v>8.3000000000000007</v>
      </c>
      <c r="I8" s="146">
        <f t="shared" si="0"/>
        <v>18.57142857142858</v>
      </c>
      <c r="J8" s="85">
        <v>8.1999999999999993</v>
      </c>
      <c r="K8" s="85">
        <v>10.6</v>
      </c>
      <c r="L8" s="146">
        <f t="shared" si="1"/>
        <v>29.268292682926838</v>
      </c>
      <c r="M8" s="85">
        <v>20.100000000000001</v>
      </c>
      <c r="N8" s="85">
        <v>24</v>
      </c>
      <c r="O8" s="146">
        <f t="shared" si="2"/>
        <v>19.402985074626859</v>
      </c>
      <c r="P8" s="85">
        <v>2.87</v>
      </c>
      <c r="Q8" s="85" t="s">
        <v>7</v>
      </c>
      <c r="R8" s="146" t="s">
        <v>7</v>
      </c>
      <c r="S8" s="85">
        <v>90.76</v>
      </c>
      <c r="T8" s="85" t="s">
        <v>7</v>
      </c>
      <c r="U8" s="146" t="s">
        <v>7</v>
      </c>
      <c r="W8" s="131">
        <v>5660</v>
      </c>
      <c r="Y8" s="92">
        <v>1023</v>
      </c>
      <c r="AO8" s="9"/>
    </row>
    <row r="9" spans="1:50">
      <c r="A9" s="92" t="s">
        <v>4</v>
      </c>
      <c r="B9" s="92" t="s">
        <v>170</v>
      </c>
      <c r="C9" s="85">
        <v>2020</v>
      </c>
      <c r="D9" s="85">
        <v>2019</v>
      </c>
      <c r="E9" s="88">
        <v>4783062</v>
      </c>
      <c r="F9" s="111">
        <v>196.37120740740738</v>
      </c>
      <c r="G9" s="84">
        <v>8.4</v>
      </c>
      <c r="H9" s="84">
        <v>7</v>
      </c>
      <c r="I9" s="146">
        <f t="shared" si="0"/>
        <v>-16.666666666666671</v>
      </c>
      <c r="J9" s="85">
        <v>10.3</v>
      </c>
      <c r="K9" s="85">
        <v>11.7</v>
      </c>
      <c r="L9" s="146">
        <f t="shared" si="1"/>
        <v>13.592233009708723</v>
      </c>
      <c r="M9" s="85">
        <v>8.66</v>
      </c>
      <c r="N9" s="85">
        <v>19</v>
      </c>
      <c r="O9" s="146">
        <f t="shared" si="2"/>
        <v>119.39953810623555</v>
      </c>
      <c r="P9" s="85">
        <v>71.59</v>
      </c>
      <c r="Q9" s="85">
        <v>75</v>
      </c>
      <c r="R9" s="146">
        <f t="shared" si="3"/>
        <v>4.7632350886995338</v>
      </c>
      <c r="S9" s="85">
        <v>9.6199999999999992</v>
      </c>
      <c r="T9" s="85">
        <v>86</v>
      </c>
      <c r="U9" s="146">
        <f t="shared" si="4"/>
        <v>793.97089397089394</v>
      </c>
      <c r="V9" s="92" t="s">
        <v>507</v>
      </c>
      <c r="W9" s="131">
        <v>960</v>
      </c>
      <c r="Y9" s="92" t="s">
        <v>647</v>
      </c>
      <c r="AN9" s="2"/>
      <c r="AO9" s="9"/>
    </row>
    <row r="10" spans="1:50">
      <c r="A10" s="92" t="s">
        <v>4</v>
      </c>
      <c r="B10" s="92" t="s">
        <v>2</v>
      </c>
      <c r="C10" s="85" t="s">
        <v>132</v>
      </c>
      <c r="D10" s="85">
        <v>2019</v>
      </c>
      <c r="E10" s="88">
        <v>329064917</v>
      </c>
      <c r="F10" s="111">
        <v>318.33333333333331</v>
      </c>
      <c r="G10" s="84" t="s">
        <v>175</v>
      </c>
      <c r="H10" s="84"/>
      <c r="I10" s="146" t="s">
        <v>7</v>
      </c>
      <c r="J10" s="85">
        <v>14.51</v>
      </c>
      <c r="K10" s="85">
        <v>14.5</v>
      </c>
      <c r="L10" s="146">
        <f t="shared" si="1"/>
        <v>-6.8917987594760768E-2</v>
      </c>
      <c r="M10" s="85">
        <v>10.54</v>
      </c>
      <c r="N10" s="85">
        <v>14</v>
      </c>
      <c r="O10" s="146">
        <f t="shared" si="2"/>
        <v>32.827324478178376</v>
      </c>
      <c r="P10" s="85">
        <v>4.28</v>
      </c>
      <c r="Q10" s="85">
        <v>4</v>
      </c>
      <c r="R10" s="146">
        <f t="shared" si="3"/>
        <v>-6.5420560747663599</v>
      </c>
      <c r="S10" s="85">
        <v>29.86</v>
      </c>
      <c r="T10" s="85">
        <v>30</v>
      </c>
      <c r="U10" s="146">
        <f t="shared" si="4"/>
        <v>0.4688546550569343</v>
      </c>
    </row>
    <row r="11" spans="1:50">
      <c r="E11" s="2"/>
      <c r="G11" s="6" t="s">
        <v>7</v>
      </c>
      <c r="S11" s="85"/>
      <c r="T11" s="85"/>
      <c r="W11" s="131" t="s">
        <v>645</v>
      </c>
      <c r="Y11" s="92" t="s">
        <v>648</v>
      </c>
    </row>
    <row r="12" spans="1:50" ht="29">
      <c r="B12" s="1" t="s">
        <v>49</v>
      </c>
      <c r="C12" s="135">
        <f>MEDIAN(C3:C10)</f>
        <v>2020</v>
      </c>
      <c r="E12" s="135">
        <f>MEDIAN(E3:E10)</f>
        <v>46366680.5</v>
      </c>
      <c r="F12" s="135">
        <f>MEDIAN(F3:F10)</f>
        <v>284.44976851851851</v>
      </c>
      <c r="G12" s="135">
        <f>MEDIAN(G3:G10)</f>
        <v>7.6</v>
      </c>
      <c r="H12" s="135">
        <f>MEDIAN(H3:H10)</f>
        <v>7.6</v>
      </c>
      <c r="I12" s="84"/>
      <c r="J12" s="135">
        <f>MEDIAN(J3:J10)</f>
        <v>9.6000000000000014</v>
      </c>
      <c r="K12" s="135">
        <f>MEDIAN(K3:K10)</f>
        <v>11.149999999999999</v>
      </c>
      <c r="M12" s="135">
        <f>MEDIAN(M3:M10)</f>
        <v>12.96</v>
      </c>
      <c r="N12" s="135">
        <f>MEDIAN(N3:N10)</f>
        <v>19</v>
      </c>
      <c r="P12" s="135">
        <f>MEDIAN(P3:P10)</f>
        <v>55.62</v>
      </c>
      <c r="Q12" s="135">
        <f>MEDIAN(Q3:Q10)</f>
        <v>75</v>
      </c>
      <c r="S12" s="135">
        <f>MEDIAN(S3:S10)</f>
        <v>28.835000000000001</v>
      </c>
      <c r="T12" s="135">
        <f>MEDIAN(T3:T10)</f>
        <v>43</v>
      </c>
    </row>
    <row r="13" spans="1:50" ht="29">
      <c r="B13" s="40" t="s">
        <v>253</v>
      </c>
      <c r="C13" s="97"/>
      <c r="D13" s="97"/>
      <c r="E13" s="97"/>
      <c r="F13" s="49">
        <f>MAX(F3:F10)/MIN(F3:F10)</f>
        <v>52.518012337718467</v>
      </c>
      <c r="G13" s="49">
        <f>MAX(G3:G9)/MIN(G3:G9)</f>
        <v>2.1833333333333331</v>
      </c>
      <c r="H13" s="49">
        <f>MAX(H3:H10)/MIN(H3:H10)</f>
        <v>1.8833333333333335</v>
      </c>
      <c r="I13" s="84"/>
      <c r="J13" s="49">
        <f>MAX(J3:J10)/MIN(J3:J10)</f>
        <v>2.1090116279069768</v>
      </c>
      <c r="K13" s="49">
        <f>MAX(K3:K10)/MIN(K3:K10)</f>
        <v>2.0410958904109591</v>
      </c>
      <c r="L13" s="97"/>
      <c r="M13" s="49">
        <f>MAX(M3:M10)/MIN(M3:M10)</f>
        <v>2.5093632958801502</v>
      </c>
      <c r="N13" s="49">
        <f>MAX(N3:N10)/MIN(N3:N10)</f>
        <v>2.0769230769230771</v>
      </c>
      <c r="O13" s="97"/>
      <c r="P13" s="49">
        <f>MAX(P3:P10)/MIN(P3:P10)</f>
        <v>82.583333333333329</v>
      </c>
      <c r="Q13" s="49">
        <f>MAX(Q3:Q10)/MIN(Q3:Q10)</f>
        <v>22.75</v>
      </c>
      <c r="R13" s="97"/>
      <c r="S13" s="49">
        <f>MAX(S3:S10)/MIN(S3:S10)</f>
        <v>13.132075471698114</v>
      </c>
      <c r="T13" s="49">
        <f>MAX(T3:T10)/MIN(T3:T10)</f>
        <v>34.333333333333336</v>
      </c>
      <c r="U13" s="97"/>
      <c r="V13" s="97"/>
      <c r="W13" s="97"/>
      <c r="X13" s="97"/>
      <c r="Y13" s="97"/>
      <c r="Z13" s="97"/>
      <c r="AA13" s="97"/>
      <c r="AB13" s="97"/>
      <c r="AC13" s="97"/>
      <c r="AD13" s="97"/>
      <c r="AE13" s="97"/>
      <c r="AF13" s="97"/>
      <c r="AG13" s="97"/>
      <c r="AH13" s="97"/>
      <c r="AI13" s="97"/>
      <c r="AJ13" s="97"/>
      <c r="AK13" s="97"/>
      <c r="AL13" s="97"/>
      <c r="AM13" s="97"/>
      <c r="AN13" s="97"/>
    </row>
    <row r="14" spans="1:50" ht="58">
      <c r="B14" s="1" t="s">
        <v>50</v>
      </c>
      <c r="C14" s="92" t="s">
        <v>7</v>
      </c>
      <c r="J14" s="92">
        <v>9</v>
      </c>
      <c r="M14" s="92">
        <v>1.7</v>
      </c>
      <c r="P14" s="92">
        <v>3.8</v>
      </c>
      <c r="S14" s="92">
        <v>1.4</v>
      </c>
      <c r="AB14" s="9"/>
      <c r="AC14" s="9"/>
      <c r="AQ14" s="98"/>
    </row>
    <row r="15" spans="1:50" ht="43.5">
      <c r="B15" s="1" t="s">
        <v>54</v>
      </c>
      <c r="C15" s="92" t="s">
        <v>7</v>
      </c>
      <c r="J15" s="92">
        <v>10.9</v>
      </c>
      <c r="M15" s="97">
        <v>8.6</v>
      </c>
      <c r="N15" s="98"/>
      <c r="O15" s="98"/>
      <c r="P15" s="97">
        <v>29</v>
      </c>
      <c r="Q15" s="98"/>
      <c r="R15" s="98"/>
      <c r="S15" s="97">
        <v>11</v>
      </c>
      <c r="T15" s="98"/>
      <c r="U15" s="98"/>
      <c r="V15" s="98"/>
      <c r="W15" s="98"/>
      <c r="AO15" s="98"/>
      <c r="AP15" s="98"/>
      <c r="AQ15" s="98"/>
      <c r="AR15" s="98"/>
    </row>
    <row r="16" spans="1:50">
      <c r="G16" s="92" t="s">
        <v>644</v>
      </c>
      <c r="M16" s="92" t="s">
        <v>144</v>
      </c>
      <c r="P16" s="92" t="s">
        <v>145</v>
      </c>
      <c r="S16" s="92" t="s">
        <v>145</v>
      </c>
    </row>
    <row r="17" spans="2:41" ht="26">
      <c r="B17" s="53" t="s">
        <v>256</v>
      </c>
      <c r="G17" s="92" t="s">
        <v>643</v>
      </c>
    </row>
    <row r="18" spans="2:41" ht="15">
      <c r="G18" s="189" t="s">
        <v>642</v>
      </c>
    </row>
    <row r="19" spans="2:41">
      <c r="B19" s="92" t="s">
        <v>464</v>
      </c>
      <c r="G19" s="6" t="s">
        <v>7</v>
      </c>
    </row>
    <row r="20" spans="2:41">
      <c r="B20" s="92" t="s">
        <v>465</v>
      </c>
      <c r="E20" s="2"/>
      <c r="G20" s="6" t="s">
        <v>7</v>
      </c>
      <c r="H20" s="6" t="s">
        <v>614</v>
      </c>
      <c r="K20" s="92" t="s">
        <v>613</v>
      </c>
      <c r="N20" s="92" t="s">
        <v>614</v>
      </c>
      <c r="Q20" s="92" t="s">
        <v>614</v>
      </c>
      <c r="T20" s="92" t="s">
        <v>614</v>
      </c>
      <c r="V20" s="92" t="s">
        <v>635</v>
      </c>
      <c r="W20" s="131" t="s">
        <v>637</v>
      </c>
      <c r="X20" s="149" t="s">
        <v>635</v>
      </c>
    </row>
    <row r="21" spans="2:41" ht="15">
      <c r="B21" s="189" t="s">
        <v>642</v>
      </c>
      <c r="E21" s="2"/>
      <c r="G21" s="6" t="s">
        <v>7</v>
      </c>
    </row>
    <row r="22" spans="2:41">
      <c r="E22" s="2"/>
      <c r="G22" s="6" t="s">
        <v>7</v>
      </c>
    </row>
    <row r="23" spans="2:41">
      <c r="E23" s="2"/>
      <c r="G23" s="6" t="s">
        <v>7</v>
      </c>
      <c r="AL23" s="2"/>
    </row>
    <row r="24" spans="2:41">
      <c r="E24" s="2"/>
      <c r="Y24" s="7"/>
      <c r="Z24" s="2"/>
      <c r="AK24" s="2"/>
      <c r="AL24" s="2"/>
    </row>
    <row r="25" spans="2:41">
      <c r="E25" s="2"/>
      <c r="AO25" s="8"/>
    </row>
    <row r="26" spans="2:41">
      <c r="E26" s="2"/>
    </row>
    <row r="27" spans="2:41">
      <c r="E27" s="2"/>
    </row>
  </sheetData>
  <hyperlinks>
    <hyperlink ref="B17" location="'Table of Contents'!A1" display="Return to Table of Contents" xr:uid="{9F6A335B-82C7-4100-A5B9-C501A2B210E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4"/>
  <sheetViews>
    <sheetView topLeftCell="I1" workbookViewId="0">
      <selection activeCell="AA2" sqref="AA2"/>
    </sheetView>
  </sheetViews>
  <sheetFormatPr defaultRowHeight="14.5"/>
  <cols>
    <col min="5" max="5" width="11.81640625" bestFit="1" customWidth="1"/>
    <col min="17" max="17" width="8.90625" style="59"/>
    <col min="18" max="18" width="9" style="59" bestFit="1" customWidth="1"/>
    <col min="19" max="27" width="8.81640625" bestFit="1" customWidth="1"/>
    <col min="28" max="28" width="8.81640625" style="133" customWidth="1"/>
    <col min="29" max="29" width="8.81640625" bestFit="1" customWidth="1"/>
    <col min="30" max="30" width="10.36328125" bestFit="1" customWidth="1"/>
    <col min="31" max="31" width="12.6328125" style="133" customWidth="1"/>
    <col min="32" max="34" width="8.81640625" bestFit="1" customWidth="1"/>
  </cols>
  <sheetData>
    <row r="1" spans="1:34" s="59" customFormat="1">
      <c r="D1" s="10" t="s">
        <v>316</v>
      </c>
      <c r="E1" s="10"/>
      <c r="F1" s="10"/>
      <c r="G1" s="10"/>
      <c r="H1" s="10"/>
      <c r="I1" s="10"/>
      <c r="J1" s="10"/>
      <c r="K1" s="10"/>
      <c r="L1" s="10"/>
      <c r="M1" s="10"/>
      <c r="N1" s="10"/>
      <c r="O1" s="10"/>
      <c r="P1" s="10"/>
      <c r="R1" s="10" t="s">
        <v>317</v>
      </c>
      <c r="S1" s="10"/>
      <c r="T1" s="10"/>
      <c r="U1" s="10"/>
      <c r="V1" s="10"/>
      <c r="W1" s="10"/>
      <c r="X1" s="10"/>
      <c r="Y1" s="10"/>
      <c r="Z1" s="10"/>
      <c r="AA1" s="10"/>
      <c r="AB1" s="10"/>
      <c r="AC1" s="10"/>
      <c r="AD1" s="10"/>
      <c r="AE1" s="10"/>
      <c r="AF1" s="10"/>
      <c r="AG1" s="10"/>
      <c r="AH1" s="10"/>
    </row>
    <row r="2" spans="1:34" s="40" customFormat="1" ht="96" customHeight="1">
      <c r="A2" s="40" t="s">
        <v>0</v>
      </c>
      <c r="B2" s="40" t="s">
        <v>305</v>
      </c>
      <c r="C2" s="40" t="s">
        <v>5</v>
      </c>
      <c r="D2" s="40" t="s">
        <v>222</v>
      </c>
      <c r="E2" s="40" t="s">
        <v>244</v>
      </c>
      <c r="F2" s="40" t="s">
        <v>243</v>
      </c>
      <c r="G2" s="40" t="s">
        <v>239</v>
      </c>
      <c r="H2" s="40" t="s">
        <v>240</v>
      </c>
      <c r="I2" s="40" t="s">
        <v>241</v>
      </c>
      <c r="J2" s="40" t="s">
        <v>226</v>
      </c>
      <c r="K2" s="40" t="s">
        <v>218</v>
      </c>
      <c r="L2" s="40" t="s">
        <v>309</v>
      </c>
      <c r="M2" s="40" t="s">
        <v>216</v>
      </c>
      <c r="N2" s="40" t="s">
        <v>217</v>
      </c>
      <c r="O2" s="40" t="s">
        <v>232</v>
      </c>
      <c r="P2" s="40" t="s">
        <v>460</v>
      </c>
      <c r="R2" s="40" t="s">
        <v>311</v>
      </c>
      <c r="S2" s="40" t="s">
        <v>324</v>
      </c>
      <c r="T2" s="40" t="s">
        <v>16</v>
      </c>
      <c r="U2" s="40" t="s">
        <v>266</v>
      </c>
      <c r="V2" s="40" t="s">
        <v>315</v>
      </c>
      <c r="W2" s="40" t="s">
        <v>224</v>
      </c>
      <c r="X2" s="40" t="s">
        <v>225</v>
      </c>
      <c r="Y2" s="40" t="s">
        <v>228</v>
      </c>
      <c r="Z2" s="40" t="s">
        <v>214</v>
      </c>
      <c r="AA2" s="40" t="s">
        <v>231</v>
      </c>
      <c r="AB2" s="40" t="s">
        <v>559</v>
      </c>
      <c r="AC2" s="40" t="s">
        <v>215</v>
      </c>
      <c r="AD2" s="40" t="s">
        <v>249</v>
      </c>
      <c r="AE2" s="40" t="s">
        <v>560</v>
      </c>
      <c r="AF2" s="40" t="s">
        <v>301</v>
      </c>
      <c r="AG2" s="40" t="s">
        <v>295</v>
      </c>
      <c r="AH2" s="40" t="s">
        <v>294</v>
      </c>
    </row>
    <row r="3" spans="1:34" s="6" customFormat="1">
      <c r="A3" s="6" t="s">
        <v>4</v>
      </c>
      <c r="B3" s="6" t="s">
        <v>3</v>
      </c>
      <c r="C3" s="84" t="s">
        <v>6</v>
      </c>
      <c r="D3" s="84">
        <v>246</v>
      </c>
      <c r="E3" s="84">
        <f>121507+7290</f>
        <v>128797</v>
      </c>
      <c r="F3" s="84">
        <f>53935+1359</f>
        <v>55294</v>
      </c>
      <c r="G3" s="84">
        <v>11919</v>
      </c>
      <c r="H3" s="84">
        <v>1479</v>
      </c>
      <c r="I3" s="84">
        <v>13321</v>
      </c>
      <c r="J3" s="84">
        <v>5.8</v>
      </c>
      <c r="K3" s="84">
        <v>2.1</v>
      </c>
      <c r="L3" s="84">
        <v>4.3</v>
      </c>
      <c r="M3" s="84">
        <v>7.4</v>
      </c>
      <c r="N3" s="84">
        <v>0.92</v>
      </c>
      <c r="O3" s="84">
        <v>10.1</v>
      </c>
      <c r="P3" s="84">
        <v>4.3</v>
      </c>
      <c r="R3" s="48">
        <f>SUM(G3:I3)</f>
        <v>26719</v>
      </c>
      <c r="S3" s="48">
        <f>R3/$D$3</f>
        <v>108.61382113821138</v>
      </c>
      <c r="T3" s="48">
        <f>G3/$D$3</f>
        <v>48.451219512195124</v>
      </c>
      <c r="U3" s="48">
        <f>H3/$D$3</f>
        <v>6.0121951219512191</v>
      </c>
      <c r="V3" s="48">
        <f>I3/$D$3</f>
        <v>54.150406504065039</v>
      </c>
      <c r="W3" s="48">
        <f>E3/D3</f>
        <v>523.56504065040656</v>
      </c>
      <c r="X3" s="48">
        <f>F3/D3</f>
        <v>224.77235772357724</v>
      </c>
      <c r="Y3" s="48">
        <f>AD3/E3</f>
        <v>12.505537207199511</v>
      </c>
      <c r="Z3" s="48">
        <f>F3/E3*100</f>
        <v>42.931124172146866</v>
      </c>
      <c r="AA3" s="48">
        <f>T3/S3*100</f>
        <v>44.608705415621849</v>
      </c>
      <c r="AB3" s="48" t="s">
        <v>573</v>
      </c>
      <c r="AC3" s="48">
        <f>SUM(M3:O3)</f>
        <v>18.420000000000002</v>
      </c>
      <c r="AD3" s="48">
        <f>G3/M3*1000</f>
        <v>1610675.6756756755</v>
      </c>
      <c r="AE3" s="48">
        <f>AD3*24</f>
        <v>38656216.216216214</v>
      </c>
      <c r="AF3" s="48">
        <f>S3/36.5</f>
        <v>2.9757211270742845</v>
      </c>
      <c r="AG3" s="48">
        <f>T3/36.5</f>
        <v>1.3274306715669897</v>
      </c>
      <c r="AH3" s="48">
        <f>U3/36.5</f>
        <v>0.16471767457400599</v>
      </c>
    </row>
    <row r="4" spans="1:34">
      <c r="A4" t="s">
        <v>306</v>
      </c>
      <c r="B4" s="35" t="s">
        <v>313</v>
      </c>
      <c r="D4" s="54" t="s">
        <v>510</v>
      </c>
      <c r="E4" t="s">
        <v>312</v>
      </c>
      <c r="F4" t="s">
        <v>312</v>
      </c>
      <c r="G4" t="s">
        <v>308</v>
      </c>
      <c r="H4" t="s">
        <v>310</v>
      </c>
      <c r="I4" t="s">
        <v>310</v>
      </c>
      <c r="J4" t="s">
        <v>308</v>
      </c>
      <c r="K4" s="59" t="s">
        <v>308</v>
      </c>
      <c r="L4" t="s">
        <v>308</v>
      </c>
      <c r="M4" t="s">
        <v>308</v>
      </c>
      <c r="N4" t="s">
        <v>310</v>
      </c>
      <c r="O4" t="s">
        <v>310</v>
      </c>
      <c r="P4" t="s">
        <v>461</v>
      </c>
      <c r="S4" s="6"/>
      <c r="T4" s="6"/>
      <c r="U4" s="6"/>
      <c r="AG4" s="6"/>
      <c r="AH4" s="6"/>
    </row>
    <row r="5" spans="1:34">
      <c r="E5" t="s">
        <v>314</v>
      </c>
      <c r="F5" s="59" t="s">
        <v>314</v>
      </c>
    </row>
    <row r="6" spans="1:34" ht="15.5">
      <c r="A6" s="62" t="s">
        <v>307</v>
      </c>
    </row>
    <row r="9" spans="1:34">
      <c r="A9" t="s">
        <v>556</v>
      </c>
      <c r="E9">
        <f>E3/$D$3</f>
        <v>523.56504065040656</v>
      </c>
      <c r="F9" s="133">
        <f>F3/$D$3</f>
        <v>224.77235772357724</v>
      </c>
      <c r="G9" s="133">
        <f>G3/$D$3</f>
        <v>48.451219512195124</v>
      </c>
      <c r="H9" s="133">
        <f>H3/$D$3</f>
        <v>6.0121951219512191</v>
      </c>
      <c r="I9" s="133">
        <f>I3/$D$3</f>
        <v>54.150406504065039</v>
      </c>
      <c r="R9" s="133">
        <f>R3/$D$3</f>
        <v>108.61382113821138</v>
      </c>
      <c r="AD9" s="133">
        <f>AD3/$D$3</f>
        <v>6547.4620962425834</v>
      </c>
      <c r="AE9" s="133">
        <f>AE3/$D$3</f>
        <v>157139.090309822</v>
      </c>
    </row>
    <row r="10" spans="1:34">
      <c r="A10" t="s">
        <v>409</v>
      </c>
      <c r="E10">
        <f>E3/$AD$3*1000</f>
        <v>79.964577565231991</v>
      </c>
      <c r="F10" s="133">
        <f>F3/$AD$3*1000</f>
        <v>34.329692088262441</v>
      </c>
      <c r="G10" s="133">
        <f>G3/$AD$3*1000</f>
        <v>7.4000000000000012</v>
      </c>
      <c r="H10" s="133">
        <f>H3/$AD$3*1000</f>
        <v>0.91824817518248192</v>
      </c>
      <c r="I10" s="133">
        <f>I3/$AD$3*1000</f>
        <v>8.2704421511871811</v>
      </c>
      <c r="R10" s="133">
        <f>R3/$AD$3*1000</f>
        <v>16.588690326369665</v>
      </c>
      <c r="AD10" s="133">
        <f>AD3/$AD$3*1000</f>
        <v>1000</v>
      </c>
      <c r="AE10" s="133">
        <f>AE3/$AD$3*1000</f>
        <v>24000</v>
      </c>
    </row>
    <row r="11" spans="1:34">
      <c r="A11" t="s">
        <v>557</v>
      </c>
      <c r="E11">
        <f>E9/36.5</f>
        <v>14.344247689052235</v>
      </c>
      <c r="F11" s="133">
        <f>F9/36.5</f>
        <v>6.1581467869473219</v>
      </c>
      <c r="G11" s="133">
        <f>G9/36.5</f>
        <v>1.3274306715669897</v>
      </c>
      <c r="H11" s="133">
        <f>H9/36.5</f>
        <v>0.16471767457400599</v>
      </c>
      <c r="I11" s="133">
        <f>I9/36.5</f>
        <v>1.4835727809332888</v>
      </c>
      <c r="R11" s="133">
        <f>R9/36.5</f>
        <v>2.9757211270742845</v>
      </c>
      <c r="AD11" s="133">
        <f>AD9/36.5</f>
        <v>179.38252318472831</v>
      </c>
      <c r="AE11" s="133">
        <f>AE9/36.5</f>
        <v>4305.1805564334791</v>
      </c>
    </row>
    <row r="12" spans="1:34">
      <c r="A12" t="s">
        <v>558</v>
      </c>
      <c r="F12" t="s">
        <v>561</v>
      </c>
    </row>
    <row r="14" spans="1:34" ht="38.5">
      <c r="A14" s="53" t="s">
        <v>256</v>
      </c>
    </row>
  </sheetData>
  <hyperlinks>
    <hyperlink ref="D4" r:id="rId1" xr:uid="{00000000-0004-0000-0300-000000000000}"/>
    <hyperlink ref="B4" r:id="rId2" display="http://www.aihw.gov.au/mhsa" xr:uid="{00000000-0004-0000-0300-000001000000}"/>
    <hyperlink ref="A14" location="'Table of Contents'!A1" display="Return to Table of Contents" xr:uid="{A81B55DB-8C69-458A-83FB-C1D7C78633D0}"/>
  </hyperlinks>
  <pageMargins left="0.7" right="0.7" top="0.75" bottom="0.75" header="0.3" footer="0.3"/>
  <pageSetup paperSize="9" orientation="portrait" r:id="rId3"/>
  <ignoredErrors>
    <ignoredError sqref="R3 AC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5"/>
  <sheetViews>
    <sheetView topLeftCell="M1" workbookViewId="0">
      <selection activeCell="Y5" sqref="Y5"/>
    </sheetView>
  </sheetViews>
  <sheetFormatPr defaultRowHeight="14.5"/>
  <cols>
    <col min="3" max="3" width="10.90625" bestFit="1" customWidth="1"/>
    <col min="12" max="12" width="8.90625" style="20"/>
    <col min="13" max="14" width="8.90625" style="70"/>
    <col min="15" max="15" width="8.90625" style="82"/>
  </cols>
  <sheetData>
    <row r="1" spans="1:27" s="55" customFormat="1">
      <c r="A1" s="55" t="s">
        <v>342</v>
      </c>
      <c r="B1" s="35" t="s">
        <v>283</v>
      </c>
      <c r="M1" s="70"/>
      <c r="N1" s="70"/>
      <c r="O1" s="82"/>
    </row>
    <row r="2" spans="1:27">
      <c r="A2" t="s">
        <v>339</v>
      </c>
      <c r="D2" s="29"/>
      <c r="E2" s="29"/>
      <c r="F2" s="29"/>
      <c r="G2" s="29"/>
      <c r="I2" s="29"/>
      <c r="J2" s="29"/>
      <c r="Q2" s="17"/>
      <c r="R2" s="16"/>
      <c r="S2" s="28"/>
      <c r="T2" s="28"/>
      <c r="U2" s="67"/>
      <c r="V2" s="28"/>
      <c r="W2" s="28"/>
      <c r="X2" s="29"/>
      <c r="Y2" s="30"/>
    </row>
    <row r="3" spans="1:27" ht="81.650000000000006" customHeight="1">
      <c r="A3" s="1" t="s">
        <v>30</v>
      </c>
      <c r="B3" s="1" t="s">
        <v>5</v>
      </c>
      <c r="C3" s="1" t="s">
        <v>74</v>
      </c>
      <c r="D3" s="66" t="s">
        <v>337</v>
      </c>
      <c r="E3" s="27" t="s">
        <v>335</v>
      </c>
      <c r="F3" s="22" t="s">
        <v>336</v>
      </c>
      <c r="G3" s="27" t="s">
        <v>338</v>
      </c>
      <c r="H3" s="27" t="s">
        <v>332</v>
      </c>
      <c r="I3" s="27" t="s">
        <v>333</v>
      </c>
      <c r="J3" s="27" t="s">
        <v>334</v>
      </c>
      <c r="K3" s="66" t="s">
        <v>442</v>
      </c>
      <c r="L3" s="1" t="s">
        <v>79</v>
      </c>
      <c r="M3" s="1" t="s">
        <v>344</v>
      </c>
      <c r="N3" s="1" t="s">
        <v>347</v>
      </c>
      <c r="O3" s="82" t="s">
        <v>346</v>
      </c>
      <c r="P3" s="1" t="s">
        <v>77</v>
      </c>
      <c r="Q3" s="1" t="s">
        <v>127</v>
      </c>
      <c r="R3" s="18" t="s">
        <v>78</v>
      </c>
      <c r="S3" s="27" t="s">
        <v>326</v>
      </c>
      <c r="T3" s="27" t="s">
        <v>327</v>
      </c>
      <c r="U3" s="27" t="s">
        <v>328</v>
      </c>
      <c r="V3" s="27" t="s">
        <v>329</v>
      </c>
      <c r="W3" s="27" t="s">
        <v>330</v>
      </c>
      <c r="X3" s="22" t="s">
        <v>331</v>
      </c>
      <c r="Y3" s="26" t="s">
        <v>592</v>
      </c>
      <c r="Z3" s="25" t="s">
        <v>128</v>
      </c>
      <c r="AA3" s="25" t="s">
        <v>511</v>
      </c>
    </row>
    <row r="4" spans="1:27">
      <c r="A4" t="s">
        <v>76</v>
      </c>
      <c r="B4" t="s">
        <v>73</v>
      </c>
      <c r="C4" s="85">
        <v>55619430</v>
      </c>
      <c r="E4" s="24">
        <v>8805</v>
      </c>
      <c r="F4" s="24">
        <v>564</v>
      </c>
      <c r="G4" s="24">
        <v>1080</v>
      </c>
      <c r="H4" s="24">
        <v>10881</v>
      </c>
      <c r="I4" s="24">
        <v>52498</v>
      </c>
      <c r="J4" s="24">
        <v>8718</v>
      </c>
      <c r="L4" s="85">
        <v>121259</v>
      </c>
      <c r="M4" s="85">
        <v>49633</v>
      </c>
      <c r="O4" s="82" t="s">
        <v>7</v>
      </c>
      <c r="P4" s="85">
        <v>9257050</v>
      </c>
      <c r="Q4" s="85">
        <v>103952</v>
      </c>
      <c r="R4" s="19">
        <v>10028</v>
      </c>
      <c r="S4" s="24">
        <v>3075</v>
      </c>
      <c r="T4" s="24">
        <v>6715</v>
      </c>
      <c r="U4" s="24">
        <v>2368</v>
      </c>
      <c r="V4" s="24">
        <v>289</v>
      </c>
      <c r="W4" s="24">
        <v>2981</v>
      </c>
      <c r="X4" s="24">
        <v>286</v>
      </c>
      <c r="Y4" s="142">
        <f>D8/R4</f>
        <v>8.2315516553649779</v>
      </c>
      <c r="Z4" s="38">
        <f>W8/Q4*100</f>
        <v>3.1427966753886407</v>
      </c>
      <c r="AA4" s="112">
        <f>R4/Q4*100</f>
        <v>9.6467600430968137</v>
      </c>
    </row>
    <row r="5" spans="1:27">
      <c r="A5" t="s">
        <v>287</v>
      </c>
      <c r="C5" t="s">
        <v>284</v>
      </c>
      <c r="E5" s="55" t="s">
        <v>289</v>
      </c>
      <c r="F5" s="55" t="s">
        <v>289</v>
      </c>
      <c r="G5" s="55" t="s">
        <v>289</v>
      </c>
      <c r="H5" s="55" t="s">
        <v>289</v>
      </c>
      <c r="I5" s="55" t="s">
        <v>289</v>
      </c>
      <c r="J5" s="55" t="s">
        <v>289</v>
      </c>
      <c r="L5" s="20" t="s">
        <v>286</v>
      </c>
      <c r="M5" s="70" t="s">
        <v>343</v>
      </c>
      <c r="O5" s="82" t="s">
        <v>288</v>
      </c>
      <c r="P5" t="s">
        <v>288</v>
      </c>
      <c r="Q5" t="s">
        <v>285</v>
      </c>
      <c r="R5" t="s">
        <v>290</v>
      </c>
      <c r="S5" t="s">
        <v>290</v>
      </c>
      <c r="T5" t="s">
        <v>290</v>
      </c>
      <c r="U5" s="55" t="s">
        <v>290</v>
      </c>
      <c r="V5" s="55" t="s">
        <v>290</v>
      </c>
      <c r="W5" s="55" t="s">
        <v>290</v>
      </c>
      <c r="X5" s="55" t="s">
        <v>290</v>
      </c>
    </row>
    <row r="6" spans="1:27" s="39" customFormat="1">
      <c r="F6" s="10"/>
      <c r="I6" s="23"/>
      <c r="J6" s="23"/>
      <c r="M6" s="70" t="s">
        <v>345</v>
      </c>
      <c r="N6" s="70"/>
      <c r="O6" s="82"/>
      <c r="T6" s="25"/>
      <c r="U6" s="25"/>
      <c r="X6" s="23"/>
      <c r="Y6" s="23"/>
    </row>
    <row r="7" spans="1:27" ht="30" customHeight="1">
      <c r="A7" t="s">
        <v>317</v>
      </c>
      <c r="C7" s="1" t="s">
        <v>75</v>
      </c>
      <c r="E7" s="68" t="s">
        <v>125</v>
      </c>
      <c r="F7" s="23"/>
      <c r="G7" s="23"/>
      <c r="H7" s="69" t="s">
        <v>126</v>
      </c>
      <c r="I7" s="23"/>
      <c r="J7" s="23"/>
      <c r="M7" s="70" t="s">
        <v>512</v>
      </c>
      <c r="N7" s="1" t="s">
        <v>347</v>
      </c>
      <c r="P7" t="s">
        <v>346</v>
      </c>
      <c r="S7" s="25" t="s">
        <v>340</v>
      </c>
      <c r="T7" s="25"/>
      <c r="U7" s="25"/>
      <c r="W7" s="25" t="s">
        <v>341</v>
      </c>
      <c r="X7" s="23"/>
      <c r="Y7" s="23"/>
    </row>
    <row r="8" spans="1:27">
      <c r="C8">
        <f>C4/100000</f>
        <v>556.1943</v>
      </c>
      <c r="D8" s="2">
        <f>SUM(E4:J4)</f>
        <v>82546</v>
      </c>
      <c r="E8" s="37">
        <f>E4+F4</f>
        <v>9369</v>
      </c>
      <c r="H8" s="37">
        <f>H4+I4</f>
        <v>63379</v>
      </c>
      <c r="K8">
        <f>E8/D8*100</f>
        <v>11.350035131926441</v>
      </c>
      <c r="M8" s="70">
        <f>M4/67530161*C4</f>
        <v>40878.906970027812</v>
      </c>
      <c r="N8" s="70">
        <f>M4/L4*100</f>
        <v>40.931394783067645</v>
      </c>
      <c r="O8" s="82">
        <f>P4/L4</f>
        <v>76.341137565046722</v>
      </c>
      <c r="P8">
        <f>P4/L4</f>
        <v>76.341137565046722</v>
      </c>
      <c r="S8" s="38">
        <f>SUM(S4:T4)</f>
        <v>9790</v>
      </c>
      <c r="W8" s="38">
        <f>SUM(W4:X4)</f>
        <v>3267</v>
      </c>
    </row>
    <row r="9" spans="1:27" s="15" customFormat="1">
      <c r="A9" s="15" t="s">
        <v>603</v>
      </c>
      <c r="C9"/>
      <c r="D9" s="60">
        <f>D8/$C$8</f>
        <v>148.41216459787523</v>
      </c>
      <c r="E9" s="20">
        <f>E8/$C$8</f>
        <v>16.844832821911336</v>
      </c>
      <c r="F9" s="20"/>
      <c r="G9" s="20">
        <f>G4/$C$8</f>
        <v>1.9417674722664364</v>
      </c>
      <c r="H9" s="20">
        <f>H8/$C$8</f>
        <v>113.95118576368007</v>
      </c>
      <c r="I9" s="20" t="s">
        <v>7</v>
      </c>
      <c r="J9" s="20">
        <f>J4/$C$8</f>
        <v>15.6743785400174</v>
      </c>
      <c r="L9" s="20">
        <f>L4/$C$8</f>
        <v>218.01553881440353</v>
      </c>
      <c r="M9" s="70">
        <f>M8/$C$8</f>
        <v>73.497529496486777</v>
      </c>
      <c r="N9" s="70"/>
      <c r="O9" s="82"/>
      <c r="Q9" s="101">
        <f>Q4/$C$8</f>
        <v>186.8987150713339</v>
      </c>
      <c r="R9" s="20">
        <f>R4/$C$8</f>
        <v>18.0296705665628</v>
      </c>
      <c r="S9" s="20">
        <f t="shared" ref="S9:W9" si="0">S4/$C$8</f>
        <v>5.5286434974252705</v>
      </c>
      <c r="T9" s="20"/>
      <c r="U9" s="20">
        <f t="shared" si="0"/>
        <v>4.2575049762286312</v>
      </c>
      <c r="V9" s="20">
        <f t="shared" si="0"/>
        <v>0.51960259211574089</v>
      </c>
      <c r="W9" s="20">
        <f t="shared" si="0"/>
        <v>5.359637810024303</v>
      </c>
      <c r="X9" s="20"/>
    </row>
    <row r="10" spans="1:27" s="15" customFormat="1">
      <c r="A10" s="20" t="s">
        <v>399</v>
      </c>
      <c r="D10" s="60">
        <f>D8/$P$4*1000</f>
        <v>8.917095619014697</v>
      </c>
      <c r="E10" s="20">
        <f>E8/$P$4*1000</f>
        <v>1.0120934855056416</v>
      </c>
      <c r="F10" s="20"/>
      <c r="G10" s="20">
        <f>G4/$P$4*1000</f>
        <v>0.11666783694589529</v>
      </c>
      <c r="H10" s="20">
        <f>H8/$P$4*1000</f>
        <v>6.8465655905499059</v>
      </c>
      <c r="I10" s="20" t="s">
        <v>7</v>
      </c>
      <c r="J10" s="20">
        <f>J4/$P$4*1000</f>
        <v>0.9417687060132548</v>
      </c>
      <c r="L10" s="20"/>
      <c r="M10" s="70">
        <f>M8/$P$4*1000</f>
        <v>4.4159756045422478</v>
      </c>
      <c r="N10" s="70"/>
      <c r="O10" s="82"/>
      <c r="Q10" s="101">
        <f t="shared" ref="Q10" si="1">Q4/$P$4*1000</f>
        <v>11.229495357592322</v>
      </c>
      <c r="R10" s="20">
        <f t="shared" ref="R10:W10" si="2">R4/$P$4*1000</f>
        <v>1.0832824711976277</v>
      </c>
      <c r="S10" s="20">
        <f t="shared" si="2"/>
        <v>0.33217925797095188</v>
      </c>
      <c r="T10" s="20" t="s">
        <v>7</v>
      </c>
      <c r="U10" s="20">
        <f t="shared" si="2"/>
        <v>0.25580503508137042</v>
      </c>
      <c r="V10" s="20">
        <f t="shared" si="2"/>
        <v>3.1219448960521978E-2</v>
      </c>
      <c r="W10" s="20">
        <f t="shared" si="2"/>
        <v>0.32202483512566099</v>
      </c>
      <c r="X10" s="20" t="s">
        <v>7</v>
      </c>
    </row>
    <row r="11" spans="1:27" s="15" customFormat="1">
      <c r="A11" s="141" t="s">
        <v>557</v>
      </c>
      <c r="D11" s="15">
        <f>D9/36.5</f>
        <v>4.06608670131165</v>
      </c>
      <c r="F11" s="20"/>
      <c r="M11" s="70"/>
      <c r="N11" s="70"/>
      <c r="O11" s="82"/>
    </row>
    <row r="12" spans="1:27" s="147" customFormat="1">
      <c r="A12" s="147" t="s">
        <v>558</v>
      </c>
      <c r="F12" s="147" t="s">
        <v>561</v>
      </c>
    </row>
    <row r="13" spans="1:27">
      <c r="A13" s="11"/>
      <c r="B13" s="11"/>
      <c r="C13" s="12"/>
      <c r="E13" s="86"/>
      <c r="F13" s="87"/>
      <c r="G13" s="87"/>
      <c r="H13" s="87"/>
      <c r="I13" s="88"/>
      <c r="R13" s="13"/>
    </row>
    <row r="14" spans="1:27">
      <c r="Q14" s="14"/>
      <c r="R14" s="13"/>
    </row>
    <row r="15" spans="1:27">
      <c r="A15" s="35" t="s">
        <v>257</v>
      </c>
      <c r="Q15" s="21"/>
      <c r="R15" s="2"/>
    </row>
  </sheetData>
  <hyperlinks>
    <hyperlink ref="A15" location="'Table of Contents'!A1" display="return to table of contents" xr:uid="{00000000-0004-0000-0400-000000000000}"/>
  </hyperlinks>
  <pageMargins left="0.7" right="0.7" top="0.75" bottom="0.75" header="0.3" footer="0.3"/>
  <pageSetup paperSize="9" orientation="portrait" r:id="rId1"/>
  <ignoredErrors>
    <ignoredError sqref="S8 W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13"/>
  <sheetViews>
    <sheetView topLeftCell="AE1" workbookViewId="0">
      <selection activeCell="AV10" sqref="AV10"/>
    </sheetView>
  </sheetViews>
  <sheetFormatPr defaultRowHeight="14.5"/>
  <cols>
    <col min="2" max="2" width="19.54296875" customWidth="1"/>
    <col min="5" max="5" width="11.36328125" style="59" bestFit="1" customWidth="1"/>
    <col min="6" max="6" width="8.90625" style="59"/>
    <col min="14" max="14" width="8.90625" style="82"/>
    <col min="16" max="18" width="8.90625" style="59"/>
    <col min="20" max="20" width="8.90625" style="59"/>
    <col min="21" max="21" width="11.36328125" bestFit="1" customWidth="1"/>
    <col min="22" max="22" width="8.90625" style="59"/>
    <col min="23" max="25" width="8.81640625" style="133"/>
  </cols>
  <sheetData>
    <row r="1" spans="1:48" s="59" customFormat="1">
      <c r="D1" s="59" t="s">
        <v>323</v>
      </c>
      <c r="N1" s="82"/>
      <c r="U1" s="59" t="s">
        <v>317</v>
      </c>
      <c r="W1" s="133"/>
      <c r="X1" s="133"/>
      <c r="Y1" s="133"/>
    </row>
    <row r="2" spans="1:48" s="40" customFormat="1" ht="96" customHeight="1">
      <c r="A2" s="40" t="s">
        <v>0</v>
      </c>
      <c r="B2" s="40" t="s">
        <v>265</v>
      </c>
      <c r="C2" s="40" t="s">
        <v>5</v>
      </c>
      <c r="D2" s="40" t="s">
        <v>222</v>
      </c>
      <c r="E2" s="40" t="s">
        <v>244</v>
      </c>
      <c r="F2" s="40" t="s">
        <v>243</v>
      </c>
      <c r="G2" s="40" t="s">
        <v>239</v>
      </c>
      <c r="H2" s="40" t="s">
        <v>240</v>
      </c>
      <c r="I2" s="40" t="s">
        <v>241</v>
      </c>
      <c r="J2" s="40" t="s">
        <v>242</v>
      </c>
      <c r="K2" s="40" t="s">
        <v>226</v>
      </c>
      <c r="L2" s="40" t="s">
        <v>227</v>
      </c>
      <c r="M2" s="40" t="s">
        <v>212</v>
      </c>
      <c r="N2" s="40" t="s">
        <v>444</v>
      </c>
      <c r="O2" s="65" t="s">
        <v>322</v>
      </c>
      <c r="P2" s="65" t="s">
        <v>319</v>
      </c>
      <c r="Q2" s="65" t="s">
        <v>320</v>
      </c>
      <c r="R2" s="65" t="s">
        <v>321</v>
      </c>
      <c r="S2" s="40" t="s">
        <v>249</v>
      </c>
      <c r="U2" s="40" t="s">
        <v>238</v>
      </c>
      <c r="V2" s="40" t="s">
        <v>293</v>
      </c>
      <c r="W2" s="40" t="s">
        <v>565</v>
      </c>
      <c r="X2" s="40" t="s">
        <v>560</v>
      </c>
      <c r="Y2" s="40" t="s">
        <v>566</v>
      </c>
      <c r="Z2" s="40" t="s">
        <v>324</v>
      </c>
      <c r="AA2" s="40" t="s">
        <v>16</v>
      </c>
      <c r="AB2" s="40" t="s">
        <v>266</v>
      </c>
      <c r="AC2" s="40" t="s">
        <v>223</v>
      </c>
      <c r="AD2" s="40" t="s">
        <v>129</v>
      </c>
      <c r="AE2" s="40" t="s">
        <v>224</v>
      </c>
      <c r="AF2" s="40" t="s">
        <v>225</v>
      </c>
      <c r="AG2" s="40" t="s">
        <v>231</v>
      </c>
      <c r="AH2" s="40" t="s">
        <v>294</v>
      </c>
      <c r="AI2" s="40" t="s">
        <v>295</v>
      </c>
      <c r="AJ2" s="40" t="s">
        <v>301</v>
      </c>
      <c r="AK2" s="40" t="s">
        <v>215</v>
      </c>
      <c r="AL2" s="40" t="s">
        <v>216</v>
      </c>
      <c r="AM2" s="40" t="s">
        <v>217</v>
      </c>
      <c r="AN2" s="40" t="s">
        <v>232</v>
      </c>
      <c r="AO2" s="40" t="s">
        <v>233</v>
      </c>
      <c r="AP2" s="40" t="s">
        <v>142</v>
      </c>
      <c r="AQ2" s="40" t="s">
        <v>234</v>
      </c>
      <c r="AR2" s="40" t="s">
        <v>235</v>
      </c>
      <c r="AS2" s="40" t="s">
        <v>218</v>
      </c>
      <c r="AT2" s="40" t="s">
        <v>250</v>
      </c>
      <c r="AU2" s="40" t="s">
        <v>251</v>
      </c>
      <c r="AV2" s="40" t="s">
        <v>593</v>
      </c>
    </row>
    <row r="3" spans="1:48" s="6" customFormat="1">
      <c r="A3" s="6" t="s">
        <v>1</v>
      </c>
      <c r="B3" s="6" t="s">
        <v>443</v>
      </c>
      <c r="C3" s="6">
        <v>2013</v>
      </c>
      <c r="D3" s="84">
        <v>21.09</v>
      </c>
      <c r="E3" s="84">
        <v>16083</v>
      </c>
      <c r="F3" s="84" t="s">
        <v>279</v>
      </c>
      <c r="G3" s="89">
        <v>1694</v>
      </c>
      <c r="H3" s="89">
        <v>1702</v>
      </c>
      <c r="I3" s="89">
        <v>5</v>
      </c>
      <c r="J3" s="89">
        <v>48</v>
      </c>
      <c r="K3" s="84">
        <f>416/60</f>
        <v>6.9333333333333336</v>
      </c>
      <c r="L3" s="84">
        <f>489/60</f>
        <v>8.15</v>
      </c>
      <c r="M3" s="84">
        <f>15/60</f>
        <v>0.25</v>
      </c>
      <c r="N3" s="84">
        <v>24.7</v>
      </c>
      <c r="O3" s="84">
        <v>429</v>
      </c>
      <c r="P3" s="84">
        <v>489</v>
      </c>
      <c r="Q3" s="84">
        <v>5</v>
      </c>
      <c r="R3" s="84">
        <v>28</v>
      </c>
      <c r="S3" s="84">
        <v>398108</v>
      </c>
      <c r="U3" s="84">
        <f>SUM(G3:J3)</f>
        <v>3449</v>
      </c>
      <c r="V3" s="84">
        <v>796</v>
      </c>
      <c r="W3" s="95">
        <f>K3*G3+L3*H3+M3*I3</f>
        <v>25617.616666666669</v>
      </c>
      <c r="X3" s="95">
        <f>24*S3</f>
        <v>9554592</v>
      </c>
      <c r="Y3" s="95">
        <f>W3/X3*1000</f>
        <v>2.6811837351785055</v>
      </c>
      <c r="Z3" s="6">
        <f>U3/D3</f>
        <v>163.53722143195827</v>
      </c>
      <c r="AA3" s="6">
        <f>G3/D3</f>
        <v>80.322427690848741</v>
      </c>
      <c r="AB3" s="6">
        <f>H3/D3</f>
        <v>80.701754385964918</v>
      </c>
      <c r="AC3" s="6">
        <f>I3/D3</f>
        <v>0.23707918444760551</v>
      </c>
      <c r="AD3" s="6">
        <f>J3/D3</f>
        <v>2.275960170697013</v>
      </c>
      <c r="AE3" s="6">
        <f>E3/D3</f>
        <v>762.58890469416781</v>
      </c>
      <c r="AF3" s="6" t="s">
        <v>279</v>
      </c>
      <c r="AG3" s="84">
        <f>AA3/Z3*100</f>
        <v>49.115685706001742</v>
      </c>
      <c r="AH3" s="6">
        <f>10*AB3/365</f>
        <v>2.2110069694784911</v>
      </c>
      <c r="AI3" s="6">
        <f>10*AA3/365</f>
        <v>2.2006144572835269</v>
      </c>
      <c r="AJ3" s="6">
        <f>10*Z3/365</f>
        <v>4.4804718200536513</v>
      </c>
      <c r="AK3" s="6">
        <f>SUM(AL3:AO3)</f>
        <v>8.6634782521325864</v>
      </c>
      <c r="AL3" s="6">
        <f>G3/S3*1000</f>
        <v>4.255126749525254</v>
      </c>
      <c r="AM3" s="6">
        <f>H3/S3*1000</f>
        <v>4.2752217991097901</v>
      </c>
      <c r="AN3" s="6">
        <f>I3/S3*1000</f>
        <v>1.2559405990334283E-2</v>
      </c>
      <c r="AO3" s="6">
        <f>J3/S3*1000</f>
        <v>0.1205702975072091</v>
      </c>
      <c r="AP3" s="6">
        <f>V3/D3</f>
        <v>37.743006164058798</v>
      </c>
      <c r="AQ3" s="6">
        <f>O3/D3</f>
        <v>20.341394025604551</v>
      </c>
      <c r="AR3" s="6">
        <f>U3/V3</f>
        <v>4.3329145728643219</v>
      </c>
      <c r="AS3" s="6">
        <f>G3/O3</f>
        <v>3.9487179487179489</v>
      </c>
      <c r="AT3" s="6">
        <f>H3/P3</f>
        <v>3.4805725971370145</v>
      </c>
      <c r="AU3" s="6">
        <f>J3/Q3</f>
        <v>9.6</v>
      </c>
    </row>
    <row r="4" spans="1:48" s="59" customFormat="1">
      <c r="D4" s="6" t="s">
        <v>513</v>
      </c>
      <c r="E4" s="115" t="s">
        <v>445</v>
      </c>
      <c r="G4" s="115" t="s">
        <v>529</v>
      </c>
      <c r="H4" s="115" t="s">
        <v>529</v>
      </c>
      <c r="I4" s="115" t="s">
        <v>529</v>
      </c>
      <c r="J4" s="115" t="s">
        <v>529</v>
      </c>
      <c r="K4" s="115" t="s">
        <v>445</v>
      </c>
      <c r="L4" s="115" t="s">
        <v>529</v>
      </c>
      <c r="M4" s="115" t="s">
        <v>529</v>
      </c>
      <c r="N4" s="82" t="s">
        <v>445</v>
      </c>
      <c r="O4" s="115" t="s">
        <v>529</v>
      </c>
      <c r="P4" s="115" t="s">
        <v>529</v>
      </c>
      <c r="Q4" s="115" t="s">
        <v>529</v>
      </c>
      <c r="R4" s="115" t="s">
        <v>529</v>
      </c>
      <c r="S4" s="115" t="s">
        <v>445</v>
      </c>
      <c r="U4" s="59" t="s">
        <v>553</v>
      </c>
      <c r="V4" s="132" t="s">
        <v>445</v>
      </c>
      <c r="W4" s="133"/>
      <c r="X4" s="133"/>
      <c r="Y4" s="133"/>
      <c r="AG4" s="59" t="s">
        <v>555</v>
      </c>
      <c r="AV4" s="59" t="s">
        <v>594</v>
      </c>
    </row>
    <row r="5" spans="1:48" s="59" customFormat="1" ht="15.5">
      <c r="A5" s="61" t="s">
        <v>528</v>
      </c>
      <c r="N5" s="82"/>
      <c r="V5" s="59" t="s">
        <v>571</v>
      </c>
      <c r="W5" s="133"/>
      <c r="X5" s="133"/>
      <c r="Y5" s="133"/>
    </row>
    <row r="6" spans="1:48" s="1" customFormat="1">
      <c r="A6" s="63"/>
      <c r="B6" s="63"/>
      <c r="C6" s="63"/>
      <c r="D6" s="63"/>
      <c r="O6" s="40"/>
      <c r="P6" s="40"/>
      <c r="Q6" s="40"/>
      <c r="R6" s="40"/>
      <c r="V6" s="6">
        <f>SUM(O3:R3)</f>
        <v>951</v>
      </c>
      <c r="W6" s="6"/>
      <c r="X6" s="6"/>
      <c r="Y6" s="6"/>
      <c r="Z6" s="63"/>
      <c r="AA6" s="63"/>
      <c r="AB6" s="63"/>
      <c r="AD6" s="63"/>
      <c r="AH6" s="63"/>
      <c r="AI6" s="63"/>
    </row>
    <row r="7" spans="1:48" s="1" customFormat="1">
      <c r="A7" s="63"/>
      <c r="B7" s="63"/>
      <c r="C7" s="63"/>
      <c r="D7" s="63"/>
      <c r="O7" s="40"/>
      <c r="P7" s="40"/>
      <c r="Q7" s="40"/>
      <c r="R7" s="40"/>
      <c r="V7" s="59" t="s">
        <v>554</v>
      </c>
      <c r="W7" s="6"/>
      <c r="X7" s="6"/>
      <c r="Y7" s="6"/>
      <c r="Z7" s="63"/>
      <c r="AA7" s="63"/>
      <c r="AB7" s="63"/>
      <c r="AD7" s="63"/>
      <c r="AH7" s="63"/>
      <c r="AI7" s="63"/>
    </row>
    <row r="8" spans="1:48" s="1" customFormat="1">
      <c r="B8" s="63" t="s">
        <v>562</v>
      </c>
      <c r="C8" s="63"/>
      <c r="D8" s="63"/>
      <c r="E8" s="1">
        <f>E3/$D$3</f>
        <v>762.58890469416781</v>
      </c>
      <c r="F8" s="1" t="s">
        <v>7</v>
      </c>
      <c r="G8" s="1">
        <f>G3/$D$3</f>
        <v>80.322427690848741</v>
      </c>
      <c r="H8" s="1">
        <f>H3/$D$3</f>
        <v>80.701754385964918</v>
      </c>
      <c r="I8" s="1">
        <f>I3/$D$3</f>
        <v>0.23707918444760551</v>
      </c>
      <c r="J8" s="1">
        <f>J3/$D$3</f>
        <v>2.275960170697013</v>
      </c>
      <c r="O8" s="40"/>
      <c r="P8" s="40"/>
      <c r="Q8" s="40"/>
      <c r="R8" s="40"/>
      <c r="S8" s="1">
        <f>S3/$D$3</f>
        <v>18876.623992413468</v>
      </c>
      <c r="U8" s="1">
        <f>U3/$D$3</f>
        <v>163.53722143195827</v>
      </c>
      <c r="V8" s="1">
        <f>V3/$D$3</f>
        <v>37.743006164058798</v>
      </c>
      <c r="W8" s="1">
        <f>W3/$D$3</f>
        <v>1214.680733364944</v>
      </c>
      <c r="X8" s="1">
        <f>X3/$D$3</f>
        <v>453038.9758179232</v>
      </c>
      <c r="Y8" s="1" t="s">
        <v>7</v>
      </c>
      <c r="Z8" s="63"/>
      <c r="AA8" s="63"/>
      <c r="AB8" s="63"/>
      <c r="AD8" s="63"/>
      <c r="AH8" s="63"/>
      <c r="AI8" s="63"/>
    </row>
    <row r="9" spans="1:48" s="1" customFormat="1">
      <c r="B9" s="63" t="s">
        <v>563</v>
      </c>
      <c r="C9" s="63"/>
      <c r="D9" s="63"/>
      <c r="E9" s="1">
        <f>E3/$S$3*1000</f>
        <v>40.398585308509247</v>
      </c>
      <c r="G9" s="1">
        <f>G3/$S$3*1000</f>
        <v>4.255126749525254</v>
      </c>
      <c r="H9" s="1">
        <f>H3/$S$3*1000</f>
        <v>4.2752217991097901</v>
      </c>
      <c r="I9" s="1">
        <f>I3/$S$3*1000</f>
        <v>1.2559405990334283E-2</v>
      </c>
      <c r="J9" s="1">
        <f>J3/$S$3*1000</f>
        <v>0.1205702975072091</v>
      </c>
      <c r="O9" s="40"/>
      <c r="P9" s="40"/>
      <c r="Q9" s="40"/>
      <c r="R9" s="40"/>
      <c r="S9" s="1">
        <f>S3/$S$3</f>
        <v>1</v>
      </c>
      <c r="U9" s="1">
        <f>U3/$S$3*1000</f>
        <v>8.6634782521325882</v>
      </c>
      <c r="V9" s="1">
        <f>V3/$S$3*1000</f>
        <v>1.9994574336612176</v>
      </c>
      <c r="W9" s="6"/>
      <c r="X9" s="6"/>
      <c r="Y9" s="6"/>
      <c r="Z9" s="63"/>
      <c r="AA9" s="63"/>
      <c r="AB9" s="63"/>
      <c r="AD9" s="63"/>
      <c r="AH9" s="63"/>
      <c r="AI9" s="63"/>
    </row>
    <row r="10" spans="1:48" s="1" customFormat="1" ht="29">
      <c r="A10" s="63"/>
      <c r="B10" s="63" t="s">
        <v>564</v>
      </c>
      <c r="C10" s="63"/>
      <c r="D10" s="63"/>
      <c r="E10" s="1">
        <f>E8/36.5</f>
        <v>20.892846703949804</v>
      </c>
      <c r="G10" s="1">
        <f>G8/36.5</f>
        <v>2.2006144572835273</v>
      </c>
      <c r="H10" s="1">
        <f>H8/36.5</f>
        <v>2.2110069694784911</v>
      </c>
      <c r="I10" s="1">
        <f>I8/36.5</f>
        <v>6.495320121852206E-3</v>
      </c>
      <c r="J10" s="1">
        <f>J8/36.5</f>
        <v>6.2355073169781179E-2</v>
      </c>
      <c r="O10" s="40"/>
      <c r="P10" s="40"/>
      <c r="Q10" s="40"/>
      <c r="R10" s="40"/>
      <c r="S10" s="1">
        <f>S8/36.5</f>
        <v>517.16778061406762</v>
      </c>
      <c r="U10" s="1">
        <f>U8/36.5</f>
        <v>4.4804718200536513</v>
      </c>
      <c r="V10" s="1">
        <f>V8/36.5</f>
        <v>1.0340549633988712</v>
      </c>
      <c r="W10" s="6"/>
      <c r="X10" s="6"/>
      <c r="Y10" s="6"/>
      <c r="Z10" s="63"/>
      <c r="AA10" s="63"/>
      <c r="AB10" s="63"/>
      <c r="AD10" s="63"/>
      <c r="AH10" s="63"/>
      <c r="AI10" s="63"/>
    </row>
    <row r="11" spans="1:48" ht="43.5">
      <c r="B11" s="63" t="s">
        <v>558</v>
      </c>
      <c r="U11">
        <f>Y3</f>
        <v>2.6811837351785055</v>
      </c>
    </row>
    <row r="13" spans="1:48">
      <c r="A13" s="35" t="s">
        <v>257</v>
      </c>
    </row>
  </sheetData>
  <hyperlinks>
    <hyperlink ref="A13" location="'Table of Contents'!A1" display="return to table of contents" xr:uid="{00000000-0004-0000-0500-000000000000}"/>
  </hyperlinks>
  <pageMargins left="0.7" right="0.7" top="0.75" bottom="0.75" header="0.3" footer="0.3"/>
  <pageSetup paperSize="9" orientation="portrait" r:id="rId1"/>
  <ignoredErrors>
    <ignoredError sqref="V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8"/>
  <sheetViews>
    <sheetView tabSelected="1" topLeftCell="Q1" workbookViewId="0">
      <selection activeCell="AB4" sqref="AB4"/>
    </sheetView>
  </sheetViews>
  <sheetFormatPr defaultRowHeight="14.5"/>
  <cols>
    <col min="1" max="2" width="8.90625" style="70"/>
    <col min="8" max="8" width="8.90625" style="73"/>
    <col min="9" max="10" width="8.90625" style="70"/>
    <col min="11" max="11" width="8.90625" style="82"/>
    <col min="12" max="12" width="8.90625" style="70"/>
    <col min="19" max="20" width="8.90625" style="20"/>
    <col min="22" max="22" width="8.90625" style="70"/>
    <col min="23" max="26" width="8.90625" style="20"/>
    <col min="27" max="27" width="8.90625" style="64"/>
  </cols>
  <sheetData>
    <row r="1" spans="1:32">
      <c r="A1" s="70" t="s">
        <v>323</v>
      </c>
      <c r="F1" t="s">
        <v>650</v>
      </c>
    </row>
    <row r="2" spans="1:32" s="1" customFormat="1" ht="145">
      <c r="A2" s="1" t="s">
        <v>30</v>
      </c>
      <c r="B2" s="1" t="s">
        <v>5</v>
      </c>
      <c r="C2" s="1" t="s">
        <v>23</v>
      </c>
      <c r="D2" s="1" t="s">
        <v>18</v>
      </c>
      <c r="E2" s="1" t="s">
        <v>19</v>
      </c>
      <c r="F2" s="1" t="s">
        <v>17</v>
      </c>
      <c r="G2" s="1" t="s">
        <v>21</v>
      </c>
      <c r="H2" s="1" t="s">
        <v>374</v>
      </c>
      <c r="I2" s="1" t="s">
        <v>349</v>
      </c>
      <c r="J2" s="1" t="s">
        <v>348</v>
      </c>
      <c r="K2" s="1" t="s">
        <v>347</v>
      </c>
      <c r="L2" s="1" t="s">
        <v>24</v>
      </c>
      <c r="M2" s="1" t="s">
        <v>370</v>
      </c>
      <c r="N2" s="1" t="s">
        <v>80</v>
      </c>
      <c r="O2" s="1" t="s">
        <v>359</v>
      </c>
      <c r="P2" s="1" t="s">
        <v>84</v>
      </c>
      <c r="Q2" s="1" t="s">
        <v>600</v>
      </c>
      <c r="R2" s="1" t="s">
        <v>20</v>
      </c>
      <c r="S2" s="1" t="s">
        <v>85</v>
      </c>
      <c r="T2" s="1" t="s">
        <v>86</v>
      </c>
      <c r="U2" s="1" t="s">
        <v>22</v>
      </c>
      <c r="V2" s="1" t="s">
        <v>357</v>
      </c>
      <c r="W2" s="1" t="s">
        <v>83</v>
      </c>
      <c r="X2" s="1" t="s">
        <v>515</v>
      </c>
      <c r="Y2" s="1" t="s">
        <v>361</v>
      </c>
      <c r="Z2" s="1" t="s">
        <v>533</v>
      </c>
      <c r="AA2" s="80" t="s">
        <v>439</v>
      </c>
      <c r="AB2" s="1" t="s">
        <v>81</v>
      </c>
      <c r="AC2" s="1" t="s">
        <v>532</v>
      </c>
      <c r="AD2" s="1" t="s">
        <v>567</v>
      </c>
      <c r="AE2" s="1" t="s">
        <v>568</v>
      </c>
      <c r="AF2" s="1" t="s">
        <v>595</v>
      </c>
    </row>
    <row r="3" spans="1:32">
      <c r="A3" s="70" t="s">
        <v>158</v>
      </c>
      <c r="B3" s="85">
        <v>2020</v>
      </c>
      <c r="C3" s="90">
        <v>48.82</v>
      </c>
      <c r="D3" s="85">
        <v>5830</v>
      </c>
      <c r="E3" s="85">
        <v>1840</v>
      </c>
      <c r="F3" s="85">
        <v>150</v>
      </c>
      <c r="G3" s="85">
        <v>3990</v>
      </c>
      <c r="H3" s="95" t="s">
        <v>7</v>
      </c>
      <c r="I3" s="119">
        <v>17797</v>
      </c>
      <c r="J3" s="119">
        <v>2066</v>
      </c>
      <c r="K3" s="84"/>
      <c r="L3" s="85">
        <f>14+12/60</f>
        <v>14.2</v>
      </c>
      <c r="M3" s="85">
        <v>3452</v>
      </c>
      <c r="N3" s="85"/>
      <c r="O3" s="85">
        <v>402.3</v>
      </c>
      <c r="P3" s="85"/>
      <c r="Q3" s="85">
        <v>1880</v>
      </c>
      <c r="R3" s="85">
        <v>699</v>
      </c>
      <c r="S3" s="85">
        <v>2.8</v>
      </c>
      <c r="T3" s="85"/>
      <c r="U3" s="85">
        <v>1211</v>
      </c>
      <c r="V3" s="85">
        <v>3.3</v>
      </c>
      <c r="W3" s="85">
        <f>37010+47/60</f>
        <v>37010.783333333333</v>
      </c>
      <c r="X3" s="114">
        <f>O3+M3+W3</f>
        <v>40865.083333333336</v>
      </c>
      <c r="Y3" s="85"/>
      <c r="Z3" s="85"/>
      <c r="AA3" s="89">
        <v>26.3</v>
      </c>
      <c r="AB3" s="85">
        <v>2618</v>
      </c>
      <c r="AC3" s="91">
        <v>461285</v>
      </c>
      <c r="AD3">
        <f>24*AC3</f>
        <v>11070840</v>
      </c>
      <c r="AE3">
        <f>X3/AD3*1000</f>
        <v>3.6912360158157225</v>
      </c>
    </row>
    <row r="4" spans="1:32" s="70" customFormat="1">
      <c r="B4" s="72" t="s">
        <v>7</v>
      </c>
      <c r="C4" s="50" t="s">
        <v>369</v>
      </c>
      <c r="D4" s="70" t="s">
        <v>350</v>
      </c>
      <c r="E4" s="70" t="s">
        <v>530</v>
      </c>
      <c r="F4" s="70" t="s">
        <v>354</v>
      </c>
      <c r="G4" s="70" t="s">
        <v>355</v>
      </c>
      <c r="H4" s="73"/>
      <c r="I4" s="50" t="s">
        <v>514</v>
      </c>
      <c r="J4" s="50" t="s">
        <v>514</v>
      </c>
      <c r="K4" s="50"/>
      <c r="L4" s="70" t="s">
        <v>350</v>
      </c>
      <c r="M4" s="70" t="s">
        <v>351</v>
      </c>
      <c r="O4" s="70" t="s">
        <v>360</v>
      </c>
      <c r="Q4" s="70" t="s">
        <v>350</v>
      </c>
      <c r="R4" s="70" t="s">
        <v>352</v>
      </c>
      <c r="S4" s="70" t="s">
        <v>353</v>
      </c>
      <c r="U4" s="70" t="s">
        <v>356</v>
      </c>
      <c r="V4" s="70" t="s">
        <v>358</v>
      </c>
      <c r="W4" s="70" t="s">
        <v>368</v>
      </c>
      <c r="AA4" s="6" t="s">
        <v>531</v>
      </c>
      <c r="AB4" s="70" t="s">
        <v>534</v>
      </c>
      <c r="AC4" s="70" t="s">
        <v>516</v>
      </c>
    </row>
    <row r="5" spans="1:32" s="76" customFormat="1" ht="21" customHeight="1">
      <c r="B5" s="78">
        <v>2014</v>
      </c>
      <c r="C5" s="50"/>
      <c r="D5" s="76" t="s">
        <v>7</v>
      </c>
      <c r="I5" s="118" t="s">
        <v>7</v>
      </c>
      <c r="J5" s="118" t="s">
        <v>7</v>
      </c>
      <c r="K5" s="50"/>
      <c r="AA5" s="119"/>
    </row>
    <row r="6" spans="1:32" s="76" customFormat="1">
      <c r="B6" s="72"/>
      <c r="C6" s="50"/>
      <c r="D6" s="76" t="s">
        <v>572</v>
      </c>
      <c r="I6" s="118" t="s">
        <v>7</v>
      </c>
      <c r="J6" s="118" t="s">
        <v>7</v>
      </c>
      <c r="K6" s="50"/>
      <c r="AA6" s="6"/>
    </row>
    <row r="7" spans="1:32" s="70" customFormat="1">
      <c r="A7" s="70" t="s">
        <v>317</v>
      </c>
      <c r="B7" s="72"/>
      <c r="C7" s="50" t="s">
        <v>398</v>
      </c>
      <c r="D7" s="70">
        <f>SUM(E3:G3)</f>
        <v>5980</v>
      </c>
      <c r="H7" s="73">
        <f>E3/D3*100</f>
        <v>31.560891938250428</v>
      </c>
      <c r="I7" s="6"/>
      <c r="J7" s="6"/>
      <c r="K7" s="50">
        <f>J3/I3*100</f>
        <v>11.608698095184582</v>
      </c>
      <c r="L7" s="64">
        <f>W3/E3</f>
        <v>20.114556159420289</v>
      </c>
      <c r="N7">
        <f>M3/F3</f>
        <v>23.013333333333332</v>
      </c>
      <c r="P7">
        <f>O3/G3</f>
        <v>0.10082706766917293</v>
      </c>
      <c r="S7" s="20">
        <f>E3/R3</f>
        <v>2.6323319027181689</v>
      </c>
      <c r="T7" s="64">
        <f>D3/Q3</f>
        <v>3.1010638297872339</v>
      </c>
      <c r="Y7" s="20">
        <f>W3/R3</f>
        <v>52.948187887458275</v>
      </c>
      <c r="Z7" s="20">
        <f>X3/D3</f>
        <v>7.0094482561463698</v>
      </c>
      <c r="AA7" s="6" t="s">
        <v>7</v>
      </c>
      <c r="AC7" t="s">
        <v>7</v>
      </c>
    </row>
    <row r="8" spans="1:32">
      <c r="A8" s="71" t="s">
        <v>7</v>
      </c>
      <c r="C8" t="s">
        <v>604</v>
      </c>
      <c r="D8">
        <f>D3/$C$3</f>
        <v>119.41827120032774</v>
      </c>
      <c r="E8">
        <f t="shared" ref="E8:R8" si="0">E3/$C$3</f>
        <v>37.689471528062271</v>
      </c>
      <c r="F8">
        <f t="shared" si="0"/>
        <v>3.0725112658746414</v>
      </c>
      <c r="G8">
        <f t="shared" si="0"/>
        <v>81.728799672265467</v>
      </c>
      <c r="I8" s="105">
        <f>I3/$C$3</f>
        <v>364.54321999180661</v>
      </c>
      <c r="J8" s="71">
        <f>J3/$C$3</f>
        <v>42.318721835313397</v>
      </c>
      <c r="Q8">
        <f t="shared" si="0"/>
        <v>38.508807865628839</v>
      </c>
      <c r="R8">
        <f t="shared" si="0"/>
        <v>14.31790249897583</v>
      </c>
      <c r="U8">
        <f>U3/$C$3</f>
        <v>24.805407619827939</v>
      </c>
      <c r="AA8" s="6"/>
      <c r="AB8" s="77">
        <f t="shared" ref="AB8" si="1">AB3/$C$3</f>
        <v>53.625563293732078</v>
      </c>
      <c r="AD8" s="133">
        <f>AD3/$C$3</f>
        <v>226768.53748463743</v>
      </c>
    </row>
    <row r="9" spans="1:32">
      <c r="C9" t="s">
        <v>82</v>
      </c>
      <c r="D9" s="20">
        <f>D3/$AC$3*1000</f>
        <v>12.638607368546561</v>
      </c>
      <c r="E9" s="20">
        <f>E3/$AC$3*1000</f>
        <v>3.9888572140867362</v>
      </c>
      <c r="F9" s="115">
        <f>F3/$AC$3*1000</f>
        <v>0.32517857723533172</v>
      </c>
      <c r="G9" s="115">
        <f>G3/$AC$3*1000</f>
        <v>8.6497501544598254</v>
      </c>
      <c r="I9" s="115">
        <f>I3/$AC$3*1000</f>
        <v>38.581354260381325</v>
      </c>
      <c r="J9" s="115">
        <f>J3/$AC$3*1000</f>
        <v>4.4787929371213018</v>
      </c>
      <c r="Q9" s="115">
        <f>Q3/$AC$3*1000</f>
        <v>4.0755715013494918</v>
      </c>
      <c r="R9" s="115">
        <f>R3/$AC$3*1000</f>
        <v>1.515332169916646</v>
      </c>
      <c r="U9" s="115">
        <f>U3/$AC$3*1000</f>
        <v>2.6252750468799118</v>
      </c>
      <c r="AA9" s="6"/>
    </row>
    <row r="10" spans="1:32">
      <c r="C10" s="50" t="s">
        <v>371</v>
      </c>
      <c r="D10" s="71">
        <f>D8/36.5</f>
        <v>3.2717334575432258</v>
      </c>
      <c r="E10">
        <f t="shared" ref="E10:R10" si="2">E8/36.5</f>
        <v>1.0325882610428019</v>
      </c>
      <c r="F10" s="71">
        <f t="shared" si="2"/>
        <v>8.417839084588058E-2</v>
      </c>
      <c r="G10" s="71">
        <f t="shared" si="2"/>
        <v>2.2391451965004237</v>
      </c>
      <c r="I10" s="71">
        <f>I8/36.5</f>
        <v>9.987485479227578</v>
      </c>
      <c r="J10" s="71">
        <f>J8/36.5</f>
        <v>1.1594170365839287</v>
      </c>
      <c r="Q10" s="71">
        <f t="shared" si="2"/>
        <v>1.0550358319350366</v>
      </c>
      <c r="R10" s="71">
        <f t="shared" si="2"/>
        <v>0.39227130134180355</v>
      </c>
      <c r="U10" s="115">
        <f t="shared" ref="U10" si="3">U8/36.5</f>
        <v>0.67960020876240934</v>
      </c>
      <c r="Y10" s="20" t="s">
        <v>364</v>
      </c>
      <c r="AA10" s="6"/>
    </row>
    <row r="11" spans="1:32" s="147" customFormat="1">
      <c r="C11" s="50" t="s">
        <v>558</v>
      </c>
      <c r="X11" s="147">
        <f>AE3</f>
        <v>3.6912360158157225</v>
      </c>
      <c r="AA11" s="6"/>
    </row>
    <row r="12" spans="1:32" s="147" customFormat="1">
      <c r="C12" s="50"/>
      <c r="AA12" s="6"/>
    </row>
    <row r="13" spans="1:32">
      <c r="A13" s="35" t="s">
        <v>257</v>
      </c>
      <c r="I13" s="35"/>
      <c r="J13" s="35"/>
      <c r="K13" s="35"/>
      <c r="Y13" s="20" t="s">
        <v>362</v>
      </c>
      <c r="Z13" s="20" t="s">
        <v>363</v>
      </c>
      <c r="AA13" s="6"/>
    </row>
    <row r="14" spans="1:32">
      <c r="Y14" s="20">
        <v>1</v>
      </c>
      <c r="Z14" s="20">
        <v>152</v>
      </c>
      <c r="AA14" s="6" t="s">
        <v>373</v>
      </c>
    </row>
    <row r="15" spans="1:32">
      <c r="A15" s="10" t="s">
        <v>649</v>
      </c>
      <c r="Y15" s="20">
        <v>2</v>
      </c>
      <c r="Z15" s="20">
        <v>175</v>
      </c>
      <c r="AA15" s="6" t="s">
        <v>372</v>
      </c>
    </row>
    <row r="16" spans="1:32">
      <c r="A16" s="10" t="s">
        <v>651</v>
      </c>
      <c r="Y16" s="20">
        <v>3</v>
      </c>
      <c r="Z16" s="20">
        <v>136</v>
      </c>
      <c r="AA16" s="6"/>
      <c r="AB16" s="6"/>
    </row>
    <row r="17" spans="25:27">
      <c r="Y17" s="20">
        <v>4</v>
      </c>
      <c r="Z17" s="20">
        <v>258</v>
      </c>
      <c r="AA17" s="6"/>
    </row>
    <row r="18" spans="25:27">
      <c r="Y18" s="20">
        <v>5</v>
      </c>
      <c r="Z18" s="20">
        <v>202</v>
      </c>
      <c r="AA18" s="6"/>
    </row>
    <row r="19" spans="25:27">
      <c r="Y19" s="20">
        <v>6</v>
      </c>
      <c r="Z19" s="20">
        <v>114</v>
      </c>
      <c r="AA19" s="6"/>
    </row>
    <row r="20" spans="25:27">
      <c r="Y20" s="20">
        <v>7</v>
      </c>
      <c r="Z20" s="20">
        <v>128</v>
      </c>
      <c r="AA20" s="6"/>
    </row>
    <row r="21" spans="25:27">
      <c r="Y21" s="20">
        <v>8</v>
      </c>
      <c r="Z21" s="20">
        <v>226</v>
      </c>
      <c r="AA21" s="6"/>
    </row>
    <row r="22" spans="25:27">
      <c r="Y22" s="20">
        <v>9</v>
      </c>
      <c r="Z22" s="20">
        <v>226</v>
      </c>
      <c r="AA22" s="6"/>
    </row>
    <row r="23" spans="25:27">
      <c r="Y23" s="20" t="s">
        <v>365</v>
      </c>
      <c r="Z23" s="20">
        <v>706</v>
      </c>
      <c r="AA23" s="6"/>
    </row>
    <row r="24" spans="25:27">
      <c r="Y24" s="20" t="s">
        <v>366</v>
      </c>
      <c r="Z24" s="20">
        <v>98</v>
      </c>
      <c r="AA24" s="6"/>
    </row>
    <row r="25" spans="25:27">
      <c r="Y25" s="20" t="s">
        <v>367</v>
      </c>
      <c r="Z25" s="20">
        <v>197</v>
      </c>
      <c r="AA25" s="6"/>
    </row>
    <row r="26" spans="25:27">
      <c r="Y26" s="20" t="s">
        <v>25</v>
      </c>
      <c r="Z26" s="20">
        <f>SUM(Z14:Z25)</f>
        <v>2618</v>
      </c>
      <c r="AA26" s="6"/>
    </row>
    <row r="27" spans="25:27">
      <c r="AA27" s="6"/>
    </row>
    <row r="28" spans="25:27">
      <c r="AA28" s="6"/>
    </row>
  </sheetData>
  <hyperlinks>
    <hyperlink ref="A13" location="'Table of Contents'!A1" display="return to table of contents" xr:uid="{00000000-0004-0000-0600-000000000000}"/>
  </hyperlinks>
  <pageMargins left="0.7" right="0.7" top="0.75" bottom="0.75" header="0.3" footer="0.3"/>
  <pageSetup paperSize="9" orientation="portrait" r:id="rId1"/>
  <ignoredErrors>
    <ignoredError sqref="D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2"/>
  <sheetViews>
    <sheetView topLeftCell="M1" workbookViewId="0">
      <selection activeCell="R6" sqref="R6"/>
    </sheetView>
  </sheetViews>
  <sheetFormatPr defaultRowHeight="14.5"/>
  <cols>
    <col min="5" max="5" width="11.90625" bestFit="1" customWidth="1"/>
    <col min="8" max="8" width="8.81640625" style="115"/>
    <col min="9" max="9" width="8.90625" style="73"/>
    <col min="12" max="12" width="8.81640625" style="113"/>
    <col min="13" max="13" width="8.90625" style="73"/>
    <col min="14" max="17" width="11.08984375" style="73" customWidth="1"/>
    <col min="18" max="18" width="8.90625" style="73"/>
    <col min="20" max="20" width="8.90625" style="117"/>
    <col min="26" max="26" width="9.90625" style="73" bestFit="1" customWidth="1"/>
    <col min="27" max="28" width="9.90625" style="133" customWidth="1"/>
  </cols>
  <sheetData>
    <row r="1" spans="1:31" s="73" customFormat="1">
      <c r="A1" s="73" t="s">
        <v>377</v>
      </c>
      <c r="H1" s="115"/>
      <c r="L1" s="113"/>
      <c r="T1" s="117"/>
      <c r="AA1" s="133"/>
      <c r="AB1" s="133"/>
    </row>
    <row r="2" spans="1:31" s="40" customFormat="1" ht="96" customHeight="1">
      <c r="A2" s="40" t="s">
        <v>0</v>
      </c>
      <c r="B2" s="40" t="s">
        <v>305</v>
      </c>
      <c r="C2" s="40" t="s">
        <v>5</v>
      </c>
      <c r="D2" s="40" t="s">
        <v>222</v>
      </c>
      <c r="E2" s="40" t="s">
        <v>13</v>
      </c>
      <c r="F2" s="40" t="s">
        <v>12</v>
      </c>
      <c r="G2" s="40" t="s">
        <v>524</v>
      </c>
      <c r="H2" s="40" t="s">
        <v>535</v>
      </c>
      <c r="I2" s="40" t="s">
        <v>536</v>
      </c>
      <c r="J2" s="40" t="s">
        <v>15</v>
      </c>
      <c r="K2" s="40" t="s">
        <v>10</v>
      </c>
      <c r="L2" s="40" t="s">
        <v>521</v>
      </c>
      <c r="M2" s="40" t="s">
        <v>378</v>
      </c>
      <c r="N2" s="40" t="s">
        <v>388</v>
      </c>
      <c r="O2" s="40" t="s">
        <v>539</v>
      </c>
      <c r="P2" s="40" t="s">
        <v>389</v>
      </c>
      <c r="Q2" s="40" t="s">
        <v>390</v>
      </c>
      <c r="R2" s="40" t="s">
        <v>520</v>
      </c>
      <c r="S2" s="40" t="s">
        <v>28</v>
      </c>
      <c r="T2" s="40" t="s">
        <v>7</v>
      </c>
      <c r="U2" s="40" t="s">
        <v>29</v>
      </c>
      <c r="V2" s="40" t="s">
        <v>231</v>
      </c>
      <c r="W2" s="40" t="s">
        <v>226</v>
      </c>
      <c r="X2" s="40" t="s">
        <v>227</v>
      </c>
      <c r="Y2" s="40" t="s">
        <v>228</v>
      </c>
      <c r="Z2" s="40" t="s">
        <v>522</v>
      </c>
      <c r="AA2" s="40" t="s">
        <v>569</v>
      </c>
      <c r="AB2" s="40" t="s">
        <v>566</v>
      </c>
      <c r="AC2" s="40" t="s">
        <v>299</v>
      </c>
      <c r="AD2" s="40" t="s">
        <v>582</v>
      </c>
      <c r="AE2" s="40" t="s">
        <v>581</v>
      </c>
    </row>
    <row r="3" spans="1:31" s="6" customFormat="1">
      <c r="A3" s="6" t="s">
        <v>4</v>
      </c>
      <c r="B3" s="6" t="s">
        <v>11</v>
      </c>
      <c r="C3" s="6">
        <v>2017</v>
      </c>
      <c r="D3" s="84">
        <v>1268.5999999999999</v>
      </c>
      <c r="E3" s="84">
        <v>12817</v>
      </c>
      <c r="F3" s="84">
        <v>12528</v>
      </c>
      <c r="G3" s="84">
        <v>1756</v>
      </c>
      <c r="H3" s="84">
        <f>G3/F3*100</f>
        <v>14.016602809706258</v>
      </c>
      <c r="I3" s="84"/>
      <c r="J3" s="84">
        <v>131981</v>
      </c>
      <c r="K3" s="84">
        <v>150722</v>
      </c>
      <c r="L3" s="84"/>
      <c r="W3" s="6">
        <f>24*AVERAGE(21,18)</f>
        <v>468</v>
      </c>
      <c r="X3" s="6">
        <f>24*AVERAGE(36,25)</f>
        <v>732</v>
      </c>
      <c r="Z3" s="6">
        <f>L6*365</f>
        <v>103186595</v>
      </c>
      <c r="AA3" s="6">
        <f>(W3*E7+X3*F7)*D3</f>
        <v>222022200</v>
      </c>
      <c r="AB3" s="6">
        <f>AA3/(Z3*24)*1000</f>
        <v>89.652391378938319</v>
      </c>
      <c r="AC3" s="6" t="s">
        <v>300</v>
      </c>
      <c r="AD3" s="6">
        <f>24*AVERAGE(3,4)</f>
        <v>84</v>
      </c>
      <c r="AE3" s="6">
        <f>24*2</f>
        <v>48</v>
      </c>
    </row>
    <row r="4" spans="1:31">
      <c r="D4" t="s">
        <v>375</v>
      </c>
      <c r="E4" s="73" t="s">
        <v>376</v>
      </c>
      <c r="F4" s="73" t="s">
        <v>376</v>
      </c>
      <c r="I4" s="73">
        <f>E3+F3-G3</f>
        <v>23589</v>
      </c>
      <c r="J4" t="s">
        <v>376</v>
      </c>
      <c r="K4" t="s">
        <v>376</v>
      </c>
      <c r="N4" s="35" t="s">
        <v>381</v>
      </c>
      <c r="W4" s="139" t="s">
        <v>616</v>
      </c>
      <c r="X4" s="139" t="s">
        <v>617</v>
      </c>
      <c r="Y4" s="35" t="s">
        <v>381</v>
      </c>
      <c r="AC4" s="35" t="s">
        <v>381</v>
      </c>
      <c r="AD4" s="139" t="s">
        <v>583</v>
      </c>
      <c r="AE4" s="139" t="s">
        <v>580</v>
      </c>
    </row>
    <row r="5" spans="1:31" s="73" customFormat="1">
      <c r="H5" s="115"/>
      <c r="I5" s="6"/>
      <c r="L5" s="113"/>
      <c r="T5" s="117"/>
      <c r="X5" s="73">
        <f>AVERAGE(36,25)</f>
        <v>30.5</v>
      </c>
      <c r="AA5" s="133"/>
      <c r="AB5" s="133"/>
      <c r="AE5" s="113"/>
    </row>
    <row r="6" spans="1:31">
      <c r="A6" t="s">
        <v>317</v>
      </c>
      <c r="G6" t="s">
        <v>523</v>
      </c>
      <c r="I6" s="6"/>
      <c r="L6" s="113">
        <f>SUM(J3:K3)</f>
        <v>282703</v>
      </c>
      <c r="M6" s="6">
        <f>N6/365</f>
        <v>1456.4443835616437</v>
      </c>
      <c r="N6" s="120">
        <v>531602.19999999995</v>
      </c>
      <c r="O6" s="34">
        <v>1063204</v>
      </c>
      <c r="P6" s="34"/>
      <c r="Q6" s="34"/>
      <c r="R6" s="6">
        <f>J3/(J3+K3)*100</f>
        <v>46.68539067501937</v>
      </c>
      <c r="S6" s="6">
        <f>E3/L6*100</f>
        <v>4.5337332819248468</v>
      </c>
      <c r="T6" s="6"/>
      <c r="U6" s="6">
        <f>F3/L6*100</f>
        <v>4.4315058559689851</v>
      </c>
      <c r="V6" s="6">
        <f>E3/I4*100</f>
        <v>54.334647505193104</v>
      </c>
      <c r="W6" s="6" t="s">
        <v>7</v>
      </c>
      <c r="X6" s="6" t="s">
        <v>7</v>
      </c>
      <c r="Y6" s="6">
        <v>2112</v>
      </c>
      <c r="Z6" s="6"/>
      <c r="AA6" s="6">
        <f>365*24*(I4)</f>
        <v>206639640</v>
      </c>
      <c r="AB6" s="6">
        <f>AA6/(Z3*24)*1000</f>
        <v>83.440925635737869</v>
      </c>
    </row>
    <row r="7" spans="1:31">
      <c r="A7" t="s">
        <v>379</v>
      </c>
      <c r="E7">
        <f>(E3*365)/((W3/24)*$D$3)</f>
        <v>189.11236695408226</v>
      </c>
      <c r="F7" s="73">
        <f>(F3*365)/((X3/24)*$D$3)</f>
        <v>118.18165371404648</v>
      </c>
      <c r="I7" s="6">
        <f>0.86*(E7+F7)</f>
        <v>264.2728577745907</v>
      </c>
      <c r="J7" s="73" t="s">
        <v>537</v>
      </c>
      <c r="K7" s="73" t="s">
        <v>7</v>
      </c>
      <c r="M7" s="115">
        <f>M6/$D$3</f>
        <v>1.1480721926230835</v>
      </c>
      <c r="N7" s="73">
        <f>N6/$D$3</f>
        <v>419.04635030742548</v>
      </c>
      <c r="O7" s="73">
        <f>O6/$D$3</f>
        <v>838.09238530663731</v>
      </c>
      <c r="P7" s="6">
        <f>O7*$R$6/100</f>
        <v>391.26670429799225</v>
      </c>
      <c r="Q7" s="6">
        <f>O7-P7</f>
        <v>446.82568100864506</v>
      </c>
    </row>
    <row r="8" spans="1:31">
      <c r="A8" t="s">
        <v>382</v>
      </c>
      <c r="E8">
        <f>1000*E3/$M$6</f>
        <v>8800.1987200203475</v>
      </c>
      <c r="F8" s="73">
        <f>1000*F3/$M$6</f>
        <v>8601.770271078638</v>
      </c>
      <c r="I8" s="73">
        <f>1000*I4/$M$6</f>
        <v>16196.293017598498</v>
      </c>
      <c r="N8" s="6"/>
      <c r="P8" s="6" t="s">
        <v>544</v>
      </c>
      <c r="Q8" s="6"/>
    </row>
    <row r="9" spans="1:31">
      <c r="A9" t="s">
        <v>380</v>
      </c>
      <c r="E9">
        <f>E3/($D$3/10)</f>
        <v>101.03263440012614</v>
      </c>
      <c r="F9" s="82">
        <f>F3/($D$3/10)</f>
        <v>98.754532555573078</v>
      </c>
      <c r="I9" s="82">
        <f>I4/($D$3/10)</f>
        <v>185.94513637080249</v>
      </c>
      <c r="J9" s="115">
        <f>J3/($D$3/10)</f>
        <v>1040.3673340690527</v>
      </c>
      <c r="K9" s="115">
        <f>K3/($D$3/10)</f>
        <v>1188.0971149298441</v>
      </c>
      <c r="L9" s="115">
        <f>L6/($D$3/10)</f>
        <v>2228.4644489988968</v>
      </c>
      <c r="M9" s="115">
        <f>M6/($D$3/10)</f>
        <v>11.480721926230837</v>
      </c>
      <c r="N9" s="34"/>
    </row>
    <row r="10" spans="1:31">
      <c r="A10" t="s">
        <v>558</v>
      </c>
      <c r="I10" s="73">
        <f>1000*I4/L6</f>
        <v>83.440925635737855</v>
      </c>
    </row>
    <row r="11" spans="1:31" s="147" customFormat="1"/>
    <row r="12" spans="1:31">
      <c r="A12" s="35" t="s">
        <v>257</v>
      </c>
    </row>
  </sheetData>
  <hyperlinks>
    <hyperlink ref="A12" location="'Table of Contents'!A1" display="return to table of contents" xr:uid="{00000000-0004-0000-0700-000000000000}"/>
    <hyperlink ref="N4" location="japan_duration_hospital_stay!A1" display="see sheet Japan_duration_hospital_stay" xr:uid="{32477685-9278-4BFF-9ED6-25820DD556E4}"/>
    <hyperlink ref="Y4" location="japan_duration_hospital_stay!A1" display="see sheet Japan_duration_hospital_stay" xr:uid="{29E9211D-0515-49F9-B184-B354E385932F}"/>
    <hyperlink ref="AC4" location="japan_duration_hospital_stay!A1" display="see sheet Japan_duration_hospital_stay" xr:uid="{4994EECD-A2F3-493A-9958-5F433F36CE1B}"/>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of Contents</vt:lpstr>
      <vt:lpstr>Final_results_for_comparison</vt:lpstr>
      <vt:lpstr>WHO reports</vt:lpstr>
      <vt:lpstr>WHO vs OECD reports</vt:lpstr>
      <vt:lpstr>Australia</vt:lpstr>
      <vt:lpstr>England </vt:lpstr>
      <vt:lpstr>Southwest Germany</vt:lpstr>
      <vt:lpstr>ireland</vt:lpstr>
      <vt:lpstr>Japan</vt:lpstr>
      <vt:lpstr>Netherlands</vt:lpstr>
      <vt:lpstr>New Zealand</vt:lpstr>
      <vt:lpstr>United States</vt:lpstr>
      <vt:lpstr>Wales</vt:lpstr>
      <vt:lpstr>japan_duration_hospital_stay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Savage</dc:creator>
  <cp:lastModifiedBy>Martha Savage</cp:lastModifiedBy>
  <dcterms:created xsi:type="dcterms:W3CDTF">2022-03-21T06:16:45Z</dcterms:created>
  <dcterms:modified xsi:type="dcterms:W3CDTF">2023-10-01T11:12:51Z</dcterms:modified>
</cp:coreProperties>
</file>