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ml.chartshapes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5f671a2489fb790e/Permian Australia/NCM Paper/"/>
    </mc:Choice>
  </mc:AlternateContent>
  <xr:revisionPtr revIDLastSave="167" documentId="13_ncr:1_{7BFBFB8C-1414-4592-BAEF-2142F3C25889}" xr6:coauthVersionLast="47" xr6:coauthVersionMax="47" xr10:uidLastSave="{E1A8F24E-DBBA-4E55-8E5C-C700BF625D7A}"/>
  <bookViews>
    <workbookView minimized="1" xWindow="34725" yWindow="2250" windowWidth="21570" windowHeight="11295" tabRatio="781" activeTab="4" xr2:uid="{00000000-000D-0000-FFFF-FFFF00000000}"/>
  </bookViews>
  <sheets>
    <sheet name="Data" sheetId="1" r:id="rId1"/>
    <sheet name="Major" sheetId="2" r:id="rId2"/>
    <sheet name="Pearce's cc" sheetId="5" r:id="rId3"/>
    <sheet name="Trace" sheetId="3" r:id="rId4"/>
    <sheet name="REE" sheetId="4" r:id="rId5"/>
    <sheet name="ICV-CIA" sheetId="7" r:id="rId6"/>
    <sheet name="A-CN-K" sheetId="9" r:id="rId7"/>
    <sheet name="15Al-Zr-300Ti" sheetId="8" r:id="rId8"/>
    <sheet name="Chondrite_Morb-norm REEs" sheetId="6" r:id="rId9"/>
    <sheet name="Spider diagram" sheetId="11" r:id="rId10"/>
    <sheet name="Tectonic set. - DF diagram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0" i="5" l="1"/>
  <c r="AB29" i="5"/>
  <c r="AA29" i="5"/>
  <c r="AB28" i="5"/>
  <c r="AA28" i="5"/>
  <c r="Z28" i="5"/>
  <c r="AB27" i="5"/>
  <c r="AA27" i="5"/>
  <c r="Z27" i="5"/>
  <c r="Y27" i="5"/>
  <c r="AB26" i="5"/>
  <c r="AA26" i="5"/>
  <c r="Z26" i="5"/>
  <c r="Y26" i="5"/>
  <c r="X26" i="5"/>
  <c r="AB25" i="5"/>
  <c r="AA25" i="5"/>
  <c r="Z25" i="5"/>
  <c r="Y25" i="5"/>
  <c r="X25" i="5"/>
  <c r="W25" i="5"/>
  <c r="AB24" i="5"/>
  <c r="AA24" i="5"/>
  <c r="Z24" i="5"/>
  <c r="Y24" i="5"/>
  <c r="X24" i="5"/>
  <c r="W24" i="5"/>
  <c r="V24" i="5"/>
  <c r="AB23" i="5"/>
  <c r="AA23" i="5"/>
  <c r="Z23" i="5"/>
  <c r="Y23" i="5"/>
  <c r="X23" i="5"/>
  <c r="W23" i="5"/>
  <c r="V23" i="5"/>
  <c r="U23" i="5"/>
  <c r="AB22" i="5"/>
  <c r="AA22" i="5"/>
  <c r="Z22" i="5"/>
  <c r="Y22" i="5"/>
  <c r="X22" i="5"/>
  <c r="W22" i="5"/>
  <c r="V22" i="5"/>
  <c r="U22" i="5"/>
  <c r="T22" i="5"/>
  <c r="AB21" i="5"/>
  <c r="AA21" i="5"/>
  <c r="Z21" i="5"/>
  <c r="Y21" i="5"/>
  <c r="X21" i="5"/>
  <c r="W21" i="5"/>
  <c r="V21" i="5"/>
  <c r="U21" i="5"/>
  <c r="T21" i="5"/>
  <c r="S21" i="5"/>
  <c r="AB20" i="5"/>
  <c r="AA20" i="5"/>
  <c r="Z20" i="5"/>
  <c r="Y20" i="5"/>
  <c r="X20" i="5"/>
  <c r="W20" i="5"/>
  <c r="V20" i="5"/>
  <c r="U20" i="5"/>
  <c r="T20" i="5"/>
  <c r="S20" i="5"/>
  <c r="R20" i="5"/>
  <c r="AB17" i="5"/>
  <c r="AB16" i="5"/>
  <c r="AA16" i="5"/>
  <c r="AB15" i="5"/>
  <c r="AA15" i="5"/>
  <c r="Z15" i="5"/>
  <c r="AB14" i="5"/>
  <c r="AA14" i="5"/>
  <c r="Z14" i="5"/>
  <c r="Y14" i="5"/>
  <c r="AB13" i="5"/>
  <c r="AA13" i="5"/>
  <c r="Z13" i="5"/>
  <c r="Y13" i="5"/>
  <c r="X13" i="5"/>
  <c r="AB12" i="5"/>
  <c r="AA12" i="5"/>
  <c r="Z12" i="5"/>
  <c r="Y12" i="5"/>
  <c r="X12" i="5"/>
  <c r="W12" i="5"/>
  <c r="AB11" i="5"/>
  <c r="AA11" i="5"/>
  <c r="Z11" i="5"/>
  <c r="Y11" i="5"/>
  <c r="X11" i="5"/>
  <c r="W11" i="5"/>
  <c r="V11" i="5"/>
  <c r="AB10" i="5"/>
  <c r="AA10" i="5"/>
  <c r="Z10" i="5"/>
  <c r="Y10" i="5"/>
  <c r="X10" i="5"/>
  <c r="W10" i="5"/>
  <c r="V10" i="5"/>
  <c r="U10" i="5"/>
  <c r="AB9" i="5"/>
  <c r="AA9" i="5"/>
  <c r="Z9" i="5"/>
  <c r="Y9" i="5"/>
  <c r="X9" i="5"/>
  <c r="W9" i="5"/>
  <c r="V9" i="5"/>
  <c r="U9" i="5"/>
  <c r="T9" i="5"/>
  <c r="AB8" i="5"/>
  <c r="AA8" i="5"/>
  <c r="Z8" i="5"/>
  <c r="Y8" i="5"/>
  <c r="X8" i="5"/>
  <c r="W8" i="5"/>
  <c r="V8" i="5"/>
  <c r="U8" i="5"/>
  <c r="T8" i="5"/>
  <c r="S8" i="5"/>
  <c r="AB7" i="5"/>
  <c r="AA7" i="5"/>
  <c r="Z7" i="5"/>
  <c r="Y7" i="5"/>
  <c r="X7" i="5"/>
  <c r="W7" i="5"/>
  <c r="V7" i="5"/>
  <c r="U7" i="5"/>
  <c r="T7" i="5"/>
  <c r="S7" i="5"/>
  <c r="R7" i="5"/>
  <c r="D45" i="5"/>
  <c r="E45" i="5"/>
  <c r="F45" i="5"/>
  <c r="G45" i="5"/>
  <c r="H45" i="5"/>
  <c r="I45" i="5"/>
  <c r="J45" i="5"/>
  <c r="K45" i="5"/>
  <c r="L45" i="5"/>
  <c r="M45" i="5"/>
  <c r="D22" i="5"/>
  <c r="E22" i="5"/>
  <c r="F22" i="5"/>
  <c r="G22" i="5"/>
  <c r="H22" i="5"/>
  <c r="I22" i="5"/>
  <c r="J22" i="5"/>
  <c r="K22" i="5"/>
  <c r="L22" i="5"/>
  <c r="M22" i="5"/>
  <c r="C45" i="5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5" i="8"/>
  <c r="AA5" i="10" l="1"/>
  <c r="Z5" i="10"/>
  <c r="N28" i="10"/>
  <c r="X28" i="10" s="1"/>
  <c r="T52" i="10"/>
  <c r="X52" i="10" s="1"/>
  <c r="T53" i="10"/>
  <c r="AG53" i="10" s="1"/>
  <c r="T54" i="10"/>
  <c r="AD54" i="10" s="1"/>
  <c r="T55" i="10"/>
  <c r="AA55" i="10" s="1"/>
  <c r="T56" i="10"/>
  <c r="X56" i="10" s="1"/>
  <c r="T57" i="10"/>
  <c r="AG57" i="10" s="1"/>
  <c r="T58" i="10"/>
  <c r="AD58" i="10" s="1"/>
  <c r="T59" i="10"/>
  <c r="AA59" i="10" s="1"/>
  <c r="T60" i="10"/>
  <c r="X60" i="10" s="1"/>
  <c r="T61" i="10"/>
  <c r="AG61" i="10" s="1"/>
  <c r="T62" i="10"/>
  <c r="AD62" i="10" s="1"/>
  <c r="T63" i="10"/>
  <c r="AA63" i="10" s="1"/>
  <c r="T64" i="10"/>
  <c r="X64" i="10" s="1"/>
  <c r="T65" i="10"/>
  <c r="AG65" i="10" s="1"/>
  <c r="T66" i="10"/>
  <c r="AD66" i="10" s="1"/>
  <c r="T51" i="10"/>
  <c r="X51" i="10" s="1"/>
  <c r="N29" i="10"/>
  <c r="P29" i="10" s="1"/>
  <c r="N30" i="10"/>
  <c r="S30" i="10" s="1"/>
  <c r="N31" i="10"/>
  <c r="V31" i="10" s="1"/>
  <c r="N32" i="10"/>
  <c r="P32" i="10" s="1"/>
  <c r="N33" i="10"/>
  <c r="P33" i="10" s="1"/>
  <c r="N34" i="10"/>
  <c r="S34" i="10" s="1"/>
  <c r="N35" i="10"/>
  <c r="V35" i="10" s="1"/>
  <c r="N36" i="10"/>
  <c r="T36" i="10" s="1"/>
  <c r="N37" i="10"/>
  <c r="P37" i="10" s="1"/>
  <c r="N38" i="10"/>
  <c r="S38" i="10" s="1"/>
  <c r="N39" i="10"/>
  <c r="V39" i="10" s="1"/>
  <c r="N40" i="10"/>
  <c r="W40" i="10" s="1"/>
  <c r="N41" i="10"/>
  <c r="P41" i="10" s="1"/>
  <c r="N42" i="10"/>
  <c r="S42" i="10" s="1"/>
  <c r="N43" i="10"/>
  <c r="V43" i="10" s="1"/>
  <c r="N6" i="10"/>
  <c r="O6" i="10"/>
  <c r="P6" i="10"/>
  <c r="Q6" i="10"/>
  <c r="R6" i="10"/>
  <c r="S6" i="10"/>
  <c r="T6" i="10"/>
  <c r="U6" i="10"/>
  <c r="V6" i="10"/>
  <c r="N7" i="10"/>
  <c r="O7" i="10"/>
  <c r="P7" i="10"/>
  <c r="Q7" i="10"/>
  <c r="R7" i="10"/>
  <c r="S7" i="10"/>
  <c r="T7" i="10"/>
  <c r="U7" i="10"/>
  <c r="V7" i="10"/>
  <c r="N8" i="10"/>
  <c r="O8" i="10"/>
  <c r="P8" i="10"/>
  <c r="Q8" i="10"/>
  <c r="R8" i="10"/>
  <c r="S8" i="10"/>
  <c r="T8" i="10"/>
  <c r="U8" i="10"/>
  <c r="V8" i="10"/>
  <c r="N9" i="10"/>
  <c r="O9" i="10"/>
  <c r="P9" i="10"/>
  <c r="Q9" i="10"/>
  <c r="R9" i="10"/>
  <c r="S9" i="10"/>
  <c r="T9" i="10"/>
  <c r="U9" i="10"/>
  <c r="V9" i="10"/>
  <c r="N10" i="10"/>
  <c r="O10" i="10"/>
  <c r="P10" i="10"/>
  <c r="Q10" i="10"/>
  <c r="R10" i="10"/>
  <c r="S10" i="10"/>
  <c r="T10" i="10"/>
  <c r="U10" i="10"/>
  <c r="V10" i="10"/>
  <c r="N11" i="10"/>
  <c r="O11" i="10"/>
  <c r="P11" i="10"/>
  <c r="Q11" i="10"/>
  <c r="R11" i="10"/>
  <c r="S11" i="10"/>
  <c r="T11" i="10"/>
  <c r="U11" i="10"/>
  <c r="V11" i="10"/>
  <c r="N12" i="10"/>
  <c r="O12" i="10"/>
  <c r="P12" i="10"/>
  <c r="Q12" i="10"/>
  <c r="R12" i="10"/>
  <c r="S12" i="10"/>
  <c r="T12" i="10"/>
  <c r="U12" i="10"/>
  <c r="V12" i="10"/>
  <c r="N13" i="10"/>
  <c r="O13" i="10"/>
  <c r="P13" i="10"/>
  <c r="Q13" i="10"/>
  <c r="R13" i="10"/>
  <c r="S13" i="10"/>
  <c r="T13" i="10"/>
  <c r="U13" i="10"/>
  <c r="V13" i="10"/>
  <c r="N14" i="10"/>
  <c r="O14" i="10"/>
  <c r="P14" i="10"/>
  <c r="Q14" i="10"/>
  <c r="R14" i="10"/>
  <c r="S14" i="10"/>
  <c r="T14" i="10"/>
  <c r="U14" i="10"/>
  <c r="V14" i="10"/>
  <c r="N15" i="10"/>
  <c r="O15" i="10"/>
  <c r="P15" i="10"/>
  <c r="Q15" i="10"/>
  <c r="R15" i="10"/>
  <c r="S15" i="10"/>
  <c r="T15" i="10"/>
  <c r="U15" i="10"/>
  <c r="V15" i="10"/>
  <c r="N16" i="10"/>
  <c r="O16" i="10"/>
  <c r="P16" i="10"/>
  <c r="Q16" i="10"/>
  <c r="R16" i="10"/>
  <c r="S16" i="10"/>
  <c r="T16" i="10"/>
  <c r="U16" i="10"/>
  <c r="V16" i="10"/>
  <c r="N17" i="10"/>
  <c r="O17" i="10"/>
  <c r="P17" i="10"/>
  <c r="Q17" i="10"/>
  <c r="R17" i="10"/>
  <c r="S17" i="10"/>
  <c r="T17" i="10"/>
  <c r="U17" i="10"/>
  <c r="V17" i="10"/>
  <c r="N18" i="10"/>
  <c r="O18" i="10"/>
  <c r="P18" i="10"/>
  <c r="Q18" i="10"/>
  <c r="R18" i="10"/>
  <c r="S18" i="10"/>
  <c r="T18" i="10"/>
  <c r="U18" i="10"/>
  <c r="V18" i="10"/>
  <c r="N19" i="10"/>
  <c r="O19" i="10"/>
  <c r="P19" i="10"/>
  <c r="Q19" i="10"/>
  <c r="R19" i="10"/>
  <c r="S19" i="10"/>
  <c r="T19" i="10"/>
  <c r="U19" i="10"/>
  <c r="V19" i="10"/>
  <c r="N20" i="10"/>
  <c r="O20" i="10"/>
  <c r="P20" i="10"/>
  <c r="Q20" i="10"/>
  <c r="R20" i="10"/>
  <c r="S20" i="10"/>
  <c r="T20" i="10"/>
  <c r="U20" i="10"/>
  <c r="V20" i="10"/>
  <c r="V5" i="10"/>
  <c r="U5" i="10"/>
  <c r="T5" i="10"/>
  <c r="S5" i="10"/>
  <c r="R5" i="10"/>
  <c r="P5" i="10"/>
  <c r="Q5" i="10"/>
  <c r="O5" i="10"/>
  <c r="N5" i="10"/>
  <c r="AA11" i="10"/>
  <c r="AA9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Z12" i="10"/>
  <c r="AA6" i="10"/>
  <c r="Z6" i="10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C62" i="6"/>
  <c r="D62" i="6"/>
  <c r="E62" i="6"/>
  <c r="C63" i="6"/>
  <c r="D63" i="6"/>
  <c r="E63" i="6"/>
  <c r="C64" i="6"/>
  <c r="D64" i="6"/>
  <c r="E64" i="6"/>
  <c r="F64" i="6"/>
  <c r="F62" i="6"/>
  <c r="F63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R21" i="6"/>
  <c r="S21" i="6"/>
  <c r="Y21" i="6"/>
  <c r="Z21" i="6"/>
  <c r="AA21" i="6"/>
  <c r="AF21" i="6"/>
  <c r="AG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R22" i="6"/>
  <c r="AA22" i="6"/>
  <c r="AB22" i="6"/>
  <c r="AC22" i="6"/>
  <c r="AD22" i="6"/>
  <c r="AE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R23" i="6"/>
  <c r="S23" i="6"/>
  <c r="W23" i="6"/>
  <c r="W25" i="6" s="1"/>
  <c r="AC23" i="6"/>
  <c r="AC25" i="6" s="1"/>
  <c r="AD23" i="6"/>
  <c r="AD25" i="6" s="1"/>
  <c r="AE23" i="6"/>
  <c r="AE25" i="6" s="1"/>
  <c r="AF23" i="6"/>
  <c r="AF25" i="6" s="1"/>
  <c r="AG23" i="6"/>
  <c r="AG25" i="6" s="1"/>
  <c r="AI23" i="6"/>
  <c r="AI25" i="6" s="1"/>
  <c r="C23" i="6"/>
  <c r="C22" i="6"/>
  <c r="C21" i="6"/>
  <c r="AL4" i="6"/>
  <c r="AM4" i="6"/>
  <c r="AN4" i="6"/>
  <c r="AO4" i="6"/>
  <c r="AP4" i="6" s="1"/>
  <c r="AQ4" i="6" s="1"/>
  <c r="AR4" i="6"/>
  <c r="AL5" i="6"/>
  <c r="AM5" i="6"/>
  <c r="AN5" i="6"/>
  <c r="AO5" i="6"/>
  <c r="AP5" i="6"/>
  <c r="AQ5" i="6" s="1"/>
  <c r="AR5" i="6"/>
  <c r="AL6" i="6"/>
  <c r="AM6" i="6"/>
  <c r="AN6" i="6"/>
  <c r="AO6" i="6"/>
  <c r="AP6" i="6"/>
  <c r="AQ6" i="6"/>
  <c r="AR6" i="6"/>
  <c r="AL7" i="6"/>
  <c r="AM7" i="6"/>
  <c r="AN7" i="6"/>
  <c r="AO7" i="6"/>
  <c r="AP7" i="6"/>
  <c r="AQ7" i="6"/>
  <c r="AR7" i="6"/>
  <c r="AL8" i="6"/>
  <c r="AM8" i="6"/>
  <c r="AN8" i="6"/>
  <c r="AO8" i="6"/>
  <c r="AP8" i="6"/>
  <c r="AQ8" i="6"/>
  <c r="AR8" i="6"/>
  <c r="AL9" i="6"/>
  <c r="AM9" i="6"/>
  <c r="AN9" i="6"/>
  <c r="AO9" i="6"/>
  <c r="AP9" i="6"/>
  <c r="AQ9" i="6" s="1"/>
  <c r="AR9" i="6"/>
  <c r="AL10" i="6"/>
  <c r="AM10" i="6"/>
  <c r="AN10" i="6"/>
  <c r="AO10" i="6"/>
  <c r="AP10" i="6"/>
  <c r="AQ10" i="6"/>
  <c r="AR10" i="6"/>
  <c r="AL11" i="6"/>
  <c r="AM11" i="6"/>
  <c r="AN11" i="6"/>
  <c r="AO11" i="6"/>
  <c r="AP11" i="6"/>
  <c r="AQ11" i="6"/>
  <c r="AR11" i="6"/>
  <c r="AL12" i="6"/>
  <c r="AM12" i="6"/>
  <c r="AN12" i="6"/>
  <c r="AO12" i="6"/>
  <c r="AP12" i="6" s="1"/>
  <c r="AQ12" i="6" s="1"/>
  <c r="AR12" i="6"/>
  <c r="AL13" i="6"/>
  <c r="AM13" i="6"/>
  <c r="AN13" i="6"/>
  <c r="AO13" i="6"/>
  <c r="AP13" i="6"/>
  <c r="AQ13" i="6"/>
  <c r="AR13" i="6"/>
  <c r="AL14" i="6"/>
  <c r="AM14" i="6"/>
  <c r="AN14" i="6"/>
  <c r="AO14" i="6"/>
  <c r="AP14" i="6"/>
  <c r="AQ14" i="6"/>
  <c r="AR14" i="6"/>
  <c r="AL15" i="6"/>
  <c r="AM15" i="6"/>
  <c r="AN15" i="6"/>
  <c r="AO15" i="6"/>
  <c r="AP15" i="6"/>
  <c r="AQ15" i="6"/>
  <c r="AR15" i="6"/>
  <c r="AL16" i="6"/>
  <c r="AM16" i="6"/>
  <c r="AN16" i="6"/>
  <c r="AO16" i="6"/>
  <c r="AP16" i="6" s="1"/>
  <c r="AQ16" i="6" s="1"/>
  <c r="AR16" i="6"/>
  <c r="AL17" i="6"/>
  <c r="AM17" i="6"/>
  <c r="AN17" i="6"/>
  <c r="AO17" i="6"/>
  <c r="AP17" i="6"/>
  <c r="AQ17" i="6" s="1"/>
  <c r="AR17" i="6"/>
  <c r="AL18" i="6"/>
  <c r="AM18" i="6"/>
  <c r="AN18" i="6"/>
  <c r="AO18" i="6"/>
  <c r="AP18" i="6"/>
  <c r="AQ18" i="6"/>
  <c r="AR18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R4" i="6"/>
  <c r="S4" i="6"/>
  <c r="T4" i="6"/>
  <c r="U4" i="6"/>
  <c r="R5" i="6"/>
  <c r="S5" i="6"/>
  <c r="T5" i="6"/>
  <c r="U5" i="6"/>
  <c r="R6" i="6"/>
  <c r="S6" i="6"/>
  <c r="T6" i="6"/>
  <c r="U6" i="6"/>
  <c r="R7" i="6"/>
  <c r="S7" i="6"/>
  <c r="T7" i="6"/>
  <c r="U7" i="6"/>
  <c r="R8" i="6"/>
  <c r="S8" i="6"/>
  <c r="T8" i="6"/>
  <c r="U8" i="6"/>
  <c r="R9" i="6"/>
  <c r="S9" i="6"/>
  <c r="T9" i="6"/>
  <c r="U9" i="6"/>
  <c r="R10" i="6"/>
  <c r="S10" i="6"/>
  <c r="T10" i="6"/>
  <c r="U10" i="6"/>
  <c r="R11" i="6"/>
  <c r="S11" i="6"/>
  <c r="T11" i="6"/>
  <c r="U11" i="6"/>
  <c r="R12" i="6"/>
  <c r="S12" i="6"/>
  <c r="T12" i="6"/>
  <c r="U12" i="6"/>
  <c r="R13" i="6"/>
  <c r="S13" i="6"/>
  <c r="T13" i="6"/>
  <c r="U13" i="6"/>
  <c r="R14" i="6"/>
  <c r="S14" i="6"/>
  <c r="T14" i="6"/>
  <c r="U14" i="6"/>
  <c r="R15" i="6"/>
  <c r="S15" i="6"/>
  <c r="T15" i="6"/>
  <c r="U15" i="6"/>
  <c r="R16" i="6"/>
  <c r="S16" i="6"/>
  <c r="T16" i="6"/>
  <c r="U16" i="6"/>
  <c r="R17" i="6"/>
  <c r="S17" i="6"/>
  <c r="T17" i="6"/>
  <c r="U17" i="6"/>
  <c r="R18" i="6"/>
  <c r="S18" i="6"/>
  <c r="T18" i="6"/>
  <c r="U18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AJ30" i="6"/>
  <c r="AI30" i="6"/>
  <c r="AM30" i="6" s="1"/>
  <c r="AH30" i="6"/>
  <c r="AG30" i="6"/>
  <c r="AN30" i="6" s="1"/>
  <c r="AF30" i="6"/>
  <c r="AE30" i="6"/>
  <c r="AD30" i="6"/>
  <c r="AC30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P34" i="6"/>
  <c r="O34" i="6"/>
  <c r="M34" i="6"/>
  <c r="K34" i="6"/>
  <c r="J34" i="6"/>
  <c r="I34" i="6"/>
  <c r="H34" i="6"/>
  <c r="G34" i="6"/>
  <c r="F34" i="6"/>
  <c r="D34" i="6"/>
  <c r="C34" i="6"/>
  <c r="AJ19" i="6"/>
  <c r="AJ23" i="6" s="1"/>
  <c r="AJ25" i="6" s="1"/>
  <c r="AI19" i="6"/>
  <c r="AI21" i="6" s="1"/>
  <c r="AH19" i="6"/>
  <c r="AH21" i="6" s="1"/>
  <c r="AG19" i="6"/>
  <c r="AG22" i="6" s="1"/>
  <c r="AF19" i="6"/>
  <c r="AF22" i="6" s="1"/>
  <c r="AE19" i="6"/>
  <c r="AE21" i="6" s="1"/>
  <c r="AD19" i="6"/>
  <c r="AD21" i="6" s="1"/>
  <c r="AC19" i="6"/>
  <c r="AC21" i="6" s="1"/>
  <c r="AB19" i="6"/>
  <c r="AB21" i="6" s="1"/>
  <c r="AA19" i="6"/>
  <c r="AA23" i="6" s="1"/>
  <c r="AA25" i="6" s="1"/>
  <c r="Z19" i="6"/>
  <c r="Z22" i="6" s="1"/>
  <c r="Y19" i="6"/>
  <c r="Y23" i="6" s="1"/>
  <c r="Y25" i="6" s="1"/>
  <c r="X19" i="6"/>
  <c r="X23" i="6" s="1"/>
  <c r="X25" i="6" s="1"/>
  <c r="W19" i="6"/>
  <c r="AL19" i="6" s="1"/>
  <c r="AL21" i="6" s="1"/>
  <c r="T19" i="6"/>
  <c r="T22" i="6" s="1"/>
  <c r="S19" i="6"/>
  <c r="R19" i="6"/>
  <c r="AF61" i="10" l="1"/>
  <c r="AE61" i="10"/>
  <c r="AA62" i="10"/>
  <c r="Y63" i="10"/>
  <c r="AD57" i="10"/>
  <c r="AE60" i="10"/>
  <c r="W60" i="10"/>
  <c r="AB57" i="10"/>
  <c r="AF60" i="10"/>
  <c r="V60" i="10"/>
  <c r="AC62" i="10"/>
  <c r="AB62" i="10"/>
  <c r="Z57" i="10"/>
  <c r="AG59" i="10"/>
  <c r="V59" i="10"/>
  <c r="AC58" i="10"/>
  <c r="AA54" i="10"/>
  <c r="Z58" i="10"/>
  <c r="AF66" i="10"/>
  <c r="AE66" i="10"/>
  <c r="X58" i="10"/>
  <c r="AH59" i="10"/>
  <c r="AA57" i="10"/>
  <c r="Y57" i="10"/>
  <c r="Y55" i="10"/>
  <c r="Z54" i="10"/>
  <c r="Y58" i="10"/>
  <c r="AC66" i="10"/>
  <c r="AJ59" i="10"/>
  <c r="AF57" i="10"/>
  <c r="AJ58" i="10"/>
  <c r="AB58" i="10"/>
  <c r="AA58" i="10"/>
  <c r="Z63" i="10"/>
  <c r="AI59" i="10"/>
  <c r="AE57" i="10"/>
  <c r="T43" i="10"/>
  <c r="W56" i="10"/>
  <c r="AI52" i="10"/>
  <c r="W52" i="10"/>
  <c r="W55" i="10"/>
  <c r="AB66" i="10"/>
  <c r="V55" i="10"/>
  <c r="AA66" i="10"/>
  <c r="AJ54" i="10"/>
  <c r="V51" i="10"/>
  <c r="V54" i="10"/>
  <c r="AG56" i="10"/>
  <c r="AJ66" i="10"/>
  <c r="W66" i="10"/>
  <c r="AC61" i="10"/>
  <c r="Z59" i="10"/>
  <c r="AE56" i="10"/>
  <c r="AE55" i="10"/>
  <c r="AF54" i="10"/>
  <c r="AA56" i="10"/>
  <c r="X55" i="10"/>
  <c r="Y54" i="10"/>
  <c r="X54" i="10"/>
  <c r="W54" i="10"/>
  <c r="Z66" i="10"/>
  <c r="AI54" i="10"/>
  <c r="W51" i="10"/>
  <c r="AG55" i="10"/>
  <c r="X66" i="10"/>
  <c r="AD61" i="10"/>
  <c r="AF56" i="10"/>
  <c r="AI66" i="10"/>
  <c r="V66" i="10"/>
  <c r="AI60" i="10"/>
  <c r="Y59" i="10"/>
  <c r="AD56" i="10"/>
  <c r="AD55" i="10"/>
  <c r="AE54" i="10"/>
  <c r="AJ55" i="10"/>
  <c r="AI56" i="10"/>
  <c r="AH55" i="10"/>
  <c r="Y66" i="10"/>
  <c r="AH54" i="10"/>
  <c r="AI51" i="10"/>
  <c r="AF55" i="10"/>
  <c r="AH66" i="10"/>
  <c r="AI64" i="10"/>
  <c r="AH60" i="10"/>
  <c r="X59" i="10"/>
  <c r="AC56" i="10"/>
  <c r="AC55" i="10"/>
  <c r="AC54" i="10"/>
  <c r="V56" i="10"/>
  <c r="AI55" i="10"/>
  <c r="AH56" i="10"/>
  <c r="AG54" i="10"/>
  <c r="AG66" i="10"/>
  <c r="W64" i="10"/>
  <c r="AG60" i="10"/>
  <c r="W59" i="10"/>
  <c r="AC57" i="10"/>
  <c r="AB56" i="10"/>
  <c r="Z55" i="10"/>
  <c r="AB54" i="10"/>
  <c r="AH64" i="10"/>
  <c r="Z62" i="10"/>
  <c r="AC53" i="10"/>
  <c r="V64" i="10"/>
  <c r="AD65" i="10"/>
  <c r="AD53" i="10"/>
  <c r="AF64" i="10"/>
  <c r="AD60" i="10"/>
  <c r="AE65" i="10"/>
  <c r="AJ63" i="10"/>
  <c r="AG52" i="10"/>
  <c r="W63" i="10"/>
  <c r="AH63" i="10"/>
  <c r="Z65" i="10"/>
  <c r="AC64" i="10"/>
  <c r="AF63" i="10"/>
  <c r="AI62" i="10"/>
  <c r="W62" i="10"/>
  <c r="Z61" i="10"/>
  <c r="AC60" i="10"/>
  <c r="AF59" i="10"/>
  <c r="AI58" i="10"/>
  <c r="W58" i="10"/>
  <c r="Z53" i="10"/>
  <c r="AC52" i="10"/>
  <c r="AJ62" i="10"/>
  <c r="AE53" i="10"/>
  <c r="AE64" i="10"/>
  <c r="V63" i="10"/>
  <c r="AB61" i="10"/>
  <c r="AE52" i="10"/>
  <c r="AA65" i="10"/>
  <c r="X62" i="10"/>
  <c r="AA53" i="10"/>
  <c r="Y65" i="10"/>
  <c r="V62" i="10"/>
  <c r="AB52" i="10"/>
  <c r="AJ65" i="10"/>
  <c r="AG62" i="10"/>
  <c r="X61" i="10"/>
  <c r="AJ53" i="10"/>
  <c r="X53" i="10"/>
  <c r="AF65" i="10"/>
  <c r="X63" i="10"/>
  <c r="AC65" i="10"/>
  <c r="AF52" i="10"/>
  <c r="AB53" i="10"/>
  <c r="AD64" i="10"/>
  <c r="AA61" i="10"/>
  <c r="AD52" i="10"/>
  <c r="AH62" i="10"/>
  <c r="AB60" i="10"/>
  <c r="AH58" i="10"/>
  <c r="AA64" i="10"/>
  <c r="AJ61" i="10"/>
  <c r="AA60" i="10"/>
  <c r="AJ57" i="10"/>
  <c r="X57" i="10"/>
  <c r="AA52" i="10"/>
  <c r="AI65" i="10"/>
  <c r="W65" i="10"/>
  <c r="Z64" i="10"/>
  <c r="AC63" i="10"/>
  <c r="AF62" i="10"/>
  <c r="AI61" i="10"/>
  <c r="W61" i="10"/>
  <c r="Z60" i="10"/>
  <c r="AC59" i="10"/>
  <c r="AF58" i="10"/>
  <c r="AI57" i="10"/>
  <c r="W57" i="10"/>
  <c r="Z56" i="10"/>
  <c r="AI53" i="10"/>
  <c r="W53" i="10"/>
  <c r="Z52" i="10"/>
  <c r="V52" i="10"/>
  <c r="AB64" i="10"/>
  <c r="X65" i="10"/>
  <c r="AG58" i="10"/>
  <c r="AH65" i="10"/>
  <c r="V65" i="10"/>
  <c r="Y64" i="10"/>
  <c r="AB63" i="10"/>
  <c r="AE62" i="10"/>
  <c r="AH61" i="10"/>
  <c r="V61" i="10"/>
  <c r="Y60" i="10"/>
  <c r="AB59" i="10"/>
  <c r="AE58" i="10"/>
  <c r="AH57" i="10"/>
  <c r="V57" i="10"/>
  <c r="Y56" i="10"/>
  <c r="AB55" i="10"/>
  <c r="AH53" i="10"/>
  <c r="V53" i="10"/>
  <c r="Y52" i="10"/>
  <c r="AF53" i="10"/>
  <c r="AH52" i="10"/>
  <c r="AG64" i="10"/>
  <c r="AI63" i="10"/>
  <c r="AB65" i="10"/>
  <c r="Y62" i="10"/>
  <c r="AG63" i="10"/>
  <c r="AE63" i="10"/>
  <c r="Y61" i="10"/>
  <c r="AE59" i="10"/>
  <c r="V58" i="10"/>
  <c r="Y53" i="10"/>
  <c r="AD63" i="10"/>
  <c r="AD59" i="10"/>
  <c r="AJ64" i="10"/>
  <c r="AJ60" i="10"/>
  <c r="AJ56" i="10"/>
  <c r="AJ52" i="10"/>
  <c r="T39" i="10"/>
  <c r="P42" i="10"/>
  <c r="X41" i="10"/>
  <c r="W41" i="10"/>
  <c r="R38" i="10"/>
  <c r="V41" i="10"/>
  <c r="U41" i="10"/>
  <c r="Q38" i="10"/>
  <c r="P38" i="10"/>
  <c r="U36" i="10"/>
  <c r="U35" i="10"/>
  <c r="T35" i="10"/>
  <c r="Q35" i="10"/>
  <c r="T32" i="10"/>
  <c r="S32" i="10"/>
  <c r="U30" i="10"/>
  <c r="V28" i="10"/>
  <c r="R30" i="10"/>
  <c r="S35" i="10"/>
  <c r="W28" i="10"/>
  <c r="X36" i="10"/>
  <c r="Q30" i="10"/>
  <c r="U43" i="10"/>
  <c r="W36" i="10"/>
  <c r="P30" i="10"/>
  <c r="Q42" i="10"/>
  <c r="V36" i="10"/>
  <c r="X29" i="10"/>
  <c r="U31" i="10"/>
  <c r="W29" i="10"/>
  <c r="Q34" i="10"/>
  <c r="Q32" i="10"/>
  <c r="P28" i="10"/>
  <c r="Q43" i="10"/>
  <c r="T41" i="10"/>
  <c r="V33" i="10"/>
  <c r="S31" i="10"/>
  <c r="V29" i="10"/>
  <c r="P43" i="10"/>
  <c r="U33" i="10"/>
  <c r="R31" i="10"/>
  <c r="S43" i="10"/>
  <c r="Q28" i="10"/>
  <c r="S41" i="10"/>
  <c r="U29" i="10"/>
  <c r="R28" i="10"/>
  <c r="X42" i="10"/>
  <c r="R41" i="10"/>
  <c r="X32" i="10"/>
  <c r="Q31" i="10"/>
  <c r="T29" i="10"/>
  <c r="X33" i="10"/>
  <c r="W33" i="10"/>
  <c r="Q41" i="10"/>
  <c r="T31" i="10"/>
  <c r="W32" i="10"/>
  <c r="T28" i="10"/>
  <c r="U42" i="10"/>
  <c r="X40" i="10"/>
  <c r="V32" i="10"/>
  <c r="X30" i="10"/>
  <c r="R29" i="10"/>
  <c r="R34" i="10"/>
  <c r="R32" i="10"/>
  <c r="P34" i="10"/>
  <c r="R43" i="10"/>
  <c r="S28" i="10"/>
  <c r="W42" i="10"/>
  <c r="P31" i="10"/>
  <c r="S29" i="10"/>
  <c r="U28" i="10"/>
  <c r="R42" i="10"/>
  <c r="U39" i="10"/>
  <c r="R35" i="10"/>
  <c r="U32" i="10"/>
  <c r="W30" i="10"/>
  <c r="Q29" i="10"/>
  <c r="X37" i="10"/>
  <c r="V40" i="10"/>
  <c r="W37" i="10"/>
  <c r="S39" i="10"/>
  <c r="R39" i="10"/>
  <c r="T40" i="10"/>
  <c r="S40" i="10"/>
  <c r="P39" i="10"/>
  <c r="V37" i="10"/>
  <c r="S36" i="10"/>
  <c r="P35" i="10"/>
  <c r="R40" i="10"/>
  <c r="X38" i="10"/>
  <c r="U37" i="10"/>
  <c r="R36" i="10"/>
  <c r="X34" i="10"/>
  <c r="U40" i="10"/>
  <c r="Q40" i="10"/>
  <c r="W38" i="10"/>
  <c r="T37" i="10"/>
  <c r="Q36" i="10"/>
  <c r="W34" i="10"/>
  <c r="T33" i="10"/>
  <c r="V42" i="10"/>
  <c r="P40" i="10"/>
  <c r="V38" i="10"/>
  <c r="S37" i="10"/>
  <c r="P36" i="10"/>
  <c r="V34" i="10"/>
  <c r="S33" i="10"/>
  <c r="V30" i="10"/>
  <c r="X17" i="10"/>
  <c r="X43" i="10"/>
  <c r="X39" i="10"/>
  <c r="U38" i="10"/>
  <c r="R37" i="10"/>
  <c r="X35" i="10"/>
  <c r="U34" i="10"/>
  <c r="R33" i="10"/>
  <c r="X31" i="10"/>
  <c r="Q39" i="10"/>
  <c r="W43" i="10"/>
  <c r="T42" i="10"/>
  <c r="W39" i="10"/>
  <c r="T38" i="10"/>
  <c r="Q37" i="10"/>
  <c r="W35" i="10"/>
  <c r="T34" i="10"/>
  <c r="Q33" i="10"/>
  <c r="W31" i="10"/>
  <c r="T30" i="10"/>
  <c r="X20" i="10"/>
  <c r="Y11" i="10"/>
  <c r="X13" i="10"/>
  <c r="X18" i="10"/>
  <c r="X14" i="10"/>
  <c r="X11" i="10"/>
  <c r="Y10" i="10"/>
  <c r="X6" i="10"/>
  <c r="X8" i="10"/>
  <c r="X5" i="10"/>
  <c r="Y16" i="10"/>
  <c r="X16" i="10"/>
  <c r="X12" i="10"/>
  <c r="X19" i="10"/>
  <c r="X15" i="10"/>
  <c r="X7" i="10"/>
  <c r="Y17" i="10"/>
  <c r="X9" i="10"/>
  <c r="Y5" i="10"/>
  <c r="X10" i="10"/>
  <c r="Y15" i="10"/>
  <c r="Y9" i="10"/>
  <c r="Y20" i="10"/>
  <c r="Y14" i="10"/>
  <c r="Y8" i="10"/>
  <c r="Y19" i="10"/>
  <c r="Y13" i="10"/>
  <c r="Y7" i="10"/>
  <c r="Y18" i="10"/>
  <c r="Y12" i="10"/>
  <c r="Y6" i="10"/>
  <c r="Z7" i="10"/>
  <c r="AA12" i="10"/>
  <c r="AA7" i="10"/>
  <c r="AA8" i="10"/>
  <c r="AB51" i="10"/>
  <c r="AC51" i="10"/>
  <c r="AH51" i="10"/>
  <c r="Z11" i="10"/>
  <c r="Z10" i="10"/>
  <c r="Z9" i="10"/>
  <c r="AA10" i="10"/>
  <c r="Z8" i="10"/>
  <c r="Z51" i="10"/>
  <c r="Y51" i="10"/>
  <c r="AJ51" i="10"/>
  <c r="AG51" i="10"/>
  <c r="AF51" i="10"/>
  <c r="AE51" i="10"/>
  <c r="AD51" i="10"/>
  <c r="AA51" i="10"/>
  <c r="T23" i="6"/>
  <c r="X21" i="6"/>
  <c r="W21" i="6"/>
  <c r="Y22" i="6"/>
  <c r="T21" i="6"/>
  <c r="AB23" i="6"/>
  <c r="AB25" i="6" s="1"/>
  <c r="AJ22" i="6"/>
  <c r="X22" i="6"/>
  <c r="AI22" i="6"/>
  <c r="W22" i="6"/>
  <c r="Z23" i="6"/>
  <c r="Z25" i="6" s="1"/>
  <c r="AH22" i="6"/>
  <c r="AL22" i="6"/>
  <c r="AL23" i="6"/>
  <c r="AH23" i="6"/>
  <c r="AH25" i="6" s="1"/>
  <c r="AJ21" i="6"/>
  <c r="U19" i="6"/>
  <c r="S22" i="6"/>
  <c r="AO19" i="6"/>
  <c r="AL30" i="6"/>
  <c r="AR19" i="6"/>
  <c r="AR30" i="6"/>
  <c r="AM19" i="6"/>
  <c r="AO30" i="6"/>
  <c r="AP30" i="6" s="1"/>
  <c r="AQ30" i="6" s="1"/>
  <c r="AN19" i="6"/>
  <c r="AL66" i="10" l="1"/>
  <c r="AL54" i="10"/>
  <c r="AM54" i="10" s="1"/>
  <c r="AO54" i="10" s="1"/>
  <c r="AL59" i="10"/>
  <c r="AL63" i="10"/>
  <c r="AM63" i="10" s="1"/>
  <c r="AO63" i="10" s="1"/>
  <c r="AL56" i="10"/>
  <c r="AM56" i="10" s="1"/>
  <c r="AO56" i="10" s="1"/>
  <c r="AL55" i="10"/>
  <c r="AL60" i="10"/>
  <c r="AM60" i="10" s="1"/>
  <c r="AO60" i="10" s="1"/>
  <c r="AM55" i="10"/>
  <c r="AO55" i="10" s="1"/>
  <c r="AN55" i="10"/>
  <c r="AP55" i="10" s="1"/>
  <c r="AR55" i="10" s="1"/>
  <c r="AM59" i="10"/>
  <c r="AO59" i="10" s="1"/>
  <c r="AN59" i="10"/>
  <c r="AP59" i="10" s="1"/>
  <c r="AR59" i="10" s="1"/>
  <c r="AN60" i="10"/>
  <c r="AP60" i="10" s="1"/>
  <c r="AL52" i="10"/>
  <c r="AL64" i="10"/>
  <c r="AL61" i="10"/>
  <c r="AL62" i="10"/>
  <c r="AL58" i="10"/>
  <c r="AM66" i="10"/>
  <c r="AO66" i="10" s="1"/>
  <c r="AN66" i="10"/>
  <c r="AP66" i="10" s="1"/>
  <c r="AL53" i="10"/>
  <c r="AN54" i="10"/>
  <c r="AP54" i="10" s="1"/>
  <c r="AL65" i="10"/>
  <c r="Z33" i="10"/>
  <c r="AA33" i="10" s="1"/>
  <c r="AC33" i="10" s="1"/>
  <c r="AL57" i="10"/>
  <c r="Z37" i="10"/>
  <c r="AA37" i="10" s="1"/>
  <c r="AC37" i="10" s="1"/>
  <c r="Z32" i="10"/>
  <c r="Z28" i="10"/>
  <c r="Z38" i="10"/>
  <c r="AA38" i="10" s="1"/>
  <c r="AC38" i="10" s="1"/>
  <c r="Z29" i="10"/>
  <c r="AB29" i="10" s="1"/>
  <c r="AD29" i="10" s="1"/>
  <c r="AB32" i="10"/>
  <c r="AD32" i="10" s="1"/>
  <c r="AA32" i="10"/>
  <c r="AC32" i="10" s="1"/>
  <c r="Z43" i="10"/>
  <c r="Z40" i="10"/>
  <c r="Z39" i="10"/>
  <c r="Z30" i="10"/>
  <c r="Z41" i="10"/>
  <c r="Z36" i="10"/>
  <c r="Z31" i="10"/>
  <c r="Z42" i="10"/>
  <c r="Z35" i="10"/>
  <c r="Z34" i="10"/>
  <c r="AL51" i="10"/>
  <c r="AM51" i="10" s="1"/>
  <c r="AO51" i="10" s="1"/>
  <c r="U22" i="6"/>
  <c r="U21" i="6"/>
  <c r="U23" i="6"/>
  <c r="AM23" i="6"/>
  <c r="AM21" i="6"/>
  <c r="AM22" i="6"/>
  <c r="AR21" i="6"/>
  <c r="AR22" i="6"/>
  <c r="AR23" i="6"/>
  <c r="AN23" i="6"/>
  <c r="AN22" i="6"/>
  <c r="AN21" i="6"/>
  <c r="AP19" i="6"/>
  <c r="AO22" i="6"/>
  <c r="AO23" i="6"/>
  <c r="AO21" i="6"/>
  <c r="AE32" i="10" l="1"/>
  <c r="AQ60" i="10"/>
  <c r="AN63" i="10"/>
  <c r="AP63" i="10" s="1"/>
  <c r="AR63" i="10"/>
  <c r="AN56" i="10"/>
  <c r="AP56" i="10" s="1"/>
  <c r="AQ56" i="10" s="1"/>
  <c r="AA29" i="10"/>
  <c r="AC29" i="10" s="1"/>
  <c r="AF29" i="10" s="1"/>
  <c r="AR66" i="10"/>
  <c r="AB38" i="10"/>
  <c r="AD38" i="10" s="1"/>
  <c r="AF38" i="10" s="1"/>
  <c r="AR54" i="10"/>
  <c r="AB37" i="10"/>
  <c r="AD37" i="10" s="1"/>
  <c r="AE37" i="10" s="1"/>
  <c r="AN64" i="10"/>
  <c r="AP64" i="10" s="1"/>
  <c r="AM64" i="10"/>
  <c r="AO64" i="10" s="1"/>
  <c r="AQ64" i="10" s="1"/>
  <c r="AM52" i="10"/>
  <c r="AO52" i="10" s="1"/>
  <c r="AN52" i="10"/>
  <c r="AP52" i="10" s="1"/>
  <c r="AM57" i="10"/>
  <c r="AO57" i="10" s="1"/>
  <c r="AN57" i="10"/>
  <c r="AP57" i="10" s="1"/>
  <c r="AR57" i="10" s="1"/>
  <c r="AN65" i="10"/>
  <c r="AP65" i="10" s="1"/>
  <c r="AM65" i="10"/>
  <c r="AO65" i="10" s="1"/>
  <c r="AQ63" i="10"/>
  <c r="AS63" i="10" s="1"/>
  <c r="AQ54" i="10"/>
  <c r="AR56" i="10"/>
  <c r="AB33" i="10"/>
  <c r="AD33" i="10" s="1"/>
  <c r="AF33" i="10" s="1"/>
  <c r="AM53" i="10"/>
  <c r="AO53" i="10" s="1"/>
  <c r="AN53" i="10"/>
  <c r="AP53" i="10" s="1"/>
  <c r="AR53" i="10" s="1"/>
  <c r="AR60" i="10"/>
  <c r="AQ66" i="10"/>
  <c r="AN58" i="10"/>
  <c r="AP58" i="10" s="1"/>
  <c r="AM58" i="10"/>
  <c r="AO58" i="10" s="1"/>
  <c r="AQ58" i="10" s="1"/>
  <c r="AQ59" i="10"/>
  <c r="AS59" i="10" s="1"/>
  <c r="AM62" i="10"/>
  <c r="AO62" i="10" s="1"/>
  <c r="AN62" i="10"/>
  <c r="AP62" i="10" s="1"/>
  <c r="AM61" i="10"/>
  <c r="AO61" i="10" s="1"/>
  <c r="AN61" i="10"/>
  <c r="AP61" i="10" s="1"/>
  <c r="AR61" i="10" s="1"/>
  <c r="AQ55" i="10"/>
  <c r="AS55" i="10" s="1"/>
  <c r="AF37" i="10"/>
  <c r="AB43" i="10"/>
  <c r="AD43" i="10" s="1"/>
  <c r="AA43" i="10"/>
  <c r="AC43" i="10" s="1"/>
  <c r="AA40" i="10"/>
  <c r="AC40" i="10" s="1"/>
  <c r="AB40" i="10"/>
  <c r="AD40" i="10" s="1"/>
  <c r="AF40" i="10" s="1"/>
  <c r="AA35" i="10"/>
  <c r="AC35" i="10" s="1"/>
  <c r="AB35" i="10"/>
  <c r="AD35" i="10" s="1"/>
  <c r="AA31" i="10"/>
  <c r="AC31" i="10" s="1"/>
  <c r="AB31" i="10"/>
  <c r="AD31" i="10" s="1"/>
  <c r="AF31" i="10" s="1"/>
  <c r="AG32" i="10"/>
  <c r="AB34" i="10"/>
  <c r="AD34" i="10" s="1"/>
  <c r="AA34" i="10"/>
  <c r="AC34" i="10" s="1"/>
  <c r="AA42" i="10"/>
  <c r="AC42" i="10" s="1"/>
  <c r="AB42" i="10"/>
  <c r="AD42" i="10" s="1"/>
  <c r="AA36" i="10"/>
  <c r="AC36" i="10" s="1"/>
  <c r="AB36" i="10"/>
  <c r="AD36" i="10" s="1"/>
  <c r="AA41" i="10"/>
  <c r="AC41" i="10" s="1"/>
  <c r="AB41" i="10"/>
  <c r="AD41" i="10" s="1"/>
  <c r="AF32" i="10"/>
  <c r="AB30" i="10"/>
  <c r="AD30" i="10" s="1"/>
  <c r="AA30" i="10"/>
  <c r="AC30" i="10" s="1"/>
  <c r="AE30" i="10" s="1"/>
  <c r="AA39" i="10"/>
  <c r="AC39" i="10" s="1"/>
  <c r="AB39" i="10"/>
  <c r="AD39" i="10" s="1"/>
  <c r="AE33" i="10"/>
  <c r="AG33" i="10" s="1"/>
  <c r="AN51" i="10"/>
  <c r="AP51" i="10" s="1"/>
  <c r="AR51" i="10" s="1"/>
  <c r="AB28" i="10"/>
  <c r="AD28" i="10" s="1"/>
  <c r="AA28" i="10"/>
  <c r="AC28" i="10" s="1"/>
  <c r="AQ19" i="6"/>
  <c r="AP22" i="6"/>
  <c r="AP23" i="6"/>
  <c r="AP21" i="6"/>
  <c r="AE38" i="10" l="1"/>
  <c r="AG38" i="10" s="1"/>
  <c r="AS54" i="10"/>
  <c r="AS60" i="10"/>
  <c r="AS56" i="10"/>
  <c r="AG37" i="10"/>
  <c r="AE29" i="10"/>
  <c r="AG29" i="10" s="1"/>
  <c r="AS66" i="10"/>
  <c r="AE43" i="10"/>
  <c r="AR52" i="10"/>
  <c r="AQ62" i="10"/>
  <c r="AF36" i="10"/>
  <c r="AF35" i="10"/>
  <c r="AQ65" i="10"/>
  <c r="AR65" i="10"/>
  <c r="AF28" i="10"/>
  <c r="AR58" i="10"/>
  <c r="AS58" i="10" s="1"/>
  <c r="AQ57" i="10"/>
  <c r="AS57" i="10" s="1"/>
  <c r="AQ53" i="10"/>
  <c r="AS53" i="10" s="1"/>
  <c r="AQ52" i="10"/>
  <c r="AQ61" i="10"/>
  <c r="AS61" i="10" s="1"/>
  <c r="AR64" i="10"/>
  <c r="AS64" i="10" s="1"/>
  <c r="AF41" i="10"/>
  <c r="AR62" i="10"/>
  <c r="AE42" i="10"/>
  <c r="AG42" i="10" s="1"/>
  <c r="AE39" i="10"/>
  <c r="AF34" i="10"/>
  <c r="AE35" i="10"/>
  <c r="AF42" i="10"/>
  <c r="AE40" i="10"/>
  <c r="AG40" i="10" s="1"/>
  <c r="AF30" i="10"/>
  <c r="AG30" i="10" s="1"/>
  <c r="AE31" i="10"/>
  <c r="AG31" i="10" s="1"/>
  <c r="AE41" i="10"/>
  <c r="AE36" i="10"/>
  <c r="AF39" i="10"/>
  <c r="AE34" i="10"/>
  <c r="AF43" i="10"/>
  <c r="AE28" i="10"/>
  <c r="AQ51" i="10"/>
  <c r="AS51" i="10" s="1"/>
  <c r="AQ21" i="6"/>
  <c r="AQ22" i="6"/>
  <c r="AQ23" i="6"/>
  <c r="AS62" i="10" l="1"/>
  <c r="AG36" i="10"/>
  <c r="AG43" i="10"/>
  <c r="AS65" i="10"/>
  <c r="AS52" i="10"/>
  <c r="AG41" i="10"/>
  <c r="AG35" i="10"/>
  <c r="AG34" i="10"/>
  <c r="AG39" i="10"/>
  <c r="AG28" i="10"/>
  <c r="C40" i="11" l="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I24" i="8"/>
  <c r="G24" i="8"/>
  <c r="I23" i="8"/>
  <c r="I22" i="8"/>
  <c r="K14" i="8"/>
  <c r="N14" i="8" s="1"/>
  <c r="K8" i="8"/>
  <c r="M8" i="8" s="1"/>
  <c r="P8" i="8" s="1"/>
  <c r="G6" i="8"/>
  <c r="K6" i="8" s="1"/>
  <c r="M6" i="8" s="1"/>
  <c r="P6" i="8" s="1"/>
  <c r="H6" i="8"/>
  <c r="G7" i="8"/>
  <c r="H7" i="8"/>
  <c r="G8" i="8"/>
  <c r="H8" i="8"/>
  <c r="G9" i="8"/>
  <c r="K9" i="8" s="1"/>
  <c r="L9" i="8" s="1"/>
  <c r="H9" i="8"/>
  <c r="G10" i="8"/>
  <c r="K10" i="8" s="1"/>
  <c r="M10" i="8" s="1"/>
  <c r="P10" i="8" s="1"/>
  <c r="H10" i="8"/>
  <c r="G11" i="8"/>
  <c r="H11" i="8"/>
  <c r="G12" i="8"/>
  <c r="K12" i="8" s="1"/>
  <c r="L12" i="8" s="1"/>
  <c r="H12" i="8"/>
  <c r="G13" i="8"/>
  <c r="H13" i="8"/>
  <c r="G14" i="8"/>
  <c r="H14" i="8"/>
  <c r="G15" i="8"/>
  <c r="K15" i="8" s="1"/>
  <c r="L15" i="8" s="1"/>
  <c r="H15" i="8"/>
  <c r="G16" i="8"/>
  <c r="K16" i="8" s="1"/>
  <c r="N16" i="8" s="1"/>
  <c r="H16" i="8"/>
  <c r="G17" i="8"/>
  <c r="H17" i="8"/>
  <c r="G18" i="8"/>
  <c r="K18" i="8" s="1"/>
  <c r="M18" i="8" s="1"/>
  <c r="P18" i="8" s="1"/>
  <c r="H18" i="8"/>
  <c r="G19" i="8"/>
  <c r="H19" i="8"/>
  <c r="H24" i="8" s="1"/>
  <c r="G20" i="8"/>
  <c r="H20" i="8"/>
  <c r="K20" i="8" s="1"/>
  <c r="L20" i="8" s="1"/>
  <c r="H5" i="8"/>
  <c r="H23" i="8" s="1"/>
  <c r="G5" i="8"/>
  <c r="E24" i="8"/>
  <c r="E23" i="8"/>
  <c r="E22" i="8"/>
  <c r="AC29" i="8"/>
  <c r="Y29" i="8"/>
  <c r="AB29" i="8" s="1"/>
  <c r="AE28" i="8" s="1"/>
  <c r="AE29" i="8" s="1"/>
  <c r="X29" i="8"/>
  <c r="AA29" i="8" s="1"/>
  <c r="W29" i="8"/>
  <c r="Z28" i="8" s="1"/>
  <c r="AD28" i="8"/>
  <c r="AD29" i="8" s="1"/>
  <c r="Y28" i="8"/>
  <c r="AB28" i="8" s="1"/>
  <c r="X28" i="8"/>
  <c r="AA28" i="8" s="1"/>
  <c r="X27" i="8"/>
  <c r="AA27" i="8" s="1"/>
  <c r="AC26" i="8"/>
  <c r="Y26" i="8"/>
  <c r="AB26" i="8" s="1"/>
  <c r="AE25" i="8" s="1"/>
  <c r="AE26" i="8" s="1"/>
  <c r="X26" i="8"/>
  <c r="AA26" i="8" s="1"/>
  <c r="W26" i="8"/>
  <c r="Z25" i="8" s="1"/>
  <c r="AD25" i="8"/>
  <c r="AD26" i="8" s="1"/>
  <c r="Y25" i="8"/>
  <c r="AB25" i="8" s="1"/>
  <c r="X25" i="8"/>
  <c r="AA25" i="8" s="1"/>
  <c r="X24" i="8"/>
  <c r="AA24" i="8" s="1"/>
  <c r="AC23" i="8"/>
  <c r="Y23" i="8"/>
  <c r="AB23" i="8" s="1"/>
  <c r="AE22" i="8" s="1"/>
  <c r="AE23" i="8" s="1"/>
  <c r="X23" i="8"/>
  <c r="AA23" i="8" s="1"/>
  <c r="W23" i="8"/>
  <c r="Z22" i="8" s="1"/>
  <c r="Y22" i="8"/>
  <c r="AB22" i="8" s="1"/>
  <c r="X22" i="8"/>
  <c r="AA22" i="8" s="1"/>
  <c r="X21" i="8"/>
  <c r="AA21" i="8" s="1"/>
  <c r="AC20" i="8"/>
  <c r="Y20" i="8"/>
  <c r="AB20" i="8" s="1"/>
  <c r="AE19" i="8" s="1"/>
  <c r="AE20" i="8" s="1"/>
  <c r="X20" i="8"/>
  <c r="AD19" i="8" s="1"/>
  <c r="AD20" i="8" s="1"/>
  <c r="W20" i="8"/>
  <c r="Z19" i="8" s="1"/>
  <c r="Y19" i="8"/>
  <c r="AB19" i="8" s="1"/>
  <c r="X19" i="8"/>
  <c r="AA19" i="8" s="1"/>
  <c r="X18" i="8"/>
  <c r="AA18" i="8" s="1"/>
  <c r="AC17" i="8"/>
  <c r="Y17" i="8"/>
  <c r="AB17" i="8" s="1"/>
  <c r="X17" i="8"/>
  <c r="AA17" i="8" s="1"/>
  <c r="W17" i="8"/>
  <c r="Z16" i="8" s="1"/>
  <c r="Y16" i="8"/>
  <c r="X16" i="8"/>
  <c r="G6" i="9"/>
  <c r="I6" i="9" s="1"/>
  <c r="G7" i="9"/>
  <c r="I7" i="9" s="1"/>
  <c r="G8" i="9"/>
  <c r="I8" i="9" s="1"/>
  <c r="G9" i="9"/>
  <c r="I9" i="9" s="1"/>
  <c r="K9" i="9" s="1"/>
  <c r="N9" i="9" s="1"/>
  <c r="G10" i="9"/>
  <c r="I10" i="9" s="1"/>
  <c r="G11" i="9"/>
  <c r="G12" i="9"/>
  <c r="I12" i="9" s="1"/>
  <c r="G13" i="9"/>
  <c r="I13" i="9" s="1"/>
  <c r="G14" i="9"/>
  <c r="I14" i="9" s="1"/>
  <c r="G15" i="9"/>
  <c r="I15" i="9" s="1"/>
  <c r="G16" i="9"/>
  <c r="I16" i="9" s="1"/>
  <c r="G17" i="9"/>
  <c r="I17" i="9" s="1"/>
  <c r="G18" i="9"/>
  <c r="I18" i="9" s="1"/>
  <c r="G19" i="9"/>
  <c r="I19" i="9" s="1"/>
  <c r="G20" i="9"/>
  <c r="I20" i="9" s="1"/>
  <c r="G5" i="9"/>
  <c r="I5" i="9" s="1"/>
  <c r="J5" i="9" s="1"/>
  <c r="N6" i="7"/>
  <c r="O6" i="7"/>
  <c r="P6" i="7"/>
  <c r="N7" i="7"/>
  <c r="O7" i="7"/>
  <c r="P7" i="7"/>
  <c r="N8" i="7"/>
  <c r="O8" i="7"/>
  <c r="P8" i="7"/>
  <c r="N9" i="7"/>
  <c r="O9" i="7"/>
  <c r="P9" i="7"/>
  <c r="N10" i="7"/>
  <c r="O10" i="7"/>
  <c r="P10" i="7"/>
  <c r="N11" i="7"/>
  <c r="O11" i="7"/>
  <c r="P11" i="7"/>
  <c r="N12" i="7"/>
  <c r="O12" i="7"/>
  <c r="P12" i="7"/>
  <c r="N13" i="7"/>
  <c r="O13" i="7"/>
  <c r="P13" i="7"/>
  <c r="N14" i="7"/>
  <c r="O14" i="7"/>
  <c r="P14" i="7"/>
  <c r="N15" i="7"/>
  <c r="O15" i="7"/>
  <c r="P15" i="7"/>
  <c r="N16" i="7"/>
  <c r="O16" i="7"/>
  <c r="P16" i="7"/>
  <c r="N17" i="7"/>
  <c r="O17" i="7"/>
  <c r="P17" i="7"/>
  <c r="N18" i="7"/>
  <c r="O18" i="7"/>
  <c r="P18" i="7"/>
  <c r="N19" i="7"/>
  <c r="O19" i="7"/>
  <c r="P19" i="7"/>
  <c r="N20" i="7"/>
  <c r="O20" i="7"/>
  <c r="P20" i="7"/>
  <c r="P5" i="7"/>
  <c r="O5" i="7"/>
  <c r="N5" i="7"/>
  <c r="P64" i="7"/>
  <c r="O64" i="7"/>
  <c r="N64" i="7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C23" i="4"/>
  <c r="C22" i="4"/>
  <c r="C21" i="4"/>
  <c r="AW4" i="3"/>
  <c r="AW5" i="3"/>
  <c r="AW6" i="3"/>
  <c r="AW7" i="3"/>
  <c r="AW8" i="3"/>
  <c r="AW9" i="3"/>
  <c r="AW20" i="3" s="1"/>
  <c r="AW10" i="3"/>
  <c r="AW22" i="3" s="1"/>
  <c r="AW11" i="3"/>
  <c r="AW21" i="3" s="1"/>
  <c r="AW12" i="3"/>
  <c r="AW13" i="3"/>
  <c r="AW14" i="3"/>
  <c r="AW15" i="3"/>
  <c r="AW16" i="3"/>
  <c r="AW17" i="3"/>
  <c r="AW18" i="3"/>
  <c r="AW3" i="3"/>
  <c r="AY4" i="3"/>
  <c r="AZ4" i="3"/>
  <c r="BA4" i="3"/>
  <c r="BB4" i="3"/>
  <c r="AY5" i="3"/>
  <c r="AZ5" i="3"/>
  <c r="AZ20" i="3" s="1"/>
  <c r="BA5" i="3"/>
  <c r="BA20" i="3" s="1"/>
  <c r="BB5" i="3"/>
  <c r="BB21" i="3" s="1"/>
  <c r="AY6" i="3"/>
  <c r="AZ6" i="3"/>
  <c r="BA6" i="3"/>
  <c r="BB6" i="3"/>
  <c r="BB22" i="3" s="1"/>
  <c r="AY7" i="3"/>
  <c r="AZ7" i="3"/>
  <c r="BA7" i="3"/>
  <c r="BB7" i="3"/>
  <c r="AY8" i="3"/>
  <c r="AZ8" i="3"/>
  <c r="BA8" i="3"/>
  <c r="BB8" i="3"/>
  <c r="AY9" i="3"/>
  <c r="AZ9" i="3"/>
  <c r="BA9" i="3"/>
  <c r="BB9" i="3"/>
  <c r="AY10" i="3"/>
  <c r="AZ10" i="3"/>
  <c r="BA10" i="3"/>
  <c r="BB10" i="3"/>
  <c r="AY11" i="3"/>
  <c r="AZ11" i="3"/>
  <c r="BA11" i="3"/>
  <c r="BB11" i="3"/>
  <c r="AY12" i="3"/>
  <c r="AZ12" i="3"/>
  <c r="BA12" i="3"/>
  <c r="BB12" i="3"/>
  <c r="AY13" i="3"/>
  <c r="AZ13" i="3"/>
  <c r="BA13" i="3"/>
  <c r="BB13" i="3"/>
  <c r="AY14" i="3"/>
  <c r="AZ14" i="3"/>
  <c r="BA14" i="3"/>
  <c r="BB14" i="3"/>
  <c r="AY15" i="3"/>
  <c r="AZ15" i="3"/>
  <c r="BA15" i="3"/>
  <c r="BB15" i="3"/>
  <c r="AY16" i="3"/>
  <c r="AZ16" i="3"/>
  <c r="BA16" i="3"/>
  <c r="BB16" i="3"/>
  <c r="AY17" i="3"/>
  <c r="AZ17" i="3"/>
  <c r="BA17" i="3"/>
  <c r="BB17" i="3"/>
  <c r="AY18" i="3"/>
  <c r="AZ18" i="3"/>
  <c r="BA18" i="3"/>
  <c r="BB18" i="3"/>
  <c r="BC4" i="3"/>
  <c r="BC21" i="3" s="1"/>
  <c r="BC5" i="3"/>
  <c r="BC6" i="3"/>
  <c r="BC7" i="3"/>
  <c r="BC8" i="3"/>
  <c r="BC20" i="3" s="1"/>
  <c r="BC9" i="3"/>
  <c r="BC10" i="3"/>
  <c r="BC11" i="3"/>
  <c r="BC12" i="3"/>
  <c r="BC13" i="3"/>
  <c r="BC14" i="3"/>
  <c r="BC15" i="3"/>
  <c r="BC16" i="3"/>
  <c r="BC17" i="3"/>
  <c r="BC18" i="3"/>
  <c r="BC3" i="3"/>
  <c r="BD4" i="3"/>
  <c r="BD5" i="3"/>
  <c r="BD6" i="3"/>
  <c r="BD7" i="3"/>
  <c r="BD8" i="3"/>
  <c r="BD9" i="3"/>
  <c r="BD10" i="3"/>
  <c r="BD11" i="3"/>
  <c r="BD12" i="3"/>
  <c r="BD13" i="3"/>
  <c r="BD14" i="3"/>
  <c r="BD15" i="3"/>
  <c r="BD21" i="3" s="1"/>
  <c r="BD16" i="3"/>
  <c r="BD17" i="3"/>
  <c r="BD18" i="3"/>
  <c r="BD3" i="3"/>
  <c r="BB3" i="3"/>
  <c r="BA3" i="3"/>
  <c r="AZ3" i="3"/>
  <c r="AY3" i="3"/>
  <c r="AX4" i="3"/>
  <c r="AX5" i="3"/>
  <c r="AX6" i="3"/>
  <c r="AX22" i="3" s="1"/>
  <c r="AX7" i="3"/>
  <c r="AX8" i="3"/>
  <c r="AX9" i="3"/>
  <c r="AX10" i="3"/>
  <c r="AX11" i="3"/>
  <c r="AX12" i="3"/>
  <c r="AX13" i="3"/>
  <c r="AX14" i="3"/>
  <c r="AX20" i="3" s="1"/>
  <c r="AX15" i="3"/>
  <c r="AX21" i="3" s="1"/>
  <c r="AX16" i="3"/>
  <c r="AX17" i="3"/>
  <c r="AX18" i="3"/>
  <c r="AX3" i="3"/>
  <c r="AV4" i="3"/>
  <c r="AV5" i="3"/>
  <c r="AV6" i="3"/>
  <c r="AV7" i="3"/>
  <c r="AV8" i="3"/>
  <c r="AV9" i="3"/>
  <c r="AV20" i="3" s="1"/>
  <c r="AV10" i="3"/>
  <c r="AV11" i="3"/>
  <c r="AV21" i="3" s="1"/>
  <c r="AV12" i="3"/>
  <c r="AV13" i="3"/>
  <c r="AV14" i="3"/>
  <c r="AV22" i="3" s="1"/>
  <c r="AV15" i="3"/>
  <c r="AV16" i="3"/>
  <c r="AV17" i="3"/>
  <c r="AV18" i="3"/>
  <c r="AV3" i="3"/>
  <c r="AU4" i="3"/>
  <c r="AU5" i="3"/>
  <c r="AU6" i="3"/>
  <c r="AU7" i="3"/>
  <c r="AU21" i="3" s="1"/>
  <c r="AU8" i="3"/>
  <c r="AU9" i="3"/>
  <c r="AU10" i="3"/>
  <c r="AU11" i="3"/>
  <c r="AU12" i="3"/>
  <c r="AU13" i="3"/>
  <c r="AU14" i="3"/>
  <c r="AU15" i="3"/>
  <c r="AU16" i="3"/>
  <c r="AU17" i="3"/>
  <c r="AU18" i="3"/>
  <c r="AU3" i="3"/>
  <c r="AT4" i="3"/>
  <c r="AT5" i="3"/>
  <c r="AT21" i="3" s="1"/>
  <c r="AT6" i="3"/>
  <c r="AT7" i="3"/>
  <c r="AT8" i="3"/>
  <c r="AT9" i="3"/>
  <c r="AT10" i="3"/>
  <c r="AT22" i="3" s="1"/>
  <c r="AT11" i="3"/>
  <c r="AT12" i="3"/>
  <c r="AT20" i="3" s="1"/>
  <c r="AT13" i="3"/>
  <c r="AT14" i="3"/>
  <c r="AT15" i="3"/>
  <c r="AT16" i="3"/>
  <c r="AT17" i="3"/>
  <c r="AT18" i="3"/>
  <c r="AT3" i="3"/>
  <c r="AS4" i="3"/>
  <c r="AS5" i="3"/>
  <c r="AS6" i="3"/>
  <c r="AS7" i="3"/>
  <c r="AS8" i="3"/>
  <c r="AS22" i="3" s="1"/>
  <c r="AS9" i="3"/>
  <c r="AS20" i="3" s="1"/>
  <c r="AS10" i="3"/>
  <c r="AS11" i="3"/>
  <c r="AS12" i="3"/>
  <c r="AS13" i="3"/>
  <c r="AS14" i="3"/>
  <c r="AS21" i="3" s="1"/>
  <c r="AS15" i="3"/>
  <c r="AS16" i="3"/>
  <c r="AS17" i="3"/>
  <c r="AS18" i="3"/>
  <c r="AS3" i="3"/>
  <c r="AR4" i="3"/>
  <c r="AR5" i="3"/>
  <c r="AR6" i="3"/>
  <c r="AR20" i="3" s="1"/>
  <c r="AR7" i="3"/>
  <c r="AR8" i="3"/>
  <c r="AR9" i="3"/>
  <c r="AR10" i="3"/>
  <c r="AR11" i="3"/>
  <c r="AR12" i="3"/>
  <c r="AR13" i="3"/>
  <c r="AR14" i="3"/>
  <c r="AR15" i="3"/>
  <c r="AR16" i="3"/>
  <c r="AR17" i="3"/>
  <c r="AR18" i="3"/>
  <c r="AR3" i="3"/>
  <c r="AQ4" i="3"/>
  <c r="AQ5" i="3"/>
  <c r="AQ6" i="3"/>
  <c r="AQ7" i="3"/>
  <c r="AQ8" i="3"/>
  <c r="AQ21" i="3" s="1"/>
  <c r="AQ9" i="3"/>
  <c r="AQ10" i="3"/>
  <c r="AQ11" i="3"/>
  <c r="AQ12" i="3"/>
  <c r="AQ13" i="3"/>
  <c r="AQ20" i="3" s="1"/>
  <c r="AQ14" i="3"/>
  <c r="AQ15" i="3"/>
  <c r="AQ22" i="3" s="1"/>
  <c r="AQ16" i="3"/>
  <c r="AQ17" i="3"/>
  <c r="AQ18" i="3"/>
  <c r="AQ3" i="3"/>
  <c r="AP4" i="3"/>
  <c r="AP5" i="3"/>
  <c r="AP21" i="3" s="1"/>
  <c r="AP6" i="3"/>
  <c r="AP7" i="3"/>
  <c r="AP8" i="3"/>
  <c r="AP9" i="3"/>
  <c r="AP20" i="3" s="1"/>
  <c r="AP10" i="3"/>
  <c r="AP11" i="3"/>
  <c r="AP12" i="3"/>
  <c r="AP13" i="3"/>
  <c r="AP22" i="3" s="1"/>
  <c r="AP14" i="3"/>
  <c r="AP15" i="3"/>
  <c r="AP16" i="3"/>
  <c r="AP17" i="3"/>
  <c r="AP18" i="3"/>
  <c r="AP3" i="3"/>
  <c r="AO4" i="3"/>
  <c r="AO5" i="3"/>
  <c r="AO20" i="3" s="1"/>
  <c r="AO6" i="3"/>
  <c r="AO7" i="3"/>
  <c r="AO8" i="3"/>
  <c r="AO9" i="3"/>
  <c r="AO10" i="3"/>
  <c r="AO11" i="3"/>
  <c r="AO22" i="3" s="1"/>
  <c r="AO12" i="3"/>
  <c r="AO13" i="3"/>
  <c r="AO21" i="3" s="1"/>
  <c r="AO14" i="3"/>
  <c r="AO15" i="3"/>
  <c r="AO16" i="3"/>
  <c r="AO17" i="3"/>
  <c r="AO18" i="3"/>
  <c r="AO3" i="3"/>
  <c r="AN4" i="3"/>
  <c r="AN5" i="3"/>
  <c r="AN6" i="3"/>
  <c r="AN7" i="3"/>
  <c r="AN8" i="3"/>
  <c r="AN9" i="3"/>
  <c r="AN22" i="3" s="1"/>
  <c r="AN10" i="3"/>
  <c r="AN21" i="3" s="1"/>
  <c r="AN11" i="3"/>
  <c r="AN12" i="3"/>
  <c r="AN13" i="3"/>
  <c r="AN20" i="3" s="1"/>
  <c r="AN14" i="3"/>
  <c r="AN15" i="3"/>
  <c r="AN16" i="3"/>
  <c r="AN17" i="3"/>
  <c r="AN18" i="3"/>
  <c r="AN3" i="3"/>
  <c r="AM4" i="3"/>
  <c r="AM5" i="3"/>
  <c r="AM6" i="3"/>
  <c r="AM7" i="3"/>
  <c r="AM22" i="3" s="1"/>
  <c r="AM8" i="3"/>
  <c r="AM9" i="3"/>
  <c r="AM21" i="3" s="1"/>
  <c r="AM10" i="3"/>
  <c r="AM11" i="3"/>
  <c r="AM12" i="3"/>
  <c r="AM13" i="3"/>
  <c r="AM14" i="3"/>
  <c r="AM15" i="3"/>
  <c r="AM16" i="3"/>
  <c r="AM17" i="3"/>
  <c r="AM18" i="3"/>
  <c r="AM3" i="3"/>
  <c r="AL4" i="3"/>
  <c r="AL5" i="3"/>
  <c r="AL6" i="3"/>
  <c r="AL20" i="3" s="1"/>
  <c r="AL7" i="3"/>
  <c r="AL8" i="3"/>
  <c r="AL9" i="3"/>
  <c r="AL10" i="3"/>
  <c r="AL11" i="3"/>
  <c r="AL12" i="3"/>
  <c r="AL13" i="3"/>
  <c r="AL14" i="3"/>
  <c r="AL15" i="3"/>
  <c r="AL16" i="3"/>
  <c r="AL17" i="3"/>
  <c r="AL18" i="3"/>
  <c r="AL3" i="3"/>
  <c r="AK4" i="3"/>
  <c r="AK5" i="3"/>
  <c r="AK6" i="3"/>
  <c r="AK7" i="3"/>
  <c r="AK8" i="3"/>
  <c r="AK9" i="3"/>
  <c r="AK10" i="3"/>
  <c r="AK11" i="3"/>
  <c r="AK12" i="3"/>
  <c r="AK13" i="3"/>
  <c r="AK14" i="3"/>
  <c r="AK20" i="3" s="1"/>
  <c r="AK15" i="3"/>
  <c r="AK16" i="3"/>
  <c r="AK17" i="3"/>
  <c r="AK18" i="3"/>
  <c r="AK3" i="3"/>
  <c r="AJ4" i="3"/>
  <c r="AJ5" i="3"/>
  <c r="AJ6" i="3"/>
  <c r="AJ7" i="3"/>
  <c r="AJ8" i="3"/>
  <c r="AJ9" i="3"/>
  <c r="AJ10" i="3"/>
  <c r="AJ20" i="3" s="1"/>
  <c r="AJ11" i="3"/>
  <c r="AJ21" i="3" s="1"/>
  <c r="AJ12" i="3"/>
  <c r="AJ22" i="3" s="1"/>
  <c r="AJ13" i="3"/>
  <c r="AJ14" i="3"/>
  <c r="AJ15" i="3"/>
  <c r="AJ16" i="3"/>
  <c r="AJ17" i="3"/>
  <c r="AJ18" i="3"/>
  <c r="AJ3" i="3"/>
  <c r="AI4" i="3"/>
  <c r="AI5" i="3"/>
  <c r="AI20" i="3" s="1"/>
  <c r="AI6" i="3"/>
  <c r="AI7" i="3"/>
  <c r="AI8" i="3"/>
  <c r="AI21" i="3" s="1"/>
  <c r="AI9" i="3"/>
  <c r="AI10" i="3"/>
  <c r="AI22" i="3" s="1"/>
  <c r="AI11" i="3"/>
  <c r="AI12" i="3"/>
  <c r="AI13" i="3"/>
  <c r="AI14" i="3"/>
  <c r="AI15" i="3"/>
  <c r="AI16" i="3"/>
  <c r="AI17" i="3"/>
  <c r="AI18" i="3"/>
  <c r="AI3" i="3"/>
  <c r="AH4" i="3"/>
  <c r="AH5" i="3"/>
  <c r="AH6" i="3"/>
  <c r="AH7" i="3"/>
  <c r="AH22" i="3" s="1"/>
  <c r="AH8" i="3"/>
  <c r="AH9" i="3"/>
  <c r="AH10" i="3"/>
  <c r="AH11" i="3"/>
  <c r="AH12" i="3"/>
  <c r="AH13" i="3"/>
  <c r="AH20" i="3" s="1"/>
  <c r="AH14" i="3"/>
  <c r="AH15" i="3"/>
  <c r="AH16" i="3"/>
  <c r="AH17" i="3"/>
  <c r="AH18" i="3"/>
  <c r="AH3" i="3"/>
  <c r="AG20" i="3"/>
  <c r="AY20" i="3"/>
  <c r="AG21" i="3"/>
  <c r="AH21" i="3"/>
  <c r="AY21" i="3"/>
  <c r="AZ21" i="3"/>
  <c r="BA21" i="3"/>
  <c r="AG22" i="3"/>
  <c r="AL22" i="3"/>
  <c r="AR22" i="3"/>
  <c r="AY22" i="3"/>
  <c r="AZ22" i="3"/>
  <c r="BA22" i="3"/>
  <c r="BD22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C22" i="3"/>
  <c r="C21" i="3"/>
  <c r="C20" i="3"/>
  <c r="AG4" i="3"/>
  <c r="AG5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3" i="3"/>
  <c r="C22" i="5"/>
  <c r="L38" i="2"/>
  <c r="K38" i="2"/>
  <c r="W38" i="2" s="1"/>
  <c r="J38" i="2"/>
  <c r="Z38" i="2" s="1"/>
  <c r="I38" i="2"/>
  <c r="AG38" i="2" s="1"/>
  <c r="H38" i="2"/>
  <c r="G38" i="2"/>
  <c r="F38" i="2"/>
  <c r="E38" i="2"/>
  <c r="D38" i="2"/>
  <c r="C38" i="2"/>
  <c r="L37" i="2"/>
  <c r="K37" i="2"/>
  <c r="J37" i="2"/>
  <c r="S37" i="2" s="1"/>
  <c r="I37" i="2"/>
  <c r="R37" i="2" s="1"/>
  <c r="H37" i="2"/>
  <c r="G37" i="2"/>
  <c r="F37" i="2"/>
  <c r="E37" i="2"/>
  <c r="D37" i="2"/>
  <c r="C37" i="2"/>
  <c r="L36" i="2"/>
  <c r="K36" i="2"/>
  <c r="J36" i="2"/>
  <c r="I36" i="2"/>
  <c r="R36" i="2" s="1"/>
  <c r="H36" i="2"/>
  <c r="G36" i="2"/>
  <c r="F36" i="2"/>
  <c r="E36" i="2"/>
  <c r="D36" i="2"/>
  <c r="C36" i="2"/>
  <c r="L35" i="2"/>
  <c r="K35" i="2"/>
  <c r="J35" i="2"/>
  <c r="S35" i="2" s="1"/>
  <c r="I35" i="2"/>
  <c r="AG35" i="2" s="1"/>
  <c r="H35" i="2"/>
  <c r="G35" i="2"/>
  <c r="F35" i="2"/>
  <c r="E35" i="2"/>
  <c r="D35" i="2"/>
  <c r="C35" i="2"/>
  <c r="P35" i="2" s="1"/>
  <c r="L34" i="2"/>
  <c r="K34" i="2"/>
  <c r="Q34" i="2" s="1"/>
  <c r="J34" i="2"/>
  <c r="S34" i="2" s="1"/>
  <c r="I34" i="2"/>
  <c r="H34" i="2"/>
  <c r="G34" i="2"/>
  <c r="F34" i="2"/>
  <c r="AA34" i="2" s="1"/>
  <c r="E34" i="2"/>
  <c r="D34" i="2"/>
  <c r="C34" i="2"/>
  <c r="P34" i="2" s="1"/>
  <c r="L33" i="2"/>
  <c r="K33" i="2"/>
  <c r="Q33" i="2" s="1"/>
  <c r="J33" i="2"/>
  <c r="S33" i="2" s="1"/>
  <c r="I33" i="2"/>
  <c r="H33" i="2"/>
  <c r="G33" i="2"/>
  <c r="F33" i="2"/>
  <c r="E33" i="2"/>
  <c r="D33" i="2"/>
  <c r="C33" i="2"/>
  <c r="P33" i="2" s="1"/>
  <c r="L32" i="2"/>
  <c r="K32" i="2"/>
  <c r="J32" i="2"/>
  <c r="S32" i="2" s="1"/>
  <c r="I32" i="2"/>
  <c r="R32" i="2" s="1"/>
  <c r="H32" i="2"/>
  <c r="G32" i="2"/>
  <c r="F32" i="2"/>
  <c r="E32" i="2"/>
  <c r="D32" i="2"/>
  <c r="C32" i="2"/>
  <c r="AF32" i="2" s="1"/>
  <c r="L31" i="2"/>
  <c r="K31" i="2"/>
  <c r="Q31" i="2" s="1"/>
  <c r="J31" i="2"/>
  <c r="S31" i="2" s="1"/>
  <c r="I31" i="2"/>
  <c r="R31" i="2" s="1"/>
  <c r="H31" i="2"/>
  <c r="G31" i="2"/>
  <c r="F31" i="2"/>
  <c r="E31" i="2"/>
  <c r="D31" i="2"/>
  <c r="C31" i="2"/>
  <c r="L30" i="2"/>
  <c r="K30" i="2"/>
  <c r="Q30" i="2" s="1"/>
  <c r="J30" i="2"/>
  <c r="I30" i="2"/>
  <c r="R30" i="2" s="1"/>
  <c r="H30" i="2"/>
  <c r="G30" i="2"/>
  <c r="F30" i="2"/>
  <c r="E30" i="2"/>
  <c r="D30" i="2"/>
  <c r="C30" i="2"/>
  <c r="L29" i="2"/>
  <c r="K29" i="2"/>
  <c r="J29" i="2"/>
  <c r="S29" i="2" s="1"/>
  <c r="I29" i="2"/>
  <c r="AG29" i="2" s="1"/>
  <c r="H29" i="2"/>
  <c r="G29" i="2"/>
  <c r="F29" i="2"/>
  <c r="E29" i="2"/>
  <c r="D29" i="2"/>
  <c r="C29" i="2"/>
  <c r="AD29" i="2" s="1"/>
  <c r="L28" i="2"/>
  <c r="K28" i="2"/>
  <c r="J28" i="2"/>
  <c r="I28" i="2"/>
  <c r="H28" i="2"/>
  <c r="G28" i="2"/>
  <c r="F28" i="2"/>
  <c r="AA28" i="2" s="1"/>
  <c r="E28" i="2"/>
  <c r="D28" i="2"/>
  <c r="C28" i="2"/>
  <c r="P28" i="2" s="1"/>
  <c r="L27" i="2"/>
  <c r="K27" i="2"/>
  <c r="Q27" i="2" s="1"/>
  <c r="J27" i="2"/>
  <c r="S27" i="2" s="1"/>
  <c r="I27" i="2"/>
  <c r="R27" i="2" s="1"/>
  <c r="H27" i="2"/>
  <c r="G27" i="2"/>
  <c r="F27" i="2"/>
  <c r="E27" i="2"/>
  <c r="D27" i="2"/>
  <c r="C27" i="2"/>
  <c r="P27" i="2" s="1"/>
  <c r="L26" i="2"/>
  <c r="K26" i="2"/>
  <c r="J26" i="2"/>
  <c r="S26" i="2" s="1"/>
  <c r="I26" i="2"/>
  <c r="R26" i="2" s="1"/>
  <c r="H26" i="2"/>
  <c r="G26" i="2"/>
  <c r="F26" i="2"/>
  <c r="E26" i="2"/>
  <c r="D26" i="2"/>
  <c r="C26" i="2"/>
  <c r="L25" i="2"/>
  <c r="K25" i="2"/>
  <c r="Q25" i="2" s="1"/>
  <c r="J25" i="2"/>
  <c r="S25" i="2" s="1"/>
  <c r="I25" i="2"/>
  <c r="R25" i="2" s="1"/>
  <c r="H25" i="2"/>
  <c r="G25" i="2"/>
  <c r="F25" i="2"/>
  <c r="E25" i="2"/>
  <c r="D25" i="2"/>
  <c r="C25" i="2"/>
  <c r="L24" i="2"/>
  <c r="K24" i="2"/>
  <c r="J24" i="2"/>
  <c r="I24" i="2"/>
  <c r="R24" i="2" s="1"/>
  <c r="H24" i="2"/>
  <c r="G24" i="2"/>
  <c r="F24" i="2"/>
  <c r="E24" i="2"/>
  <c r="D24" i="2"/>
  <c r="C24" i="2"/>
  <c r="L23" i="2"/>
  <c r="K23" i="2"/>
  <c r="J23" i="2"/>
  <c r="S23" i="2" s="1"/>
  <c r="I23" i="2"/>
  <c r="H23" i="2"/>
  <c r="G23" i="2"/>
  <c r="F23" i="2"/>
  <c r="E23" i="2"/>
  <c r="D23" i="2"/>
  <c r="C23" i="2"/>
  <c r="AD23" i="2" s="1"/>
  <c r="K19" i="8" l="1"/>
  <c r="N19" i="8" s="1"/>
  <c r="K7" i="8"/>
  <c r="M7" i="8" s="1"/>
  <c r="P7" i="8" s="1"/>
  <c r="K13" i="8"/>
  <c r="M13" i="8" s="1"/>
  <c r="P13" i="8" s="1"/>
  <c r="K17" i="8"/>
  <c r="N17" i="8" s="1"/>
  <c r="K11" i="8"/>
  <c r="N11" i="8" s="1"/>
  <c r="H22" i="8"/>
  <c r="G23" i="8"/>
  <c r="G22" i="8"/>
  <c r="H40" i="2"/>
  <c r="K42" i="2"/>
  <c r="F41" i="2"/>
  <c r="I42" i="2"/>
  <c r="D40" i="2"/>
  <c r="E40" i="2"/>
  <c r="F40" i="2"/>
  <c r="G40" i="2"/>
  <c r="L42" i="2"/>
  <c r="I41" i="2"/>
  <c r="I40" i="2"/>
  <c r="K41" i="2"/>
  <c r="C40" i="2"/>
  <c r="AA33" i="2"/>
  <c r="J40" i="2"/>
  <c r="L41" i="2"/>
  <c r="AG28" i="2"/>
  <c r="K40" i="2"/>
  <c r="C42" i="2"/>
  <c r="L40" i="2"/>
  <c r="D42" i="2"/>
  <c r="AJ24" i="2"/>
  <c r="T27" i="2"/>
  <c r="AG33" i="2"/>
  <c r="AJ36" i="2"/>
  <c r="C41" i="2"/>
  <c r="E42" i="2"/>
  <c r="AH32" i="2"/>
  <c r="D41" i="2"/>
  <c r="F42" i="2"/>
  <c r="E41" i="2"/>
  <c r="G42" i="2"/>
  <c r="Q23" i="2"/>
  <c r="H42" i="2"/>
  <c r="G41" i="2"/>
  <c r="H41" i="2"/>
  <c r="J42" i="2"/>
  <c r="J41" i="2"/>
  <c r="M19" i="8"/>
  <c r="P19" i="8" s="1"/>
  <c r="L19" i="8"/>
  <c r="O19" i="8" s="1"/>
  <c r="M15" i="8"/>
  <c r="P15" i="8" s="1"/>
  <c r="N15" i="8"/>
  <c r="M9" i="8"/>
  <c r="P9" i="8" s="1"/>
  <c r="L14" i="8"/>
  <c r="L7" i="8"/>
  <c r="O7" i="8" s="1"/>
  <c r="L17" i="8"/>
  <c r="M17" i="8"/>
  <c r="P17" i="8" s="1"/>
  <c r="L10" i="8"/>
  <c r="O10" i="8" s="1"/>
  <c r="M16" i="8"/>
  <c r="P16" i="8" s="1"/>
  <c r="L13" i="8"/>
  <c r="O13" i="8" s="1"/>
  <c r="M11" i="8"/>
  <c r="P11" i="8" s="1"/>
  <c r="N7" i="8"/>
  <c r="L6" i="8"/>
  <c r="O6" i="8" s="1"/>
  <c r="L16" i="8"/>
  <c r="M14" i="8"/>
  <c r="P14" i="8" s="1"/>
  <c r="N6" i="8"/>
  <c r="N8" i="8"/>
  <c r="N10" i="8"/>
  <c r="N12" i="8"/>
  <c r="N18" i="8"/>
  <c r="N20" i="8"/>
  <c r="N9" i="8"/>
  <c r="L8" i="8"/>
  <c r="O8" i="8" s="1"/>
  <c r="L18" i="8"/>
  <c r="O18" i="8" s="1"/>
  <c r="M12" i="8"/>
  <c r="P12" i="8" s="1"/>
  <c r="M20" i="8"/>
  <c r="P20" i="8" s="1"/>
  <c r="J15" i="9"/>
  <c r="K15" i="9"/>
  <c r="N15" i="9" s="1"/>
  <c r="J13" i="9"/>
  <c r="K13" i="9"/>
  <c r="N13" i="9" s="1"/>
  <c r="L13" i="9"/>
  <c r="J17" i="9"/>
  <c r="K17" i="9"/>
  <c r="N17" i="9" s="1"/>
  <c r="L9" i="9"/>
  <c r="L15" i="9"/>
  <c r="L17" i="9"/>
  <c r="K5" i="8"/>
  <c r="M5" i="8" s="1"/>
  <c r="P5" i="8" s="1"/>
  <c r="J6" i="9"/>
  <c r="K6" i="9"/>
  <c r="N6" i="9" s="1"/>
  <c r="J20" i="9"/>
  <c r="K20" i="9"/>
  <c r="N20" i="9" s="1"/>
  <c r="K19" i="9"/>
  <c r="N19" i="9" s="1"/>
  <c r="L19" i="9"/>
  <c r="J19" i="9"/>
  <c r="M19" i="9" s="1"/>
  <c r="J18" i="9"/>
  <c r="K18" i="9"/>
  <c r="N18" i="9" s="1"/>
  <c r="J12" i="9"/>
  <c r="K12" i="9"/>
  <c r="N12" i="9" s="1"/>
  <c r="L12" i="9"/>
  <c r="J8" i="9"/>
  <c r="K8" i="9"/>
  <c r="N8" i="9" s="1"/>
  <c r="K7" i="9"/>
  <c r="N7" i="9" s="1"/>
  <c r="L7" i="9"/>
  <c r="J7" i="9"/>
  <c r="M7" i="9" s="1"/>
  <c r="J14" i="9"/>
  <c r="K14" i="9"/>
  <c r="N14" i="9" s="1"/>
  <c r="L14" i="9"/>
  <c r="L11" i="9"/>
  <c r="J10" i="9"/>
  <c r="K10" i="9"/>
  <c r="N10" i="9" s="1"/>
  <c r="J16" i="9"/>
  <c r="M16" i="9" s="1"/>
  <c r="K16" i="9"/>
  <c r="N16" i="9" s="1"/>
  <c r="L6" i="9"/>
  <c r="K5" i="9"/>
  <c r="J9" i="9"/>
  <c r="M9" i="9" s="1"/>
  <c r="I11" i="9"/>
  <c r="L8" i="9"/>
  <c r="L20" i="9"/>
  <c r="L18" i="9"/>
  <c r="L16" i="9"/>
  <c r="L10" i="9"/>
  <c r="L5" i="9"/>
  <c r="AB16" i="8"/>
  <c r="AD22" i="8"/>
  <c r="AD23" i="8" s="1"/>
  <c r="AA20" i="8"/>
  <c r="AD16" i="8"/>
  <c r="AD17" i="8" s="1"/>
  <c r="N5" i="9"/>
  <c r="BB20" i="3"/>
  <c r="BC22" i="3"/>
  <c r="BD20" i="3"/>
  <c r="AU22" i="3"/>
  <c r="AU20" i="3"/>
  <c r="AR21" i="3"/>
  <c r="AM20" i="3"/>
  <c r="AL21" i="3"/>
  <c r="AK22" i="3"/>
  <c r="AK21" i="3"/>
  <c r="AJ29" i="2"/>
  <c r="AH31" i="2"/>
  <c r="AA37" i="2"/>
  <c r="Z26" i="2"/>
  <c r="Z32" i="2"/>
  <c r="AI37" i="2"/>
  <c r="W36" i="2"/>
  <c r="Q38" i="2"/>
  <c r="AF25" i="2"/>
  <c r="AF31" i="2"/>
  <c r="AF37" i="2"/>
  <c r="AA26" i="2"/>
  <c r="AA32" i="2"/>
  <c r="AH38" i="2"/>
  <c r="R28" i="2"/>
  <c r="AJ23" i="2"/>
  <c r="AF29" i="2"/>
  <c r="Q32" i="2"/>
  <c r="AG26" i="2"/>
  <c r="Q26" i="2"/>
  <c r="W34" i="2"/>
  <c r="AI24" i="2"/>
  <c r="AI27" i="2"/>
  <c r="W29" i="2"/>
  <c r="X34" i="2"/>
  <c r="W35" i="2"/>
  <c r="AA38" i="2"/>
  <c r="AF35" i="2"/>
  <c r="AF28" i="2"/>
  <c r="AF34" i="2"/>
  <c r="X23" i="2"/>
  <c r="X26" i="2"/>
  <c r="AC38" i="2"/>
  <c r="R29" i="2"/>
  <c r="T29" i="2" s="1"/>
  <c r="P23" i="2"/>
  <c r="Y28" i="2"/>
  <c r="P29" i="2"/>
  <c r="W28" i="2"/>
  <c r="AF30" i="2"/>
  <c r="AH25" i="2"/>
  <c r="AA31" i="2"/>
  <c r="AH37" i="2"/>
  <c r="S38" i="2"/>
  <c r="Q35" i="2"/>
  <c r="T26" i="2"/>
  <c r="AJ35" i="2"/>
  <c r="AE35" i="2"/>
  <c r="P31" i="2"/>
  <c r="R38" i="2"/>
  <c r="AE23" i="2"/>
  <c r="AI23" i="2"/>
  <c r="T25" i="2"/>
  <c r="AJ28" i="2"/>
  <c r="AH30" i="2"/>
  <c r="AJ34" i="2"/>
  <c r="P30" i="2"/>
  <c r="T37" i="2"/>
  <c r="AG31" i="2"/>
  <c r="AJ27" i="2"/>
  <c r="AG30" i="2"/>
  <c r="AH35" i="2"/>
  <c r="AF27" i="2"/>
  <c r="Q24" i="2"/>
  <c r="AH23" i="2"/>
  <c r="AH29" i="2"/>
  <c r="AE33" i="2"/>
  <c r="AG36" i="2"/>
  <c r="Q37" i="2"/>
  <c r="AF33" i="2"/>
  <c r="Q36" i="2"/>
  <c r="AJ26" i="2"/>
  <c r="AJ32" i="2"/>
  <c r="R23" i="2"/>
  <c r="T23" i="2" s="1"/>
  <c r="S30" i="2"/>
  <c r="T30" i="2" s="1"/>
  <c r="AJ31" i="2"/>
  <c r="AI38" i="2"/>
  <c r="X27" i="2"/>
  <c r="Z34" i="2"/>
  <c r="T31" i="2"/>
  <c r="AG24" i="2"/>
  <c r="AG25" i="2"/>
  <c r="P32" i="2"/>
  <c r="AJ38" i="2"/>
  <c r="S28" i="2"/>
  <c r="T28" i="2" s="1"/>
  <c r="AJ30" i="2"/>
  <c r="AI26" i="2"/>
  <c r="R35" i="2"/>
  <c r="T35" i="2" s="1"/>
  <c r="AC23" i="2"/>
  <c r="Z33" i="2"/>
  <c r="AB35" i="2"/>
  <c r="AD35" i="2"/>
  <c r="AI25" i="2"/>
  <c r="P38" i="2"/>
  <c r="P26" i="2"/>
  <c r="R34" i="2"/>
  <c r="T34" i="2" s="1"/>
  <c r="AH24" i="2"/>
  <c r="AE29" i="2"/>
  <c r="AI30" i="2"/>
  <c r="AH36" i="2"/>
  <c r="AD31" i="2"/>
  <c r="AG37" i="2"/>
  <c r="P37" i="2"/>
  <c r="P25" i="2"/>
  <c r="Q29" i="2"/>
  <c r="R33" i="2"/>
  <c r="T33" i="2" s="1"/>
  <c r="AB34" i="2"/>
  <c r="AD30" i="2"/>
  <c r="AG32" i="2"/>
  <c r="P36" i="2"/>
  <c r="P24" i="2"/>
  <c r="Q28" i="2"/>
  <c r="S36" i="2"/>
  <c r="T36" i="2" s="1"/>
  <c r="S24" i="2"/>
  <c r="T24" i="2" s="1"/>
  <c r="T32" i="2"/>
  <c r="Z24" i="2"/>
  <c r="AI36" i="2"/>
  <c r="X29" i="2"/>
  <c r="AF26" i="2"/>
  <c r="X28" i="2"/>
  <c r="AG27" i="2"/>
  <c r="AE24" i="2"/>
  <c r="AA25" i="2"/>
  <c r="AH34" i="2"/>
  <c r="AH33" i="2"/>
  <c r="AE25" i="2"/>
  <c r="AI34" i="2"/>
  <c r="AF24" i="2"/>
  <c r="AI33" i="2"/>
  <c r="W24" i="2"/>
  <c r="AJ25" i="2"/>
  <c r="AE36" i="2"/>
  <c r="AC29" i="2"/>
  <c r="AE30" i="2"/>
  <c r="AH26" i="2"/>
  <c r="AI29" i="2"/>
  <c r="Z23" i="2"/>
  <c r="AI35" i="2"/>
  <c r="AE37" i="2"/>
  <c r="AJ37" i="2"/>
  <c r="AF36" i="2"/>
  <c r="AI32" i="2"/>
  <c r="Z27" i="2"/>
  <c r="Y35" i="2"/>
  <c r="Y34" i="2"/>
  <c r="AE31" i="2"/>
  <c r="AH28" i="2"/>
  <c r="AI31" i="2"/>
  <c r="AH27" i="2"/>
  <c r="AF38" i="2"/>
  <c r="AA27" i="2"/>
  <c r="AJ33" i="2"/>
  <c r="AC28" i="2"/>
  <c r="Z35" i="2"/>
  <c r="AA23" i="2"/>
  <c r="AA24" i="2"/>
  <c r="X25" i="2"/>
  <c r="AA29" i="2"/>
  <c r="AA30" i="2"/>
  <c r="AD34" i="2"/>
  <c r="AA35" i="2"/>
  <c r="AA36" i="2"/>
  <c r="AC37" i="2"/>
  <c r="AF23" i="2"/>
  <c r="AG34" i="2"/>
  <c r="AI28" i="2"/>
  <c r="W25" i="2"/>
  <c r="Z37" i="2"/>
  <c r="W23" i="2"/>
  <c r="AG23" i="2"/>
  <c r="AB27" i="2"/>
  <c r="Y27" i="2"/>
  <c r="AD27" i="2"/>
  <c r="X24" i="2"/>
  <c r="AC24" i="2"/>
  <c r="AD33" i="2"/>
  <c r="X33" i="2"/>
  <c r="W33" i="2"/>
  <c r="AC33" i="2"/>
  <c r="AB26" i="2"/>
  <c r="Y26" i="2"/>
  <c r="AD26" i="2"/>
  <c r="AE28" i="2"/>
  <c r="AD28" i="2"/>
  <c r="Z25" i="2"/>
  <c r="W31" i="2"/>
  <c r="Z31" i="2"/>
  <c r="AB31" i="2"/>
  <c r="Y31" i="2"/>
  <c r="X36" i="2"/>
  <c r="AC36" i="2"/>
  <c r="AB33" i="2"/>
  <c r="AE27" i="2"/>
  <c r="AD32" i="2"/>
  <c r="AC32" i="2"/>
  <c r="AE32" i="2"/>
  <c r="AB32" i="2"/>
  <c r="W37" i="2"/>
  <c r="Y32" i="2"/>
  <c r="AE26" i="2"/>
  <c r="AE38" i="2"/>
  <c r="AB25" i="2"/>
  <c r="X31" i="2"/>
  <c r="AB37" i="2"/>
  <c r="W26" i="2"/>
  <c r="Z36" i="2"/>
  <c r="AC26" i="2"/>
  <c r="Y33" i="2"/>
  <c r="W30" i="2"/>
  <c r="Z30" i="2"/>
  <c r="AB30" i="2"/>
  <c r="Y30" i="2"/>
  <c r="X35" i="2"/>
  <c r="AC35" i="2"/>
  <c r="AB38" i="2"/>
  <c r="Y38" i="2"/>
  <c r="AD38" i="2"/>
  <c r="X38" i="2"/>
  <c r="AE34" i="2"/>
  <c r="W27" i="2"/>
  <c r="AC27" i="2"/>
  <c r="AB24" i="2"/>
  <c r="X30" i="2"/>
  <c r="AB36" i="2"/>
  <c r="AC25" i="2"/>
  <c r="X37" i="2"/>
  <c r="Y29" i="2"/>
  <c r="AC34" i="2"/>
  <c r="AB29" i="2"/>
  <c r="AD37" i="2"/>
  <c r="AD25" i="2"/>
  <c r="Y23" i="2"/>
  <c r="AB28" i="2"/>
  <c r="AD36" i="2"/>
  <c r="AD24" i="2"/>
  <c r="AB23" i="2"/>
  <c r="AC31" i="2"/>
  <c r="X32" i="2"/>
  <c r="Y37" i="2"/>
  <c r="Y25" i="2"/>
  <c r="Z29" i="2"/>
  <c r="AC30" i="2"/>
  <c r="Y36" i="2"/>
  <c r="Y24" i="2"/>
  <c r="Z28" i="2"/>
  <c r="W32" i="2"/>
  <c r="N13" i="8" l="1"/>
  <c r="L5" i="8"/>
  <c r="L11" i="8"/>
  <c r="O11" i="8" s="1"/>
  <c r="N5" i="8"/>
  <c r="O14" i="8"/>
  <c r="O16" i="8"/>
  <c r="O12" i="8"/>
  <c r="O9" i="8"/>
  <c r="O20" i="8"/>
  <c r="O17" i="8"/>
  <c r="O15" i="8"/>
  <c r="M17" i="9"/>
  <c r="M13" i="9"/>
  <c r="M8" i="9"/>
  <c r="M6" i="9"/>
  <c r="M15" i="9"/>
  <c r="M10" i="9"/>
  <c r="M14" i="9"/>
  <c r="J11" i="9"/>
  <c r="K11" i="9"/>
  <c r="N11" i="9" s="1"/>
  <c r="M20" i="9"/>
  <c r="M12" i="9"/>
  <c r="M18" i="9"/>
  <c r="O5" i="8"/>
  <c r="M5" i="9"/>
  <c r="T38" i="2"/>
  <c r="M11" i="9" l="1"/>
</calcChain>
</file>

<file path=xl/sharedStrings.xml><?xml version="1.0" encoding="utf-8"?>
<sst xmlns="http://schemas.openxmlformats.org/spreadsheetml/2006/main" count="800" uniqueCount="213">
  <si>
    <t>Weight % Oxide</t>
  </si>
  <si>
    <t>Sample ID</t>
  </si>
  <si>
    <t>Al2O3</t>
  </si>
  <si>
    <t>SiO2</t>
  </si>
  <si>
    <t>TiO2</t>
  </si>
  <si>
    <t>Fe2O3</t>
  </si>
  <si>
    <t>MnO</t>
  </si>
  <si>
    <t>MgO</t>
  </si>
  <si>
    <t>CaO</t>
  </si>
  <si>
    <t>Na2O</t>
  </si>
  <si>
    <t>K2O</t>
  </si>
  <si>
    <t>P2O5</t>
  </si>
  <si>
    <t>Ba</t>
  </si>
  <si>
    <t>Be</t>
  </si>
  <si>
    <t>Co</t>
  </si>
  <si>
    <t>Cr</t>
  </si>
  <si>
    <t>Cs</t>
  </si>
  <si>
    <t>Cu</t>
  </si>
  <si>
    <t>Ga</t>
  </si>
  <si>
    <t>Hf</t>
  </si>
  <si>
    <t>Mo</t>
  </si>
  <si>
    <t>Nb</t>
  </si>
  <si>
    <t>Ni</t>
  </si>
  <si>
    <t>Pb</t>
  </si>
  <si>
    <t>Rb</t>
  </si>
  <si>
    <t>Sc</t>
  </si>
  <si>
    <t>Sn</t>
  </si>
  <si>
    <t>Sr</t>
  </si>
  <si>
    <t>Ta</t>
  </si>
  <si>
    <t>Th</t>
  </si>
  <si>
    <t>Tl</t>
  </si>
  <si>
    <t>U</t>
  </si>
  <si>
    <t>V</t>
  </si>
  <si>
    <t>W</t>
  </si>
  <si>
    <t>Y</t>
  </si>
  <si>
    <t>Zn</t>
  </si>
  <si>
    <t>Zr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</si>
  <si>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</si>
  <si>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</si>
  <si>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</si>
  <si>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</si>
  <si>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</si>
  <si>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</si>
  <si>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</si>
  <si>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</si>
  <si>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</si>
  <si>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</si>
  <si>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</si>
  <si>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</si>
  <si>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</si>
  <si>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</si>
  <si>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%</t>
  </si>
  <si>
    <t>ppm</t>
  </si>
  <si>
    <t>Sum</t>
  </si>
  <si>
    <t>Al2O3_LF</t>
  </si>
  <si>
    <t>SiO2_LF</t>
  </si>
  <si>
    <t>TiO2_LF</t>
  </si>
  <si>
    <t>Fe2O3_LF</t>
  </si>
  <si>
    <t>MnO_LF</t>
  </si>
  <si>
    <t>MgO_LF</t>
  </si>
  <si>
    <t>CaO_LF</t>
  </si>
  <si>
    <t>Na2O_LF</t>
  </si>
  <si>
    <t>K2O_LF</t>
  </si>
  <si>
    <t>P2O5_LF</t>
  </si>
  <si>
    <t xml:space="preserve">K2O/Al2O3 </t>
  </si>
  <si>
    <t>Al2O3/(CaO+Na2O)</t>
  </si>
  <si>
    <t>Al2O3/(K2O+Na2O)</t>
  </si>
  <si>
    <t>K2O/Na2O</t>
  </si>
  <si>
    <t>Fe2O3+MgO</t>
  </si>
  <si>
    <t>Al2O3+K2O+Na2O</t>
  </si>
  <si>
    <t>Al2O3/CaO+Na2O+K2O</t>
  </si>
  <si>
    <t>Al2O3/SiO2</t>
  </si>
  <si>
    <t>SiO2/Al2O3</t>
  </si>
  <si>
    <t>Al2O3/TiO2</t>
  </si>
  <si>
    <t>CaO+Na2O</t>
  </si>
  <si>
    <t>FeO/MgO</t>
  </si>
  <si>
    <t>log(Fe2O3/K2O)</t>
  </si>
  <si>
    <t>log(SiO2/Al2O3)</t>
  </si>
  <si>
    <t>mole Al</t>
  </si>
  <si>
    <t>mole K</t>
  </si>
  <si>
    <t>mole Ca</t>
  </si>
  <si>
    <t>mole  Na</t>
  </si>
  <si>
    <t>mole Ca + Na</t>
  </si>
  <si>
    <t>PPM</t>
  </si>
  <si>
    <t>LF200</t>
  </si>
  <si>
    <t>Cr/Ni</t>
  </si>
  <si>
    <t>Th/Sc</t>
  </si>
  <si>
    <t>Zr/Sc</t>
  </si>
  <si>
    <t>Y/Ni</t>
  </si>
  <si>
    <t>Cr/V</t>
  </si>
  <si>
    <t>La/Th</t>
  </si>
  <si>
    <t>Cr/Th</t>
  </si>
  <si>
    <t>Co/Th</t>
  </si>
  <si>
    <t>La/Sc</t>
  </si>
  <si>
    <t>Rb/Sr</t>
  </si>
  <si>
    <t>La*4</t>
  </si>
  <si>
    <t>Th/Co</t>
  </si>
  <si>
    <t>Th/Yb</t>
  </si>
  <si>
    <t>Ta/Yb</t>
  </si>
  <si>
    <t>Ce/Sc</t>
  </si>
  <si>
    <t>Ti/Zr</t>
  </si>
  <si>
    <t>(Zr/TiO2) *0.0001</t>
  </si>
  <si>
    <t>Nb/Y</t>
  </si>
  <si>
    <t>Th/U</t>
  </si>
  <si>
    <t>TiO2/Nb</t>
  </si>
  <si>
    <t>Th/Cr</t>
  </si>
  <si>
    <t xml:space="preserve">K/Rb </t>
  </si>
  <si>
    <t>Th/Ta</t>
  </si>
  <si>
    <t>minimum</t>
  </si>
  <si>
    <t>maximum</t>
  </si>
  <si>
    <t>average</t>
  </si>
  <si>
    <t>ICV</t>
  </si>
  <si>
    <t>CIA</t>
  </si>
  <si>
    <t>PIA</t>
  </si>
  <si>
    <t>Cao+Na2O</t>
  </si>
  <si>
    <t>somma</t>
  </si>
  <si>
    <t>x%</t>
  </si>
  <si>
    <t>y%</t>
  </si>
  <si>
    <t>z%</t>
  </si>
  <si>
    <t>x'</t>
  </si>
  <si>
    <t>y'</t>
  </si>
  <si>
    <t>b</t>
  </si>
  <si>
    <t>c</t>
  </si>
  <si>
    <t>bc</t>
  </si>
  <si>
    <t>ac</t>
  </si>
  <si>
    <t>ab</t>
  </si>
  <si>
    <t>PAAS</t>
  </si>
  <si>
    <t>PFB</t>
  </si>
  <si>
    <t>LREE</t>
  </si>
  <si>
    <t>HREE</t>
  </si>
  <si>
    <t>LREE/HREE</t>
  </si>
  <si>
    <t>La N</t>
  </si>
  <si>
    <t>Ce N</t>
  </si>
  <si>
    <t>Pr N</t>
  </si>
  <si>
    <t>Nd N</t>
  </si>
  <si>
    <t>Sm N</t>
  </si>
  <si>
    <t>Eu N</t>
  </si>
  <si>
    <t>Gd N</t>
  </si>
  <si>
    <t>Tb N</t>
  </si>
  <si>
    <t>Dy N</t>
  </si>
  <si>
    <t>Ho N</t>
  </si>
  <si>
    <t>Er N</t>
  </si>
  <si>
    <t xml:space="preserve">Tm N </t>
  </si>
  <si>
    <t xml:space="preserve">Yb N </t>
  </si>
  <si>
    <t>Lu N</t>
  </si>
  <si>
    <t>LaN/YbN</t>
  </si>
  <si>
    <t>GdN/YbN</t>
  </si>
  <si>
    <t>LaN/SmN</t>
  </si>
  <si>
    <t xml:space="preserve">SmN X GdN </t>
  </si>
  <si>
    <t>SQRT</t>
  </si>
  <si>
    <t>Eu/Eu*</t>
  </si>
  <si>
    <t>Ce anomaly</t>
  </si>
  <si>
    <t>NASC</t>
  </si>
  <si>
    <t>X</t>
  </si>
  <si>
    <t>UCC</t>
  </si>
  <si>
    <t>MORB</t>
  </si>
  <si>
    <t>Granite</t>
  </si>
  <si>
    <t>OIB</t>
  </si>
  <si>
    <t>Chondrite</t>
  </si>
  <si>
    <t>NASC N</t>
  </si>
  <si>
    <t>PAAS N</t>
  </si>
  <si>
    <t>UCC N</t>
  </si>
  <si>
    <t>MORB N</t>
  </si>
  <si>
    <t>Granite N</t>
  </si>
  <si>
    <t>OIB N</t>
  </si>
  <si>
    <t>Mean_NSB</t>
  </si>
  <si>
    <t>Ln(Fe/Si)</t>
  </si>
  <si>
    <t>Ln(Mn/Si)</t>
  </si>
  <si>
    <t>Ln(Mg/Si)</t>
  </si>
  <si>
    <t>Ln(Ca/Si)</t>
  </si>
  <si>
    <t>Ln(Na/Si)</t>
  </si>
  <si>
    <t>Ln(K/Si)</t>
  </si>
  <si>
    <t>Ln(P/Si)</t>
  </si>
  <si>
    <t>DF1 SR</t>
  </si>
  <si>
    <t>DF2 SR</t>
  </si>
  <si>
    <t>DF1</t>
  </si>
  <si>
    <t>DF2</t>
  </si>
  <si>
    <t>Numerator</t>
  </si>
  <si>
    <t>ilr1</t>
  </si>
  <si>
    <t>ilr2</t>
  </si>
  <si>
    <t>ilr3</t>
  </si>
  <si>
    <t>ilr4</t>
  </si>
  <si>
    <t>ilr5</t>
  </si>
  <si>
    <t>ilr6</t>
  </si>
  <si>
    <t>ilr7</t>
  </si>
  <si>
    <t>ilr8</t>
  </si>
  <si>
    <t>ilr9</t>
  </si>
  <si>
    <t>DFs</t>
  </si>
  <si>
    <t>d1</t>
  </si>
  <si>
    <t>d2</t>
  </si>
  <si>
    <t>ied1</t>
  </si>
  <si>
    <t>ied2</t>
  </si>
  <si>
    <t>pam</t>
  </si>
  <si>
    <t>ilr 1</t>
  </si>
  <si>
    <t>ilr 2</t>
  </si>
  <si>
    <t>ilr 3</t>
  </si>
  <si>
    <t>ilr 4</t>
  </si>
  <si>
    <t>ilr 5</t>
  </si>
  <si>
    <t>ilr 6</t>
  </si>
  <si>
    <t>ilr 7</t>
  </si>
  <si>
    <t>ilr 8</t>
  </si>
  <si>
    <t>ilr 9</t>
  </si>
  <si>
    <t>ilr 10</t>
  </si>
  <si>
    <t>ilr 11</t>
  </si>
  <si>
    <t>ilr 12</t>
  </si>
  <si>
    <t>ilr 13</t>
  </si>
  <si>
    <t>ilr 14</t>
  </si>
  <si>
    <t>ilr 15</t>
  </si>
  <si>
    <t>Ln(Ti/Si)</t>
  </si>
  <si>
    <t>Ln(Al/Si)</t>
  </si>
  <si>
    <t xml:space="preserve">       negative correlation</t>
  </si>
  <si>
    <t xml:space="preserve">       positive correlation</t>
  </si>
  <si>
    <t>NCM/PAAS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</si>
</sst>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_)"/>
    <numFmt numFmtId="166" formatCode="0.0%"/>
    <numFmt numFmtId="167" formatCode=";;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61"/>
      <scheme val="minor"/>
    </font>
    <font>
      <sz val="10"/>
      <color indexed="8"/>
      <name val="Times New Roman"/>
      <family val="1"/>
    </font>
    <font>
      <sz val="10"/>
      <color rgb="FF000000"/>
      <name val="Times New Roman"/>
      <family val="1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DAB47"/>
        <bgColor indexed="64"/>
      </patternFill>
    </fill>
    <fill>
      <patternFill patternType="solid">
        <fgColor rgb="FF61973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999D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165" fontId="5" fillId="0" borderId="0"/>
    <xf numFmtId="0" fontId="8" fillId="0" borderId="0"/>
  </cellStyleXfs>
  <cellXfs count="79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5" fontId="3" fillId="0" borderId="0" xfId="1" applyFont="1" applyAlignment="1">
      <alignment horizontal="center" vertical="center" wrapText="1"/>
    </xf>
    <xf numFmtId="165" fontId="3" fillId="2" borderId="6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4" fillId="0" borderId="0" xfId="2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5" fontId="4" fillId="0" borderId="0" xfId="1" applyFont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6" fontId="4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2" applyNumberFormat="1" applyFont="1" applyAlignment="1">
      <alignment horizontal="center" vertical="center" wrapText="1"/>
    </xf>
    <xf numFmtId="2" fontId="2" fillId="0" borderId="0" xfId="2" applyNumberFormat="1" applyFont="1" applyAlignment="1">
      <alignment horizontal="center" vertical="center" wrapText="1"/>
    </xf>
    <xf numFmtId="2" fontId="2" fillId="0" borderId="0" xfId="2" applyNumberFormat="1" applyFont="1" applyAlignment="1">
      <alignment vertical="center" wrapText="1"/>
    </xf>
    <xf numFmtId="165" fontId="3" fillId="5" borderId="0" xfId="1" applyFont="1" applyFill="1" applyAlignment="1">
      <alignment horizontal="center" vertical="center" wrapText="1"/>
    </xf>
    <xf numFmtId="0" fontId="0" fillId="5" borderId="0" xfId="0" applyFill="1"/>
    <xf numFmtId="2" fontId="1" fillId="5" borderId="0" xfId="0" applyNumberFormat="1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4" fillId="5" borderId="0" xfId="0" applyNumberFormat="1" applyFont="1" applyFill="1" applyAlignment="1">
      <alignment horizontal="center" vertical="center" wrapText="1"/>
    </xf>
    <xf numFmtId="165" fontId="3" fillId="2" borderId="0" xfId="1" applyFont="1" applyFill="1" applyAlignment="1">
      <alignment horizontal="center" vertical="center" wrapText="1"/>
    </xf>
    <xf numFmtId="165" fontId="3" fillId="6" borderId="0" xfId="1" applyFont="1" applyFill="1" applyAlignment="1">
      <alignment horizontal="center" vertical="center" wrapText="1"/>
    </xf>
    <xf numFmtId="2" fontId="3" fillId="5" borderId="0" xfId="0" applyNumberFormat="1" applyFont="1" applyFill="1" applyAlignment="1">
      <alignment horizontal="center" vertical="center" wrapText="1"/>
    </xf>
    <xf numFmtId="165" fontId="3" fillId="6" borderId="6" xfId="1" applyFont="1" applyFill="1" applyBorder="1" applyAlignment="1">
      <alignment horizontal="center" vertical="center" wrapText="1"/>
    </xf>
    <xf numFmtId="165" fontId="3" fillId="3" borderId="0" xfId="1" applyFont="1" applyFill="1" applyAlignment="1">
      <alignment horizontal="center" vertical="center" wrapText="1"/>
    </xf>
    <xf numFmtId="165" fontId="3" fillId="3" borderId="6" xfId="1" applyFont="1" applyFill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  <xf numFmtId="165" fontId="4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2" fontId="10" fillId="7" borderId="11" xfId="0" applyNumberFormat="1" applyFont="1" applyFill="1" applyBorder="1" applyAlignment="1">
      <alignment horizontal="center" vertical="center" wrapText="1"/>
    </xf>
    <xf numFmtId="2" fontId="10" fillId="7" borderId="0" xfId="0" applyNumberFormat="1" applyFont="1" applyFill="1" applyAlignment="1">
      <alignment horizontal="center" vertical="center" wrapText="1"/>
    </xf>
    <xf numFmtId="2" fontId="10" fillId="7" borderId="8" xfId="0" applyNumberFormat="1" applyFont="1" applyFill="1" applyBorder="1" applyAlignment="1">
      <alignment horizontal="center" vertical="center" wrapText="1"/>
    </xf>
    <xf numFmtId="165" fontId="3" fillId="7" borderId="0" xfId="1" applyFont="1" applyFill="1" applyAlignment="1">
      <alignment horizontal="center" vertical="center" wrapText="1"/>
    </xf>
    <xf numFmtId="165" fontId="3" fillId="7" borderId="6" xfId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5" fontId="3" fillId="8" borderId="0" xfId="1" applyFont="1" applyFill="1" applyAlignment="1">
      <alignment horizontal="center" vertical="center" wrapText="1"/>
    </xf>
    <xf numFmtId="165" fontId="3" fillId="8" borderId="6" xfId="1" applyFont="1" applyFill="1" applyBorder="1" applyAlignment="1">
      <alignment horizontal="center" vertical="center" wrapText="1"/>
    </xf>
    <xf numFmtId="165" fontId="3" fillId="9" borderId="0" xfId="1" applyFont="1" applyFill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5" fontId="3" fillId="9" borderId="9" xfId="1" applyFont="1" applyFill="1" applyBorder="1" applyAlignment="1">
      <alignment horizontal="center" vertical="center" wrapText="1"/>
    </xf>
    <xf numFmtId="165" fontId="3" fillId="9" borderId="6" xfId="1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165" fontId="3" fillId="10" borderId="9" xfId="1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165" fontId="3" fillId="11" borderId="0" xfId="1" applyFont="1" applyFill="1" applyAlignment="1">
      <alignment horizontal="center" vertical="center" wrapText="1"/>
    </xf>
    <xf numFmtId="2" fontId="1" fillId="5" borderId="10" xfId="0" applyNumberFormat="1" applyFont="1" applyFill="1" applyBorder="1" applyAlignment="1">
      <alignment horizontal="left" vertical="center" wrapText="1" shrinkToFit="1"/>
    </xf>
    <xf numFmtId="2" fontId="1" fillId="5" borderId="0" xfId="0" applyNumberFormat="1" applyFont="1" applyFill="1" applyAlignment="1">
      <alignment horizontal="left" vertical="center" wrapText="1" shrinkToFit="1"/>
    </xf>
    <xf numFmtId="2" fontId="4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2" applyNumberFormat="1" applyFont="1" applyAlignment="1">
      <alignment horizontal="center" vertical="center" wrapText="1"/>
    </xf>
  </cellXfs>
  <cellStyles count="3">
    <cellStyle name="Normal" xfId="0" builtinId="0"/>
    <cellStyle name="Normale_Foglio1" xfId="1" xr:uid="{4130BD33-3D18-4450-B1AF-EE41516748FA}"/>
    <cellStyle name="Κανονικό 2" xfId="2" xr:uid="{F4F91BC3-B2D2-44B0-BDC0-DED09A8621CF}"/>
  </cellStyles>
  <dxfs count="0"/>
  <tableStyles count="0" defaultTableStyle="TableStyleMedium2" defaultPivotStyle="PivotStyleLight16"/>
  <colors>
    <mruColors>
      <color rgb="FF5999D3"/>
      <color rgb="FF498FCF"/>
      <color rgb="FF3C87CC"/>
      <color rgb="FF61973F"/>
      <color rgb="FF6DAB47"/>
      <color rgb="FF456D2D"/>
      <color rgb="FF487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Major!$C$23:$C$38</c:f>
              <c:strCache>
                <c:ptCount val="16"/>
                <c:pt idx="0">
                  <c:v>16.876</c:v>
                </c:pt>
                <c:pt idx="1">
                  <c:v>16.942</c:v>
                </c:pt>
                <c:pt idx="2">
                  <c:v>15.926</c:v>
                </c:pt>
                <c:pt idx="3">
                  <c:v>18.383</c:v>
                </c:pt>
                <c:pt idx="4">
                  <c:v>15.552</c:v>
                </c:pt>
                <c:pt idx="5">
                  <c:v>15.967</c:v>
                </c:pt>
                <c:pt idx="6">
                  <c:v>15.375</c:v>
                </c:pt>
                <c:pt idx="7">
                  <c:v>17.763</c:v>
                </c:pt>
                <c:pt idx="8">
                  <c:v>17.151</c:v>
                </c:pt>
                <c:pt idx="9">
                  <c:v>17.460</c:v>
                </c:pt>
                <c:pt idx="10">
                  <c:v>17.574</c:v>
                </c:pt>
                <c:pt idx="11">
                  <c:v>17.989</c:v>
                </c:pt>
                <c:pt idx="12">
                  <c:v>17.615</c:v>
                </c:pt>
                <c:pt idx="13">
                  <c:v>17.376</c:v>
                </c:pt>
                <c:pt idx="14">
                  <c:v>17.611</c:v>
                </c:pt>
                <c:pt idx="15">
                  <c:v>16.592</c:v>
                </c:pt>
              </c:strCache>
            </c:strRef>
          </c:tx>
          <c:spPr>
            <a:ln w="19050">
              <a:noFill/>
            </a:ln>
          </c:spPr>
          <c:xVal>
            <c:numRef>
              <c:f>Major!$C$23:$C$38</c:f>
              <c:numCache>
                <c:formatCode>0.000</c:formatCode>
                <c:ptCount val="16"/>
                <c:pt idx="0">
                  <c:v>16.876245435480836</c:v>
                </c:pt>
                <c:pt idx="1">
                  <c:v>16.94243007068118</c:v>
                </c:pt>
                <c:pt idx="2">
                  <c:v>15.926368123616276</c:v>
                </c:pt>
                <c:pt idx="3">
                  <c:v>18.383270703421552</c:v>
                </c:pt>
                <c:pt idx="4">
                  <c:v>15.55178018180955</c:v>
                </c:pt>
                <c:pt idx="5">
                  <c:v>15.967304134398409</c:v>
                </c:pt>
                <c:pt idx="6">
                  <c:v>15.375069939099239</c:v>
                </c:pt>
                <c:pt idx="7">
                  <c:v>17.763148194047751</c:v>
                </c:pt>
                <c:pt idx="8">
                  <c:v>17.150726188756366</c:v>
                </c:pt>
                <c:pt idx="9">
                  <c:v>17.460270355142722</c:v>
                </c:pt>
                <c:pt idx="10">
                  <c:v>17.573715771832962</c:v>
                </c:pt>
                <c:pt idx="11">
                  <c:v>17.988640956404694</c:v>
                </c:pt>
                <c:pt idx="12">
                  <c:v>17.614755255951081</c:v>
                </c:pt>
                <c:pt idx="13">
                  <c:v>17.376230846430904</c:v>
                </c:pt>
                <c:pt idx="14">
                  <c:v>17.610920138669997</c:v>
                </c:pt>
                <c:pt idx="15">
                  <c:v>16.591932715290447</c:v>
                </c:pt>
              </c:numCache>
            </c:numRef>
          </c:xVal>
          <c:yVal>
            <c:numRef>
              <c:f>Major!$E$23:$E$38</c:f>
              <c:numCache>
                <c:formatCode>0.000</c:formatCode>
                <c:ptCount val="16"/>
                <c:pt idx="0">
                  <c:v>0.90607951813756737</c:v>
                </c:pt>
                <c:pt idx="1">
                  <c:v>0.8606174888430681</c:v>
                </c:pt>
                <c:pt idx="2">
                  <c:v>0.86189645419215855</c:v>
                </c:pt>
                <c:pt idx="3">
                  <c:v>0.92464623879441254</c:v>
                </c:pt>
                <c:pt idx="4">
                  <c:v>0.79470229817933002</c:v>
                </c:pt>
                <c:pt idx="5">
                  <c:v>0.73655450301448611</c:v>
                </c:pt>
                <c:pt idx="6">
                  <c:v>0.85075206553093863</c:v>
                </c:pt>
                <c:pt idx="7">
                  <c:v>0.81892241628059503</c:v>
                </c:pt>
                <c:pt idx="8">
                  <c:v>0.8451611179078703</c:v>
                </c:pt>
                <c:pt idx="9">
                  <c:v>0.8495246005126863</c:v>
                </c:pt>
                <c:pt idx="10">
                  <c:v>0.76042146990765802</c:v>
                </c:pt>
                <c:pt idx="11">
                  <c:v>0.89906228240211772</c:v>
                </c:pt>
                <c:pt idx="12">
                  <c:v>0.83878076103080546</c:v>
                </c:pt>
                <c:pt idx="13">
                  <c:v>0.76413170318217538</c:v>
                </c:pt>
                <c:pt idx="14">
                  <c:v>0.75973632143010694</c:v>
                </c:pt>
                <c:pt idx="15">
                  <c:v>0.86604278012450975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66-4045-82B9-EC815092E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51520"/>
        <c:axId val="125870080"/>
      </c:scatterChart>
      <c:valAx>
        <c:axId val="125851520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Al</a:t>
                </a:r>
                <a:r>
                  <a:rPr lang="en-US" sz="12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O</a:t>
                </a:r>
                <a:r>
                  <a:rPr lang="en-US" sz="12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3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(wt%)</a:t>
                </a:r>
                <a:endParaRPr lang="el-GR" sz="1200" baseline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</c:title>
        <c:numFmt formatCode="#,##0.00" sourceLinked="0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25870080"/>
        <c:crosses val="autoZero"/>
        <c:crossBetween val="midCat"/>
        <c:majorUnit val="5"/>
      </c:valAx>
      <c:valAx>
        <c:axId val="125870080"/>
        <c:scaling>
          <c:orientation val="minMax"/>
          <c:max val="1.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n-US" sz="1100">
                    <a:latin typeface="Arial" pitchFamily="34" charset="0"/>
                    <a:cs typeface="Arial" pitchFamily="34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TiO</a:t>
                </a:r>
                <a:r>
                  <a:rPr lang="en-US" sz="12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2 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(wt%)</a:t>
                </a:r>
                <a:endParaRPr lang="el-GR" sz="1200" baseline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2679098506112674E-2"/>
              <c:y val="0.31230386814095573"/>
            </c:manualLayout>
          </c:layout>
          <c:overlay val="0"/>
        </c:title>
        <c:numFmt formatCode="#,##0.00" sourceLinked="0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lang="en-US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25851520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57736888297873E-2"/>
          <c:y val="5.0925925925925923E-2"/>
          <c:w val="0.77409970856309185"/>
          <c:h val="0.84167468649752164"/>
        </c:manualLayout>
      </c:layout>
      <c:lineChart>
        <c:grouping val="standard"/>
        <c:varyColors val="0"/>
        <c:ser>
          <c:idx val="1"/>
          <c:order val="0"/>
          <c:tx>
            <c:strRef>
              <c:f>'Chondrite_Morb-norm REEs'!$A$45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REEs'!$C$45:$S$45</c:f>
              <c:numCache>
                <c:formatCode>0.000</c:formatCode>
                <c:ptCount val="17"/>
                <c:pt idx="0">
                  <c:v>171.93323610435874</c:v>
                </c:pt>
                <c:pt idx="1">
                  <c:v>289.07245900061872</c:v>
                </c:pt>
                <c:pt idx="2">
                  <c:v>85.5073921497562</c:v>
                </c:pt>
                <c:pt idx="3">
                  <c:v>37.114831019742205</c:v>
                </c:pt>
                <c:pt idx="4">
                  <c:v>3.8405093456571917</c:v>
                </c:pt>
                <c:pt idx="5">
                  <c:v>5.6268885162889299</c:v>
                </c:pt>
                <c:pt idx="6">
                  <c:v>11.792843903057598</c:v>
                </c:pt>
                <c:pt idx="7">
                  <c:v>7.6296356162204937</c:v>
                </c:pt>
                <c:pt idx="8">
                  <c:v>0.9525933681070492</c:v>
                </c:pt>
                <c:pt idx="9">
                  <c:v>3.3412314712730438</c:v>
                </c:pt>
                <c:pt idx="10" formatCode="0.00">
                  <c:v>0.44110395061040525</c:v>
                </c:pt>
                <c:pt idx="11">
                  <c:v>1.7353324768707514</c:v>
                </c:pt>
                <c:pt idx="12">
                  <c:v>1.9045662315232434</c:v>
                </c:pt>
                <c:pt idx="13">
                  <c:v>2.1519499259933101</c:v>
                </c:pt>
                <c:pt idx="14" formatCode="0.00">
                  <c:v>0.71344843947839953</c:v>
                </c:pt>
                <c:pt idx="15">
                  <c:v>0.8420149864944505</c:v>
                </c:pt>
                <c:pt idx="16">
                  <c:v>0.88656243913398602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5-44A1-89ED-A686CC5F0356}"/>
            </c:ext>
          </c:extLst>
        </c:ser>
        <c:ser>
          <c:idx val="2"/>
          <c:order val="1"/>
          <c:tx>
            <c:strRef>
              <c:f>'Chondrite_Morb-norm REEs'!$A$46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REEs'!$C$46:$S$46</c:f>
              <c:numCache>
                <c:formatCode>0.000</c:formatCode>
                <c:ptCount val="17"/>
                <c:pt idx="0">
                  <c:v>208.23205315183927</c:v>
                </c:pt>
                <c:pt idx="1">
                  <c:v>198.21087393346824</c:v>
                </c:pt>
                <c:pt idx="2">
                  <c:v>89.799593921053017</c:v>
                </c:pt>
                <c:pt idx="3">
                  <c:v>27.033386986268816</c:v>
                </c:pt>
                <c:pt idx="4">
                  <c:v>3.5891428213861958</c:v>
                </c:pt>
                <c:pt idx="5">
                  <c:v>5.4810346529744827</c:v>
                </c:pt>
                <c:pt idx="6">
                  <c:v>12.358362574465122</c:v>
                </c:pt>
                <c:pt idx="7">
                  <c:v>8.0957505517550015</c:v>
                </c:pt>
                <c:pt idx="8">
                  <c:v>1.3250946922061462</c:v>
                </c:pt>
                <c:pt idx="9">
                  <c:v>3.8273785903978514</c:v>
                </c:pt>
                <c:pt idx="10" formatCode="0.00">
                  <c:v>1.0764192781686961</c:v>
                </c:pt>
                <c:pt idx="11">
                  <c:v>2.0586863545485312</c:v>
                </c:pt>
                <c:pt idx="12">
                  <c:v>3.1495424261553198</c:v>
                </c:pt>
                <c:pt idx="13">
                  <c:v>3.1606176187762638</c:v>
                </c:pt>
                <c:pt idx="14" formatCode="0.00">
                  <c:v>0.6776515660181639</c:v>
                </c:pt>
                <c:pt idx="15">
                  <c:v>1.0489448155183414</c:v>
                </c:pt>
                <c:pt idx="16">
                  <c:v>1.027527447281493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5-44A1-89ED-A686CC5F0356}"/>
            </c:ext>
          </c:extLst>
        </c:ser>
        <c:ser>
          <c:idx val="3"/>
          <c:order val="2"/>
          <c:tx>
            <c:strRef>
              <c:f>'Chondrite_Morb-norm REEs'!$A$47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REEs'!$C$47:$S$47</c:f>
              <c:numCache>
                <c:formatCode>0.000</c:formatCode>
                <c:ptCount val="17"/>
                <c:pt idx="0">
                  <c:v>178.41516771998059</c:v>
                </c:pt>
                <c:pt idx="1">
                  <c:v>208.42608172208278</c:v>
                </c:pt>
                <c:pt idx="2">
                  <c:v>80.205260549918961</c:v>
                </c:pt>
                <c:pt idx="3">
                  <c:v>26.655340841776475</c:v>
                </c:pt>
                <c:pt idx="4">
                  <c:v>3.4874996463034611</c:v>
                </c:pt>
                <c:pt idx="5">
                  <c:v>5.2430625601982808</c:v>
                </c:pt>
                <c:pt idx="6">
                  <c:v>11.211506527554759</c:v>
                </c:pt>
                <c:pt idx="7">
                  <c:v>7.7481619855421284</c:v>
                </c:pt>
                <c:pt idx="8">
                  <c:v>1.2290085678134575</c:v>
                </c:pt>
                <c:pt idx="9">
                  <c:v>3.9976674117862023</c:v>
                </c:pt>
                <c:pt idx="10" formatCode="0.00">
                  <c:v>1.9293760447660888</c:v>
                </c:pt>
                <c:pt idx="11">
                  <c:v>2.2950426413272891</c:v>
                </c:pt>
                <c:pt idx="12">
                  <c:v>2.2687148977235747</c:v>
                </c:pt>
                <c:pt idx="13">
                  <c:v>2.3910554733259004</c:v>
                </c:pt>
                <c:pt idx="14" formatCode="0.00">
                  <c:v>0.67865862534815635</c:v>
                </c:pt>
                <c:pt idx="15">
                  <c:v>1.285538160619923</c:v>
                </c:pt>
                <c:pt idx="16">
                  <c:v>1.0287917074442512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C5-44A1-89ED-A686CC5F0356}"/>
            </c:ext>
          </c:extLst>
        </c:ser>
        <c:ser>
          <c:idx val="4"/>
          <c:order val="3"/>
          <c:tx>
            <c:strRef>
              <c:f>'Chondrite_Morb-norm REEs'!$A$48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REEs'!$C$48:$S$48</c:f>
              <c:numCache>
                <c:formatCode>0.000</c:formatCode>
                <c:ptCount val="17"/>
                <c:pt idx="0">
                  <c:v>202.56036298817048</c:v>
                </c:pt>
                <c:pt idx="1">
                  <c:v>183.6945260233318</c:v>
                </c:pt>
                <c:pt idx="2">
                  <c:v>81.408760262262973</c:v>
                </c:pt>
                <c:pt idx="3">
                  <c:v>24.364044946202604</c:v>
                </c:pt>
                <c:pt idx="4">
                  <c:v>3.8350265187855093</c:v>
                </c:pt>
                <c:pt idx="5">
                  <c:v>5.4963876912181089</c:v>
                </c:pt>
                <c:pt idx="6">
                  <c:v>65.449888194367276</c:v>
                </c:pt>
                <c:pt idx="7">
                  <c:v>44.86689193759269</c:v>
                </c:pt>
                <c:pt idx="8">
                  <c:v>4.1920364967600836</c:v>
                </c:pt>
                <c:pt idx="9">
                  <c:v>19.198691314589869</c:v>
                </c:pt>
                <c:pt idx="10" formatCode="0.00">
                  <c:v>3.7056208888739905</c:v>
                </c:pt>
                <c:pt idx="11">
                  <c:v>9.8776910728712242</c:v>
                </c:pt>
                <c:pt idx="12">
                  <c:v>2.2178714990465478</c:v>
                </c:pt>
                <c:pt idx="13">
                  <c:v>2.3623439804375383</c:v>
                </c:pt>
                <c:pt idx="14" formatCode="0.00">
                  <c:v>0.72806790456252957</c:v>
                </c:pt>
                <c:pt idx="15">
                  <c:v>1.7044013033073153</c:v>
                </c:pt>
                <c:pt idx="16">
                  <c:v>1.1994668294165691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C5-44A1-89ED-A686CC5F0356}"/>
            </c:ext>
          </c:extLst>
        </c:ser>
        <c:ser>
          <c:idx val="5"/>
          <c:order val="4"/>
          <c:tx>
            <c:strRef>
              <c:f>'Chondrite_Morb-norm REEs'!$A$49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REEs'!$C$49:$S$49</c:f>
              <c:numCache>
                <c:formatCode>0.000</c:formatCode>
                <c:ptCount val="17"/>
                <c:pt idx="0">
                  <c:v>132.06935666828716</c:v>
                </c:pt>
                <c:pt idx="1">
                  <c:v>242.83520269425813</c:v>
                </c:pt>
                <c:pt idx="2">
                  <c:v>90.893684568638491</c:v>
                </c:pt>
                <c:pt idx="3">
                  <c:v>31.832663878537236</c:v>
                </c:pt>
                <c:pt idx="4">
                  <c:v>3.4124270937527275</c:v>
                </c:pt>
                <c:pt idx="5">
                  <c:v>5.3044747131727839</c:v>
                </c:pt>
                <c:pt idx="6">
                  <c:v>12.951563978039449</c:v>
                </c:pt>
                <c:pt idx="7">
                  <c:v>8.9760419014358792</c:v>
                </c:pt>
                <c:pt idx="8">
                  <c:v>1.3586131076919676</c:v>
                </c:pt>
                <c:pt idx="9">
                  <c:v>4.6389970858858787</c:v>
                </c:pt>
                <c:pt idx="10" formatCode="0.00">
                  <c:v>2.3808653620671949</c:v>
                </c:pt>
                <c:pt idx="11">
                  <c:v>2.717327407770771</c:v>
                </c:pt>
                <c:pt idx="12">
                  <c:v>2.248102709070726</c:v>
                </c:pt>
                <c:pt idx="13">
                  <c:v>2.3858779910017698</c:v>
                </c:pt>
                <c:pt idx="14" formatCode="0.00">
                  <c:v>0.62574984108608667</c:v>
                </c:pt>
                <c:pt idx="15">
                  <c:v>1.3952574309313817</c:v>
                </c:pt>
                <c:pt idx="16">
                  <c:v>1.2032596099048429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C5-44A1-89ED-A686CC5F0356}"/>
            </c:ext>
          </c:extLst>
        </c:ser>
        <c:ser>
          <c:idx val="6"/>
          <c:order val="5"/>
          <c:tx>
            <c:strRef>
              <c:f>'Chondrite_Morb-norm REEs'!$A$50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REEs'!$C$50:$S$50</c:f>
              <c:numCache>
                <c:formatCode>0.000</c:formatCode>
                <c:ptCount val="17"/>
                <c:pt idx="0">
                  <c:v>73.456490034030153</c:v>
                </c:pt>
                <c:pt idx="1">
                  <c:v>215.7738627630161</c:v>
                </c:pt>
                <c:pt idx="2">
                  <c:v>89.631272282962954</c:v>
                </c:pt>
                <c:pt idx="3">
                  <c:v>30.834328631344228</c:v>
                </c:pt>
                <c:pt idx="4">
                  <c:v>3.3504289745113915</c:v>
                </c:pt>
                <c:pt idx="5">
                  <c:v>5.0511495821529557</c:v>
                </c:pt>
                <c:pt idx="6">
                  <c:v>10.582713039765974</c:v>
                </c:pt>
                <c:pt idx="7">
                  <c:v>7.2274450147021545</c:v>
                </c:pt>
                <c:pt idx="8">
                  <c:v>1.2021938354248003</c:v>
                </c:pt>
                <c:pt idx="9">
                  <c:v>3.6694494415296228</c:v>
                </c:pt>
                <c:pt idx="10" formatCode="0.00">
                  <c:v>1.6804400460953657</c:v>
                </c:pt>
                <c:pt idx="11">
                  <c:v>2.0902518521313618</c:v>
                </c:pt>
                <c:pt idx="12">
                  <c:v>2.5998840620793477</c:v>
                </c:pt>
                <c:pt idx="13">
                  <c:v>2.648517548898591</c:v>
                </c:pt>
                <c:pt idx="14" formatCode="0.00">
                  <c:v>0.57996417560195757</c:v>
                </c:pt>
                <c:pt idx="15">
                  <c:v>1.0096317219214019</c:v>
                </c:pt>
                <c:pt idx="16">
                  <c:v>0.92101352856913921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C5-44A1-89ED-A686CC5F0356}"/>
            </c:ext>
          </c:extLst>
        </c:ser>
        <c:ser>
          <c:idx val="7"/>
          <c:order val="6"/>
          <c:tx>
            <c:strRef>
              <c:f>'Chondrite_Morb-norm REEs'!$A$51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REEs'!$C$50:$S$50</c:f>
              <c:numCache>
                <c:formatCode>0.000</c:formatCode>
                <c:ptCount val="17"/>
                <c:pt idx="0">
                  <c:v>73.456490034030153</c:v>
                </c:pt>
                <c:pt idx="1">
                  <c:v>215.7738627630161</c:v>
                </c:pt>
                <c:pt idx="2">
                  <c:v>89.631272282962954</c:v>
                </c:pt>
                <c:pt idx="3">
                  <c:v>30.834328631344228</c:v>
                </c:pt>
                <c:pt idx="4">
                  <c:v>3.3504289745113915</c:v>
                </c:pt>
                <c:pt idx="5">
                  <c:v>5.0511495821529557</c:v>
                </c:pt>
                <c:pt idx="6">
                  <c:v>10.582713039765974</c:v>
                </c:pt>
                <c:pt idx="7">
                  <c:v>7.2274450147021545</c:v>
                </c:pt>
                <c:pt idx="8">
                  <c:v>1.2021938354248003</c:v>
                </c:pt>
                <c:pt idx="9">
                  <c:v>3.6694494415296228</c:v>
                </c:pt>
                <c:pt idx="10" formatCode="0.00">
                  <c:v>1.6804400460953657</c:v>
                </c:pt>
                <c:pt idx="11">
                  <c:v>2.0902518521313618</c:v>
                </c:pt>
                <c:pt idx="12">
                  <c:v>2.5998840620793477</c:v>
                </c:pt>
                <c:pt idx="13">
                  <c:v>2.648517548898591</c:v>
                </c:pt>
                <c:pt idx="14" formatCode="0.00">
                  <c:v>0.57996417560195757</c:v>
                </c:pt>
                <c:pt idx="15">
                  <c:v>1.0096317219214019</c:v>
                </c:pt>
                <c:pt idx="16">
                  <c:v>0.92101352856913921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C5-44A1-89ED-A686CC5F0356}"/>
            </c:ext>
          </c:extLst>
        </c:ser>
        <c:ser>
          <c:idx val="9"/>
          <c:order val="7"/>
          <c:tx>
            <c:strRef>
              <c:f>'Chondrite_Morb-norm REEs'!$A$52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REEs'!$C$52:$S$52</c:f>
              <c:numCache>
                <c:formatCode>0.000</c:formatCode>
                <c:ptCount val="17"/>
                <c:pt idx="0">
                  <c:v>56.295576081672337</c:v>
                </c:pt>
                <c:pt idx="1">
                  <c:v>244.08970189636867</c:v>
                </c:pt>
                <c:pt idx="2">
                  <c:v>78.850271363293885</c:v>
                </c:pt>
                <c:pt idx="3">
                  <c:v>26.541768404318272</c:v>
                </c:pt>
                <c:pt idx="4">
                  <c:v>2.7650317669809521</c:v>
                </c:pt>
                <c:pt idx="5">
                  <c:v>4.7747948937676874</c:v>
                </c:pt>
                <c:pt idx="6">
                  <c:v>9.6059080618802497</c:v>
                </c:pt>
                <c:pt idx="7">
                  <c:v>6.8665388789025803</c:v>
                </c:pt>
                <c:pt idx="8">
                  <c:v>0.91214781342082429</c:v>
                </c:pt>
                <c:pt idx="9">
                  <c:v>3.3838036766201318</c:v>
                </c:pt>
                <c:pt idx="10" formatCode="0.00">
                  <c:v>1.0570011729705309</c:v>
                </c:pt>
                <c:pt idx="11">
                  <c:v>1.8204053423074056</c:v>
                </c:pt>
                <c:pt idx="12">
                  <c:v>1.5074380634783535</c:v>
                </c:pt>
                <c:pt idx="13">
                  <c:v>1.6680906687927148</c:v>
                </c:pt>
                <c:pt idx="14" formatCode="0.00">
                  <c:v>0.64482080022094102</c:v>
                </c:pt>
                <c:pt idx="15">
                  <c:v>0.82664714081564683</c:v>
                </c:pt>
                <c:pt idx="16">
                  <c:v>0.79806422774093211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C5-44A1-89ED-A686CC5F0356}"/>
            </c:ext>
          </c:extLst>
        </c:ser>
        <c:ser>
          <c:idx val="8"/>
          <c:order val="8"/>
          <c:tx>
            <c:strRef>
              <c:f>'Chondrite_Morb-norm REEs'!$A$53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REEs'!$C$53:$S$53</c:f>
              <c:numCache>
                <c:formatCode>0.000</c:formatCode>
                <c:ptCount val="17"/>
                <c:pt idx="0">
                  <c:v>63.441905687894995</c:v>
                </c:pt>
                <c:pt idx="1">
                  <c:v>204.48336994402104</c:v>
                </c:pt>
                <c:pt idx="2">
                  <c:v>90.641202111503375</c:v>
                </c:pt>
                <c:pt idx="3">
                  <c:v>24.788579397482085</c:v>
                </c:pt>
                <c:pt idx="4">
                  <c:v>3.6427058223634052</c:v>
                </c:pt>
                <c:pt idx="5">
                  <c:v>5.4503285764872311</c:v>
                </c:pt>
                <c:pt idx="6">
                  <c:v>10.709262672528496</c:v>
                </c:pt>
                <c:pt idx="7">
                  <c:v>7.259407181710233</c:v>
                </c:pt>
                <c:pt idx="8">
                  <c:v>1.0668911649137007</c:v>
                </c:pt>
                <c:pt idx="9">
                  <c:v>3.5788118430487263</c:v>
                </c:pt>
                <c:pt idx="10" formatCode="0.00">
                  <c:v>1.3483726407874355</c:v>
                </c:pt>
                <c:pt idx="11">
                  <c:v>1.982467226238769</c:v>
                </c:pt>
                <c:pt idx="12">
                  <c:v>2.3346739014126916</c:v>
                </c:pt>
                <c:pt idx="13">
                  <c:v>2.3482235740989994</c:v>
                </c:pt>
                <c:pt idx="14" formatCode="0.00">
                  <c:v>0.66548119520304749</c:v>
                </c:pt>
                <c:pt idx="15">
                  <c:v>1.0478726402384249</c:v>
                </c:pt>
                <c:pt idx="16">
                  <c:v>0.91342796759259159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C5-44A1-89ED-A686CC5F0356}"/>
            </c:ext>
          </c:extLst>
        </c:ser>
        <c:ser>
          <c:idx val="10"/>
          <c:order val="9"/>
          <c:tx>
            <c:strRef>
              <c:f>'Chondrite_Morb-norm REEs'!$A$54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REEs'!$C$54:$S$54</c:f>
              <c:numCache>
                <c:formatCode>0.000</c:formatCode>
                <c:ptCount val="17"/>
                <c:pt idx="0">
                  <c:v>85.723545616593753</c:v>
                </c:pt>
                <c:pt idx="1">
                  <c:v>195.34344718578697</c:v>
                </c:pt>
                <c:pt idx="2">
                  <c:v>79.26265937661455</c:v>
                </c:pt>
                <c:pt idx="3">
                  <c:v>21.723791362831648</c:v>
                </c:pt>
                <c:pt idx="4">
                  <c:v>3.4436370313299984</c:v>
                </c:pt>
                <c:pt idx="5">
                  <c:v>5.1048852160056466</c:v>
                </c:pt>
                <c:pt idx="6">
                  <c:v>10.808129573124216</c:v>
                </c:pt>
                <c:pt idx="7">
                  <c:v>7.4338673432960052</c:v>
                </c:pt>
                <c:pt idx="8">
                  <c:v>1.1865519081980838</c:v>
                </c:pt>
                <c:pt idx="9">
                  <c:v>3.8122723239843688</c:v>
                </c:pt>
                <c:pt idx="10" formatCode="0.00">
                  <c:v>2.3076588439620447</c:v>
                </c:pt>
                <c:pt idx="11">
                  <c:v>2.2623223084670379</c:v>
                </c:pt>
                <c:pt idx="12">
                  <c:v>2.094198367129454</c:v>
                </c:pt>
                <c:pt idx="13">
                  <c:v>2.1787786980365338</c:v>
                </c:pt>
                <c:pt idx="14" formatCode="0.00">
                  <c:v>0.66891700827770573</c:v>
                </c:pt>
                <c:pt idx="15">
                  <c:v>1.0739622387163938</c:v>
                </c:pt>
                <c:pt idx="16">
                  <c:v>0.93428826027809708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C5-44A1-89ED-A686CC5F0356}"/>
            </c:ext>
          </c:extLst>
        </c:ser>
        <c:ser>
          <c:idx val="11"/>
          <c:order val="10"/>
          <c:tx>
            <c:strRef>
              <c:f>'Chondrite_Morb-norm REEs'!$A$55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REEs'!$C$55:$S$55</c:f>
              <c:numCache>
                <c:formatCode>0.000</c:formatCode>
                <c:ptCount val="17"/>
                <c:pt idx="0">
                  <c:v>117.517420191217</c:v>
                </c:pt>
                <c:pt idx="1">
                  <c:v>194.08894798367641</c:v>
                </c:pt>
                <c:pt idx="2">
                  <c:v>92.240257673359068</c:v>
                </c:pt>
                <c:pt idx="3">
                  <c:v>22.162044072804598</c:v>
                </c:pt>
                <c:pt idx="4">
                  <c:v>3.9160036541211323</c:v>
                </c:pt>
                <c:pt idx="5">
                  <c:v>5.9876849150141416</c:v>
                </c:pt>
                <c:pt idx="6">
                  <c:v>12.132946041106878</c:v>
                </c:pt>
                <c:pt idx="7">
                  <c:v>8.2102816502006224</c:v>
                </c:pt>
                <c:pt idx="8">
                  <c:v>1.2267740067810695</c:v>
                </c:pt>
                <c:pt idx="9">
                  <c:v>4.0059071934662844</c:v>
                </c:pt>
                <c:pt idx="10" formatCode="0.00">
                  <c:v>1.4167440085628611</c:v>
                </c:pt>
                <c:pt idx="11">
                  <c:v>2.151458121834656</c:v>
                </c:pt>
                <c:pt idx="12">
                  <c:v>4.6611029273642437</c:v>
                </c:pt>
                <c:pt idx="13">
                  <c:v>4.5350038357273723</c:v>
                </c:pt>
                <c:pt idx="14" formatCode="0.00">
                  <c:v>0.59875706291941577</c:v>
                </c:pt>
                <c:pt idx="15">
                  <c:v>0.94780294744621507</c:v>
                </c:pt>
                <c:pt idx="16">
                  <c:v>0.84420972368159586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6C5-44A1-89ED-A686CC5F0356}"/>
            </c:ext>
          </c:extLst>
        </c:ser>
        <c:ser>
          <c:idx val="12"/>
          <c:order val="11"/>
          <c:tx>
            <c:strRef>
              <c:f>'Chondrite_Morb-norm REEs'!$A$56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REEs'!$C$56:$S$56</c:f>
              <c:numCache>
                <c:formatCode>0.000</c:formatCode>
                <c:ptCount val="17"/>
                <c:pt idx="0">
                  <c:v>80.991735537190081</c:v>
                </c:pt>
                <c:pt idx="1">
                  <c:v>232.44078073391347</c:v>
                </c:pt>
                <c:pt idx="2">
                  <c:v>94.512599787575027</c:v>
                </c:pt>
                <c:pt idx="3">
                  <c:v>26.21233058896037</c:v>
                </c:pt>
                <c:pt idx="4">
                  <c:v>3.8392440779175727</c:v>
                </c:pt>
                <c:pt idx="5">
                  <c:v>5.8648606090651336</c:v>
                </c:pt>
                <c:pt idx="6">
                  <c:v>12.595643135894852</c:v>
                </c:pt>
                <c:pt idx="7">
                  <c:v>8.7549702462966561</c:v>
                </c:pt>
                <c:pt idx="8">
                  <c:v>0.96566555014651956</c:v>
                </c:pt>
                <c:pt idx="9">
                  <c:v>4.3684575873898694</c:v>
                </c:pt>
                <c:pt idx="10" formatCode="0.00">
                  <c:v>1.9298329007056911</c:v>
                </c:pt>
                <c:pt idx="11">
                  <c:v>2.5822116803125557</c:v>
                </c:pt>
                <c:pt idx="12">
                  <c:v>2.5174353074679523</c:v>
                </c:pt>
                <c:pt idx="13">
                  <c:v>2.6103924517845365</c:v>
                </c:pt>
                <c:pt idx="14" formatCode="0.00">
                  <c:v>0.7079230570095415</c:v>
                </c:pt>
                <c:pt idx="15">
                  <c:v>1.4024052661308253</c:v>
                </c:pt>
                <c:pt idx="16">
                  <c:v>1.2563585367406753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C5-44A1-89ED-A686CC5F0356}"/>
            </c:ext>
          </c:extLst>
        </c:ser>
        <c:ser>
          <c:idx val="13"/>
          <c:order val="12"/>
          <c:tx>
            <c:strRef>
              <c:f>'Chondrite_Morb-norm REEs'!$A$57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REEs'!$C$57:$S$57</c:f>
              <c:numCache>
                <c:formatCode>0.000</c:formatCode>
                <c:ptCount val="17"/>
                <c:pt idx="0">
                  <c:v>89.207583859990294</c:v>
                </c:pt>
                <c:pt idx="1">
                  <c:v>200.00301565076904</c:v>
                </c:pt>
                <c:pt idx="2">
                  <c:v>89.96791555914308</c:v>
                </c:pt>
                <c:pt idx="3">
                  <c:v>23.10728290407209</c:v>
                </c:pt>
                <c:pt idx="4">
                  <c:v>3.9480571035248158</c:v>
                </c:pt>
                <c:pt idx="5">
                  <c:v>5.8341545325778812</c:v>
                </c:pt>
                <c:pt idx="6">
                  <c:v>10.993999346244172</c:v>
                </c:pt>
                <c:pt idx="7">
                  <c:v>7.4152227458746252</c:v>
                </c:pt>
                <c:pt idx="8">
                  <c:v>1.1496816511636798</c:v>
                </c:pt>
                <c:pt idx="9">
                  <c:v>3.733994398023595</c:v>
                </c:pt>
                <c:pt idx="10" formatCode="0.00">
                  <c:v>1.6752382579071983</c:v>
                </c:pt>
                <c:pt idx="11">
                  <c:v>2.0910217423163093</c:v>
                </c:pt>
                <c:pt idx="12">
                  <c:v>2.3607826737063005</c:v>
                </c:pt>
                <c:pt idx="13">
                  <c:v>2.4786019926248408</c:v>
                </c:pt>
                <c:pt idx="14" formatCode="0.00">
                  <c:v>0.66045729215024052</c:v>
                </c:pt>
                <c:pt idx="15">
                  <c:v>1.0550204754378683</c:v>
                </c:pt>
                <c:pt idx="16">
                  <c:v>1.0041386342704719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6C5-44A1-89ED-A686CC5F0356}"/>
            </c:ext>
          </c:extLst>
        </c:ser>
        <c:ser>
          <c:idx val="14"/>
          <c:order val="13"/>
          <c:tx>
            <c:strRef>
              <c:f>'Chondrite_Morb-norm REEs'!$A$58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REEs'!$C$57:$S$57</c:f>
              <c:numCache>
                <c:formatCode>0.000</c:formatCode>
                <c:ptCount val="17"/>
                <c:pt idx="0">
                  <c:v>89.207583859990294</c:v>
                </c:pt>
                <c:pt idx="1">
                  <c:v>200.00301565076904</c:v>
                </c:pt>
                <c:pt idx="2">
                  <c:v>89.96791555914308</c:v>
                </c:pt>
                <c:pt idx="3">
                  <c:v>23.10728290407209</c:v>
                </c:pt>
                <c:pt idx="4">
                  <c:v>3.9480571035248158</c:v>
                </c:pt>
                <c:pt idx="5">
                  <c:v>5.8341545325778812</c:v>
                </c:pt>
                <c:pt idx="6">
                  <c:v>10.993999346244172</c:v>
                </c:pt>
                <c:pt idx="7">
                  <c:v>7.4152227458746252</c:v>
                </c:pt>
                <c:pt idx="8">
                  <c:v>1.1496816511636798</c:v>
                </c:pt>
                <c:pt idx="9">
                  <c:v>3.733994398023595</c:v>
                </c:pt>
                <c:pt idx="10" formatCode="0.00">
                  <c:v>1.6752382579071983</c:v>
                </c:pt>
                <c:pt idx="11">
                  <c:v>2.0910217423163093</c:v>
                </c:pt>
                <c:pt idx="12">
                  <c:v>2.3607826737063005</c:v>
                </c:pt>
                <c:pt idx="13">
                  <c:v>2.4786019926248408</c:v>
                </c:pt>
                <c:pt idx="14" formatCode="0.00">
                  <c:v>0.66045729215024052</c:v>
                </c:pt>
                <c:pt idx="15">
                  <c:v>1.0550204754378683</c:v>
                </c:pt>
                <c:pt idx="16">
                  <c:v>1.0041386342704719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C5-44A1-89ED-A686CC5F0356}"/>
            </c:ext>
          </c:extLst>
        </c:ser>
        <c:ser>
          <c:idx val="15"/>
          <c:order val="14"/>
          <c:tx>
            <c:strRef>
              <c:f>'Chondrite_Morb-norm REEs'!$A$59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REEs'!$C$59:$S$59</c:f>
              <c:numCache>
                <c:formatCode>0.000</c:formatCode>
                <c:ptCount val="17"/>
                <c:pt idx="0">
                  <c:v>99.83795170960947</c:v>
                </c:pt>
                <c:pt idx="1">
                  <c:v>177.40410859560598</c:v>
                </c:pt>
                <c:pt idx="2">
                  <c:v>120.09748877726584</c:v>
                </c:pt>
                <c:pt idx="3">
                  <c:v>20.127117173362684</c:v>
                </c:pt>
                <c:pt idx="4">
                  <c:v>3.439419472197935</c:v>
                </c:pt>
                <c:pt idx="5">
                  <c:v>5.005090467422078</c:v>
                </c:pt>
                <c:pt idx="6">
                  <c:v>7.0670060545821354</c:v>
                </c:pt>
                <c:pt idx="7">
                  <c:v>3.9406688407045647</c:v>
                </c:pt>
                <c:pt idx="8">
                  <c:v>0.6805355624137972</c:v>
                </c:pt>
                <c:pt idx="9">
                  <c:v>1.4666811390545049</c:v>
                </c:pt>
                <c:pt idx="10" formatCode="0.00">
                  <c:v>0.29186015235268903</c:v>
                </c:pt>
                <c:pt idx="11">
                  <c:v>0.66249050414697508</c:v>
                </c:pt>
                <c:pt idx="12">
                  <c:v>2.3058168372987029</c:v>
                </c:pt>
                <c:pt idx="13">
                  <c:v>2.4023517983967317</c:v>
                </c:pt>
                <c:pt idx="14" formatCode="0.00">
                  <c:v>0.59821757592921809</c:v>
                </c:pt>
                <c:pt idx="15">
                  <c:v>0.63401298219064306</c:v>
                </c:pt>
                <c:pt idx="16">
                  <c:v>0.75855609765474741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6C5-44A1-89ED-A686CC5F0356}"/>
            </c:ext>
          </c:extLst>
        </c:ser>
        <c:ser>
          <c:idx val="16"/>
          <c:order val="15"/>
          <c:tx>
            <c:strRef>
              <c:f>'Chondrite_Morb-norm REEs'!$A$60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REEs'!$C$60:$S$60</c:f>
              <c:numCache>
                <c:formatCode>0.000</c:formatCode>
                <c:ptCount val="17"/>
                <c:pt idx="0">
                  <c:v>115.05428617728084</c:v>
                </c:pt>
                <c:pt idx="1">
                  <c:v>204.48336994402104</c:v>
                </c:pt>
                <c:pt idx="2">
                  <c:v>97.458228454151254</c:v>
                </c:pt>
                <c:pt idx="3">
                  <c:v>23.09283853440342</c:v>
                </c:pt>
                <c:pt idx="4">
                  <c:v>3.4993088118732398</c:v>
                </c:pt>
                <c:pt idx="5">
                  <c:v>5.6115354780453046</c:v>
                </c:pt>
                <c:pt idx="6">
                  <c:v>12.306951786155349</c:v>
                </c:pt>
                <c:pt idx="7">
                  <c:v>8.0904235239203199</c:v>
                </c:pt>
                <c:pt idx="8">
                  <c:v>1.4457609879551039</c:v>
                </c:pt>
                <c:pt idx="9">
                  <c:v>3.9111497041453469</c:v>
                </c:pt>
                <c:pt idx="10" formatCode="0.00">
                  <c:v>0.54070460681596155</c:v>
                </c:pt>
                <c:pt idx="11">
                  <c:v>2.0810131699119969</c:v>
                </c:pt>
                <c:pt idx="12">
                  <c:v>3.2828345794437435</c:v>
                </c:pt>
                <c:pt idx="13">
                  <c:v>3.3211195708243215</c:v>
                </c:pt>
                <c:pt idx="14" formatCode="0.00">
                  <c:v>0.68192344891693679</c:v>
                </c:pt>
                <c:pt idx="15">
                  <c:v>1.1801075914281307</c:v>
                </c:pt>
                <c:pt idx="16">
                  <c:v>1.1583783741269371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6C5-44A1-89ED-A686CC5F0356}"/>
            </c:ext>
          </c:extLst>
        </c:ser>
        <c:ser>
          <c:idx val="0"/>
          <c:order val="16"/>
          <c:tx>
            <c:v>NSB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Lit>
              <c:ptCount val="17"/>
              <c:pt idx="0">
                <c:v>Ba</c:v>
              </c:pt>
              <c:pt idx="1">
                <c:v>Rb</c:v>
              </c:pt>
              <c:pt idx="2">
                <c:v>Th</c:v>
              </c:pt>
              <c:pt idx="3">
                <c:v>K</c:v>
              </c:pt>
              <c:pt idx="4">
                <c:v>Nb</c:v>
              </c:pt>
              <c:pt idx="5">
                <c:v>Ta</c:v>
              </c:pt>
              <c:pt idx="6">
                <c:v>La</c:v>
              </c:pt>
              <c:pt idx="7">
                <c:v>Ce</c:v>
              </c:pt>
              <c:pt idx="8">
                <c:v>Sr</c:v>
              </c:pt>
              <c:pt idx="9">
                <c:v>Nd</c:v>
              </c:pt>
              <c:pt idx="10">
                <c:v>P</c:v>
              </c:pt>
              <c:pt idx="11">
                <c:v>Sm</c:v>
              </c:pt>
              <c:pt idx="12">
                <c:v>Zr</c:v>
              </c:pt>
              <c:pt idx="13">
                <c:v>Hf</c:v>
              </c:pt>
              <c:pt idx="14">
                <c:v>Ti</c:v>
              </c:pt>
              <c:pt idx="15">
                <c:v>Y</c:v>
              </c:pt>
              <c:pt idx="16">
                <c:v>Yb</c:v>
              </c:pt>
            </c:strLit>
          </c:cat>
          <c:val>
            <c:numRef>
              <c:f>'Chondrite_Morb-norm REEs'!$C$66:$S$66</c:f>
              <c:numCache>
                <c:formatCode>0.00</c:formatCode>
                <c:ptCount val="17"/>
                <c:pt idx="0">
                  <c:v>115.18189920596335</c:v>
                </c:pt>
                <c:pt idx="1">
                  <c:v>211.74826443052913</c:v>
                </c:pt>
                <c:pt idx="2">
                  <c:v>89.205734141666483</c:v>
                </c:pt>
                <c:pt idx="3">
                  <c:v>25.836847366172311</c:v>
                </c:pt>
                <c:pt idx="4">
                  <c:v>3.5447002920320743</c:v>
                </c:pt>
                <c:pt idx="5">
                  <c:v>5.3927546830736341</c:v>
                </c:pt>
                <c:pt idx="6">
                  <c:v>14.459778546627168</c:v>
                </c:pt>
                <c:pt idx="7">
                  <c:v>9.8093888183236384</c:v>
                </c:pt>
                <c:pt idx="8">
                  <c:v>1.3301434035386981</c:v>
                </c:pt>
                <c:pt idx="9">
                  <c:v>4.6356496745783451</c:v>
                </c:pt>
                <c:pt idx="10">
                  <c:v>1.6123745536123475</c:v>
                </c:pt>
                <c:pt idx="11">
                  <c:v>2.5383519988388512</c:v>
                </c:pt>
                <c:pt idx="12">
                  <c:v>2.4653036470001224</c:v>
                </c:pt>
                <c:pt idx="13">
                  <c:v>2.556146557433983</c:v>
                </c:pt>
                <c:pt idx="14">
                  <c:v>0.65635000095819329</c:v>
                </c:pt>
                <c:pt idx="15">
                  <c:v>1.0942218841098168</c:v>
                </c:pt>
                <c:pt idx="16">
                  <c:v>0.98871070947181661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E-4049-A633-E681B5344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97632"/>
        <c:axId val="178199936"/>
      </c:lineChart>
      <c:catAx>
        <c:axId val="178197632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199936"/>
        <c:crossesAt val="1.0000000000000002E-2"/>
        <c:auto val="1"/>
        <c:lblAlgn val="ctr"/>
        <c:lblOffset val="100"/>
        <c:noMultiLvlLbl val="0"/>
      </c:catAx>
      <c:valAx>
        <c:axId val="17819993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2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Sample/MORB</a:t>
                </a:r>
              </a:p>
            </c:rich>
          </c:tx>
          <c:layout>
            <c:manualLayout>
              <c:xMode val="edge"/>
              <c:yMode val="edge"/>
              <c:x val="5.1831761034267908E-3"/>
              <c:y val="0.33607395345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819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14" footer="0.3149606200000001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303004386786183E-2"/>
          <c:y val="0.10195897300546918"/>
          <c:w val="0.90243668248534037"/>
          <c:h val="0.79140603234651563"/>
        </c:manualLayout>
      </c:layout>
      <c:lineChart>
        <c:grouping val="standard"/>
        <c:varyColors val="0"/>
        <c:ser>
          <c:idx val="4"/>
          <c:order val="0"/>
          <c:tx>
            <c:v>PFB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5"/>
              <c:pt idx="0">
                <c:v>Ba</c:v>
              </c:pt>
              <c:pt idx="1">
                <c:v>Co</c:v>
              </c:pt>
              <c:pt idx="2">
                <c:v>Cr</c:v>
              </c:pt>
              <c:pt idx="3">
                <c:v>Cs</c:v>
              </c:pt>
              <c:pt idx="4">
                <c:v>Hf</c:v>
              </c:pt>
              <c:pt idx="5">
                <c:v>Nb</c:v>
              </c:pt>
              <c:pt idx="6">
                <c:v>Ni</c:v>
              </c:pt>
              <c:pt idx="7">
                <c:v>Pb</c:v>
              </c:pt>
              <c:pt idx="8">
                <c:v>Rb</c:v>
              </c:pt>
              <c:pt idx="9">
                <c:v>Sr</c:v>
              </c:pt>
              <c:pt idx="10">
                <c:v>Th</c:v>
              </c:pt>
              <c:pt idx="11">
                <c:v>U</c:v>
              </c:pt>
              <c:pt idx="12">
                <c:v>V</c:v>
              </c:pt>
              <c:pt idx="13">
                <c:v>Y</c:v>
              </c:pt>
              <c:pt idx="14">
                <c:v>Zr</c:v>
              </c:pt>
            </c:strLit>
          </c:cat>
          <c:val>
            <c:numRef>
              <c:f>'Spider diagram'!$E$26:$E$40</c:f>
              <c:numCache>
                <c:formatCode>0.00</c:formatCode>
                <c:ptCount val="15"/>
                <c:pt idx="0">
                  <c:v>1.1163784076885679</c:v>
                </c:pt>
                <c:pt idx="1">
                  <c:v>0.3925646049313008</c:v>
                </c:pt>
                <c:pt idx="2">
                  <c:v>0.60709848122359655</c:v>
                </c:pt>
                <c:pt idx="3">
                  <c:v>0.48748425479753071</c:v>
                </c:pt>
                <c:pt idx="4">
                  <c:v>1.0480200885479329</c:v>
                </c:pt>
                <c:pt idx="5">
                  <c:v>0.43469219370709122</c:v>
                </c:pt>
                <c:pt idx="6">
                  <c:v>0.3100656774095405</c:v>
                </c:pt>
                <c:pt idx="7">
                  <c:v>0.82425340838324046</c:v>
                </c:pt>
                <c:pt idx="8">
                  <c:v>0.74111892550685199</c:v>
                </c:pt>
                <c:pt idx="9">
                  <c:v>0.59856453159241407</c:v>
                </c:pt>
                <c:pt idx="10">
                  <c:v>0.73319781486301216</c:v>
                </c:pt>
                <c:pt idx="11">
                  <c:v>0.79982287654084649</c:v>
                </c:pt>
                <c:pt idx="12">
                  <c:v>0.73621128510540046</c:v>
                </c:pt>
                <c:pt idx="13">
                  <c:v>1.1347486205583284</c:v>
                </c:pt>
                <c:pt idx="14">
                  <c:v>0.86872604703813827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B-4F92-B199-64396C4FA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93632"/>
        <c:axId val="156695552"/>
      </c:lineChart>
      <c:dateAx>
        <c:axId val="156693632"/>
        <c:scaling>
          <c:orientation val="minMax"/>
        </c:scaling>
        <c:delete val="0"/>
        <c:axPos val="b"/>
        <c:majorGridlines>
          <c:spPr>
            <a:ln w="3175" cap="flat" cmpd="sng" algn="ctr">
              <a:noFill/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2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695552"/>
        <c:crossesAt val="1.0000000000000005E-2"/>
        <c:auto val="0"/>
        <c:lblOffset val="100"/>
        <c:baseTimeUnit val="days"/>
        <c:majorUnit val="1"/>
        <c:minorUnit val="1"/>
      </c:dateAx>
      <c:valAx>
        <c:axId val="156695552"/>
        <c:scaling>
          <c:logBase val="10"/>
          <c:orientation val="minMax"/>
          <c:max val="100"/>
          <c:min val="1.0000000000000005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AU" sz="1200" b="1">
                    <a:solidFill>
                      <a:sysClr val="windowText" lastClr="000000"/>
                    </a:solidFill>
                  </a:rPr>
                  <a:t>Average composition/PAAS</a:t>
                </a:r>
              </a:p>
            </c:rich>
          </c:tx>
          <c:layout>
            <c:manualLayout>
              <c:xMode val="edge"/>
              <c:yMode val="edge"/>
              <c:x val="2.3512492190001532E-3"/>
              <c:y val="0.23844651809269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6693632"/>
        <c:crossesAt val="1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DA-4FE8-956E-4E6799BD477D}"/>
              </c:ext>
            </c:extLst>
          </c:dPt>
          <c:xVal>
            <c:numLit>
              <c:formatCode>General</c:formatCode>
              <c:ptCount val="1"/>
            </c:numLit>
          </c:xVal>
          <c:yVal>
            <c:numLit>
              <c:formatCode>General</c:formatCode>
              <c:ptCount val="1"/>
            </c:numLit>
          </c:yVal>
          <c:smooth val="0"/>
          <c:extLst>
            <c:ext xmlns:c16="http://schemas.microsoft.com/office/drawing/2014/chart" uri="{C3380CC4-5D6E-409C-BE32-E72D297353CC}">
              <c16:uniqueId val="{00000001-CFDA-4FE8-956E-4E6799BD477D}"/>
            </c:ext>
          </c:extLst>
        </c:ser>
        <c:ser>
          <c:idx val="2"/>
          <c:order val="1"/>
          <c:spPr>
            <a:ln w="19050">
              <a:noFill/>
            </a:ln>
          </c:spPr>
          <c:xVal>
            <c:numLit>
              <c:formatCode>General</c:formatCode>
              <c:ptCount val="1"/>
            </c:numLit>
          </c:xVal>
          <c:yVal>
            <c:numLit>
              <c:formatCode>General</c:formatCode>
              <c:ptCount val="1"/>
            </c:numLit>
          </c:yVal>
          <c:smooth val="0"/>
          <c:extLst>
            <c:ext xmlns:c16="http://schemas.microsoft.com/office/drawing/2014/chart" uri="{C3380CC4-5D6E-409C-BE32-E72D297353CC}">
              <c16:uniqueId val="{00000002-CFDA-4FE8-956E-4E6799BD477D}"/>
            </c:ext>
          </c:extLst>
        </c:ser>
        <c:ser>
          <c:idx val="3"/>
          <c:order val="2"/>
          <c:spPr>
            <a:ln w="19050">
              <a:noFill/>
            </a:ln>
          </c:spPr>
          <c:xVal>
            <c:numLit>
              <c:formatCode>General</c:formatCode>
              <c:ptCount val="1"/>
            </c:numLit>
          </c:xVal>
          <c:yVal>
            <c:numLit>
              <c:formatCode>General</c:formatCode>
              <c:ptCount val="1"/>
            </c:numLit>
          </c:yVal>
          <c:smooth val="0"/>
          <c:extLst>
            <c:ext xmlns:c16="http://schemas.microsoft.com/office/drawing/2014/chart" uri="{C3380CC4-5D6E-409C-BE32-E72D297353CC}">
              <c16:uniqueId val="{00000003-CFDA-4FE8-956E-4E6799BD477D}"/>
            </c:ext>
          </c:extLst>
        </c:ser>
        <c:ser>
          <c:idx val="4"/>
          <c:order val="3"/>
          <c:tx>
            <c:v>PFB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'Tectonic set. - DF diagram'!$X$5:$X$20</c:f>
              <c:numCache>
                <c:formatCode>0.00</c:formatCode>
                <c:ptCount val="16"/>
                <c:pt idx="0">
                  <c:v>0.96255116288853948</c:v>
                </c:pt>
                <c:pt idx="1">
                  <c:v>-0.58926361494543711</c:v>
                </c:pt>
                <c:pt idx="2">
                  <c:v>-0.20562079501918307</c:v>
                </c:pt>
                <c:pt idx="3">
                  <c:v>-0.62230222254593492</c:v>
                </c:pt>
                <c:pt idx="4">
                  <c:v>-0.50642526473279936</c:v>
                </c:pt>
                <c:pt idx="5">
                  <c:v>-0.63418739431976734</c:v>
                </c:pt>
                <c:pt idx="6">
                  <c:v>-0.23145861043547167</c:v>
                </c:pt>
                <c:pt idx="7">
                  <c:v>0.5307866701446744</c:v>
                </c:pt>
                <c:pt idx="8">
                  <c:v>-0.95512057950434981</c:v>
                </c:pt>
                <c:pt idx="9">
                  <c:v>5.7426818281878234E-2</c:v>
                </c:pt>
                <c:pt idx="10">
                  <c:v>-0.38246679804952111</c:v>
                </c:pt>
                <c:pt idx="11">
                  <c:v>0.48009839117022235</c:v>
                </c:pt>
                <c:pt idx="12">
                  <c:v>0.26458677841276179</c:v>
                </c:pt>
                <c:pt idx="13">
                  <c:v>0.10115885916978362</c:v>
                </c:pt>
                <c:pt idx="14">
                  <c:v>0.70200877967286424</c:v>
                </c:pt>
                <c:pt idx="15">
                  <c:v>0.14460210614734414</c:v>
                </c:pt>
              </c:numCache>
            </c:numRef>
          </c:xVal>
          <c:yVal>
            <c:numRef>
              <c:f>'Tectonic set. - DF diagram'!$Y$5:$Y$20</c:f>
              <c:numCache>
                <c:formatCode>0.00</c:formatCode>
                <c:ptCount val="16"/>
                <c:pt idx="0">
                  <c:v>-3.2026469627507499</c:v>
                </c:pt>
                <c:pt idx="1">
                  <c:v>-0.44578759066204066</c:v>
                </c:pt>
                <c:pt idx="2">
                  <c:v>-0.64041742933010681</c:v>
                </c:pt>
                <c:pt idx="3">
                  <c:v>-1.5330370884975064</c:v>
                </c:pt>
                <c:pt idx="4">
                  <c:v>0.19806246575740571</c:v>
                </c:pt>
                <c:pt idx="5">
                  <c:v>-0.37011486402187643</c:v>
                </c:pt>
                <c:pt idx="6">
                  <c:v>0.61485033293951652</c:v>
                </c:pt>
                <c:pt idx="7">
                  <c:v>-8.5628242058257698E-3</c:v>
                </c:pt>
                <c:pt idx="8">
                  <c:v>-0.46285734917405075</c:v>
                </c:pt>
                <c:pt idx="9">
                  <c:v>0.45466314722278067</c:v>
                </c:pt>
                <c:pt idx="10">
                  <c:v>-0.23708982635827158</c:v>
                </c:pt>
                <c:pt idx="11">
                  <c:v>0.18375443954235715</c:v>
                </c:pt>
                <c:pt idx="12">
                  <c:v>-0.14930554422866749</c:v>
                </c:pt>
                <c:pt idx="13">
                  <c:v>-0.54630486118371879</c:v>
                </c:pt>
                <c:pt idx="14">
                  <c:v>-2.1803620422714927</c:v>
                </c:pt>
                <c:pt idx="15">
                  <c:v>-0.30181042367166699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DA-4FE8-956E-4E6799BD4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31328"/>
        <c:axId val="156550272"/>
      </c:scatterChart>
      <c:valAx>
        <c:axId val="156531328"/>
        <c:scaling>
          <c:orientation val="minMax"/>
          <c:max val="8"/>
          <c:min val="-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DF 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550272"/>
        <c:crossesAt val="-8"/>
        <c:crossBetween val="midCat"/>
        <c:majorUnit val="4"/>
      </c:valAx>
      <c:valAx>
        <c:axId val="156550272"/>
        <c:scaling>
          <c:orientation val="minMax"/>
          <c:max val="8"/>
          <c:min val="-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DF 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531328"/>
        <c:crossesAt val="-8"/>
        <c:crossBetween val="midCat"/>
        <c:majorUnit val="4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10"/>
          </c:marker>
          <c:xVal>
            <c:numRef>
              <c:f>'Tectonic set. - DF diagram'!$Z$28:$Z$43</c:f>
              <c:numCache>
                <c:formatCode>General</c:formatCode>
                <c:ptCount val="16"/>
                <c:pt idx="0">
                  <c:v>-16.746043116105049</c:v>
                </c:pt>
                <c:pt idx="1">
                  <c:v>-12.112334847462357</c:v>
                </c:pt>
                <c:pt idx="2">
                  <c:v>-11.706794508436804</c:v>
                </c:pt>
                <c:pt idx="3">
                  <c:v>-14.700355888634892</c:v>
                </c:pt>
                <c:pt idx="4">
                  <c:v>-8.7358545958386156</c:v>
                </c:pt>
                <c:pt idx="5">
                  <c:v>-11.257847187984511</c:v>
                </c:pt>
                <c:pt idx="6">
                  <c:v>-8.8970298542374557</c:v>
                </c:pt>
                <c:pt idx="7">
                  <c:v>-11.945416422447821</c:v>
                </c:pt>
                <c:pt idx="8">
                  <c:v>-12.214322794037905</c:v>
                </c:pt>
                <c:pt idx="9">
                  <c:v>-10.023302383548781</c:v>
                </c:pt>
                <c:pt idx="10">
                  <c:v>-12.203731331532081</c:v>
                </c:pt>
                <c:pt idx="11">
                  <c:v>-10.248563547575387</c:v>
                </c:pt>
                <c:pt idx="12">
                  <c:v>-11.66448117757059</c:v>
                </c:pt>
                <c:pt idx="13">
                  <c:v>-12.52390115210282</c:v>
                </c:pt>
                <c:pt idx="14">
                  <c:v>-16.737390939153201</c:v>
                </c:pt>
                <c:pt idx="15">
                  <c:v>-12.181496777585808</c:v>
                </c:pt>
              </c:numCache>
            </c:numRef>
          </c:xVal>
          <c:yVal>
            <c:numRef>
              <c:f>'Tectonic set. - DF diagram'!$AG$28:$AG$43</c:f>
              <c:numCache>
                <c:formatCode>General</c:formatCode>
                <c:ptCount val="16"/>
                <c:pt idx="0">
                  <c:v>1</c:v>
                </c:pt>
                <c:pt idx="1">
                  <c:v>0.99999999999999989</c:v>
                </c:pt>
                <c:pt idx="2">
                  <c:v>0.99999999999999978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0.99999999999999989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3F-4977-96BB-8EB01132B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73504"/>
        <c:axId val="109987328"/>
      </c:scatterChart>
      <c:valAx>
        <c:axId val="109973504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DF(A-P)M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9987328"/>
        <c:crossesAt val="0"/>
        <c:crossBetween val="midCat"/>
        <c:majorUnit val="1"/>
        <c:minorUnit val="0.1"/>
      </c:valAx>
      <c:valAx>
        <c:axId val="10998732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9973504"/>
        <c:crosses val="autoZero"/>
        <c:crossBetween val="midCat"/>
        <c:majorUnit val="1"/>
      </c:valAx>
    </c:plotArea>
    <c:plotVisOnly val="1"/>
    <c:dispBlanksAs val="gap"/>
    <c:showDLblsOverMax val="0"/>
  </c:chart>
  <c:spPr>
    <a:ln w="1270">
      <a:solidFill>
        <a:sysClr val="windowText" lastClr="000000"/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PFB</c:v>
          </c:tx>
          <c:spPr>
            <a:ln w="19050">
              <a:noFill/>
            </a:ln>
          </c:spPr>
          <c:marker>
            <c:symbol val="diamond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'Tectonic set. - DF diagram'!$AL$51:$AL$66</c:f>
              <c:numCache>
                <c:formatCode>General</c:formatCode>
                <c:ptCount val="16"/>
                <c:pt idx="0">
                  <c:v>-1.911402310343524</c:v>
                </c:pt>
                <c:pt idx="1">
                  <c:v>-2.39645917297943</c:v>
                </c:pt>
                <c:pt idx="2">
                  <c:v>-1.6213636192807463</c:v>
                </c:pt>
                <c:pt idx="3">
                  <c:v>-2.4783259545062712</c:v>
                </c:pt>
                <c:pt idx="4">
                  <c:v>-1.5593782584921581</c:v>
                </c:pt>
                <c:pt idx="5">
                  <c:v>-2.2642552552625084</c:v>
                </c:pt>
                <c:pt idx="6">
                  <c:v>-1.7019483388126169</c:v>
                </c:pt>
                <c:pt idx="7">
                  <c:v>-2.6020356488297463</c:v>
                </c:pt>
                <c:pt idx="8">
                  <c:v>-1.8715215421529106</c:v>
                </c:pt>
                <c:pt idx="9">
                  <c:v>-1.6379282565436188</c:v>
                </c:pt>
                <c:pt idx="10">
                  <c:v>-2.3550294971495092</c:v>
                </c:pt>
                <c:pt idx="11">
                  <c:v>-2.2294093059218572</c:v>
                </c:pt>
                <c:pt idx="12">
                  <c:v>-1.579255372831982</c:v>
                </c:pt>
                <c:pt idx="13">
                  <c:v>-1.6745361152626881</c:v>
                </c:pt>
                <c:pt idx="14">
                  <c:v>-2.2143222370802356</c:v>
                </c:pt>
                <c:pt idx="15">
                  <c:v>-2.9377780153883162</c:v>
                </c:pt>
              </c:numCache>
            </c:numRef>
          </c:xVal>
          <c:yVal>
            <c:numRef>
              <c:f>'Tectonic set. - DF diagram'!$AS$51:$AS$66</c:f>
              <c:numCache>
                <c:formatCode>General</c:formatCode>
                <c:ptCount val="16"/>
                <c:pt idx="0">
                  <c:v>1</c:v>
                </c:pt>
                <c:pt idx="1">
                  <c:v>1.0000000000000002</c:v>
                </c:pt>
                <c:pt idx="2">
                  <c:v>1</c:v>
                </c:pt>
                <c:pt idx="3">
                  <c:v>0.99999999999999978</c:v>
                </c:pt>
                <c:pt idx="4">
                  <c:v>1</c:v>
                </c:pt>
                <c:pt idx="5">
                  <c:v>0.99999999999999956</c:v>
                </c:pt>
                <c:pt idx="6">
                  <c:v>1</c:v>
                </c:pt>
                <c:pt idx="7">
                  <c:v>1</c:v>
                </c:pt>
                <c:pt idx="8">
                  <c:v>1.0000000000000002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60-4904-8B1B-1EC3FCB68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44064"/>
        <c:axId val="88412160"/>
      </c:scatterChart>
      <c:valAx>
        <c:axId val="81144064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 lang="en-AU" sz="10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DF</a:t>
                </a:r>
                <a:r>
                  <a:rPr lang="en-US" sz="1000" baseline="-25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(A-P)MT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88412160"/>
        <c:crossesAt val="0"/>
        <c:crossBetween val="midCat"/>
        <c:majorUnit val="1"/>
        <c:minorUnit val="0.1"/>
      </c:valAx>
      <c:valAx>
        <c:axId val="8841216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81144064"/>
        <c:crossesAt val="0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Trace!$AP$3:$AP$18</c:f>
              <c:numCache>
                <c:formatCode>0.000</c:formatCode>
                <c:ptCount val="16"/>
                <c:pt idx="0">
                  <c:v>2.013562603665314</c:v>
                </c:pt>
                <c:pt idx="1">
                  <c:v>1.8334549943512528</c:v>
                </c:pt>
                <c:pt idx="2">
                  <c:v>1.5940057720889795</c:v>
                </c:pt>
                <c:pt idx="3">
                  <c:v>8.8392622763908424</c:v>
                </c:pt>
                <c:pt idx="4">
                  <c:v>1.5363337032949085</c:v>
                </c:pt>
                <c:pt idx="5">
                  <c:v>1.9021198305209359</c:v>
                </c:pt>
                <c:pt idx="6">
                  <c:v>1.3827979149091616</c:v>
                </c:pt>
                <c:pt idx="7">
                  <c:v>1.3160343951504085</c:v>
                </c:pt>
                <c:pt idx="8">
                  <c:v>1.58556730480013</c:v>
                </c:pt>
                <c:pt idx="9">
                  <c:v>1.6056479867984166</c:v>
                </c:pt>
                <c:pt idx="10">
                  <c:v>2.3978450725559357</c:v>
                </c:pt>
                <c:pt idx="11">
                  <c:v>1.5324031142715304</c:v>
                </c:pt>
                <c:pt idx="12">
                  <c:v>1.7692654242439316</c:v>
                </c:pt>
                <c:pt idx="13">
                  <c:v>1.7818885203896437</c:v>
                </c:pt>
                <c:pt idx="14">
                  <c:v>1.0665569831676405</c:v>
                </c:pt>
                <c:pt idx="15">
                  <c:v>1.5132987349988933</c:v>
                </c:pt>
              </c:numCache>
            </c:numRef>
          </c:xVal>
          <c:yVal>
            <c:numRef>
              <c:f>Trace!$AO$3:$AO$18</c:f>
              <c:numCache>
                <c:formatCode>0.000</c:formatCode>
                <c:ptCount val="16"/>
                <c:pt idx="0">
                  <c:v>0.11916391288336847</c:v>
                </c:pt>
                <c:pt idx="1">
                  <c:v>0.60620109488153373</c:v>
                </c:pt>
                <c:pt idx="2">
                  <c:v>1.2387336845817101</c:v>
                </c:pt>
                <c:pt idx="3">
                  <c:v>2.2327565176832898</c:v>
                </c:pt>
                <c:pt idx="4">
                  <c:v>1.2906213759810408</c:v>
                </c:pt>
                <c:pt idx="5">
                  <c:v>0.83678096758069098</c:v>
                </c:pt>
                <c:pt idx="6">
                  <c:v>1.2043621909661761</c:v>
                </c:pt>
                <c:pt idx="7">
                  <c:v>0.98739201931087328</c:v>
                </c:pt>
                <c:pt idx="8">
                  <c:v>0.58150966004300075</c:v>
                </c:pt>
                <c:pt idx="9">
                  <c:v>1.0056570980453119</c:v>
                </c:pt>
                <c:pt idx="10">
                  <c:v>0.53093379401276497</c:v>
                </c:pt>
                <c:pt idx="11">
                  <c:v>0.77563991820807343</c:v>
                </c:pt>
                <c:pt idx="12">
                  <c:v>1.2238790001637088</c:v>
                </c:pt>
                <c:pt idx="13">
                  <c:v>0.63473182425297092</c:v>
                </c:pt>
                <c:pt idx="14">
                  <c:v>0.12017619608658335</c:v>
                </c:pt>
                <c:pt idx="15">
                  <c:v>0.62018194385444625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BB-425B-967C-CC5EE03DA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50432"/>
        <c:axId val="129636992"/>
      </c:scatterChart>
      <c:valAx>
        <c:axId val="127650432"/>
        <c:scaling>
          <c:orientation val="minMax"/>
          <c:max val="12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La/Sc</a:t>
                </a:r>
                <a:endParaRPr lang="el-GR" sz="1200"/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29636992"/>
        <c:crossesAt val="0.1"/>
        <c:crossBetween val="midCat"/>
      </c:valAx>
      <c:valAx>
        <c:axId val="129636992"/>
        <c:scaling>
          <c:logBase val="10"/>
          <c:orientation val="minMax"/>
          <c:max val="1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Co/Th</a:t>
                </a:r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27650432"/>
        <c:crossesAt val="0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Trace!$AI$3:$AI$18</c:f>
              <c:numCache>
                <c:formatCode>0.000</c:formatCode>
                <c:ptCount val="16"/>
                <c:pt idx="0">
                  <c:v>9.6257455620639636</c:v>
                </c:pt>
                <c:pt idx="1">
                  <c:v>13.830838024721455</c:v>
                </c:pt>
                <c:pt idx="2">
                  <c:v>9.5476732895714775</c:v>
                </c:pt>
                <c:pt idx="3">
                  <c:v>8.8661526111195919</c:v>
                </c:pt>
                <c:pt idx="4">
                  <c:v>7.8935288897618081</c:v>
                </c:pt>
                <c:pt idx="5">
                  <c:v>13.832049870712174</c:v>
                </c:pt>
                <c:pt idx="6">
                  <c:v>8.8148260941166026</c:v>
                </c:pt>
                <c:pt idx="7">
                  <c:v>6.1130789185754981</c:v>
                </c:pt>
                <c:pt idx="8">
                  <c:v>10.231588156148307</c:v>
                </c:pt>
                <c:pt idx="9">
                  <c:v>9.2089332325160402</c:v>
                </c:pt>
                <c:pt idx="10">
                  <c:v>27.266868113977722</c:v>
                </c:pt>
                <c:pt idx="11">
                  <c:v>9.0657284935900222</c:v>
                </c:pt>
                <c:pt idx="12">
                  <c:v>11.245661419929109</c:v>
                </c:pt>
                <c:pt idx="13">
                  <c:v>8.9963408459967251</c:v>
                </c:pt>
                <c:pt idx="14">
                  <c:v>10.300661540356829</c:v>
                </c:pt>
                <c:pt idx="15">
                  <c:v>11.948541058509344</c:v>
                </c:pt>
              </c:numCache>
            </c:numRef>
          </c:xVal>
          <c:yVal>
            <c:numRef>
              <c:f>Trace!$AH$3:$AH$18</c:f>
              <c:numCache>
                <c:formatCode>0.000</c:formatCode>
                <c:ptCount val="16"/>
                <c:pt idx="0">
                  <c:v>0.70079579209918708</c:v>
                </c:pt>
                <c:pt idx="1">
                  <c:v>0.63947700374658711</c:v>
                </c:pt>
                <c:pt idx="2">
                  <c:v>0.54735615608877863</c:v>
                </c:pt>
                <c:pt idx="3">
                  <c:v>0.52773936462679882</c:v>
                </c:pt>
                <c:pt idx="4">
                  <c:v>0.51753328789474284</c:v>
                </c:pt>
                <c:pt idx="5">
                  <c:v>0.77328867848662242</c:v>
                </c:pt>
                <c:pt idx="6">
                  <c:v>0.49615476985137652</c:v>
                </c:pt>
                <c:pt idx="7">
                  <c:v>0.51852923103189286</c:v>
                </c:pt>
                <c:pt idx="8">
                  <c:v>0.64415740697195012</c:v>
                </c:pt>
                <c:pt idx="9">
                  <c:v>0.56520978700100388</c:v>
                </c:pt>
                <c:pt idx="10">
                  <c:v>0.87501721651046316</c:v>
                </c:pt>
                <c:pt idx="11">
                  <c:v>0.55192952301917408</c:v>
                </c:pt>
                <c:pt idx="12">
                  <c:v>0.69497019503957713</c:v>
                </c:pt>
                <c:pt idx="13">
                  <c:v>0.72941146792002409</c:v>
                </c:pt>
                <c:pt idx="14">
                  <c:v>0.87000903744739688</c:v>
                </c:pt>
                <c:pt idx="15">
                  <c:v>0.57521992342888117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73-4682-BC43-2038735E1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574720"/>
        <c:axId val="127264256"/>
      </c:scatterChart>
      <c:valAx>
        <c:axId val="124574720"/>
        <c:scaling>
          <c:logBase val="10"/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Zr/Sc</a:t>
                </a:r>
                <a:endParaRPr lang="el-GR" sz="1200"/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27264256"/>
        <c:crossesAt val="1.0000000000000005E-2"/>
        <c:crossBetween val="midCat"/>
      </c:valAx>
      <c:valAx>
        <c:axId val="127264256"/>
        <c:scaling>
          <c:logBase val="10"/>
          <c:orientation val="minMax"/>
          <c:max val="10"/>
          <c:min val="1.0000000000000005E-2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Th/Sc</a:t>
                </a:r>
                <a:endParaRPr lang="el-GR" sz="1200"/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24574720"/>
        <c:crossesAt val="1.0000000000000005E-2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35826836531499"/>
          <c:y val="3.9231919336702545E-2"/>
          <c:w val="0.78043485425652592"/>
          <c:h val="0.7955837271502854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Trace!$J$3:$J$18</c:f>
              <c:numCache>
                <c:formatCode>0.000</c:formatCode>
                <c:ptCount val="16"/>
                <c:pt idx="0">
                  <c:v>4.4114973482862858</c:v>
                </c:pt>
                <c:pt idx="1">
                  <c:v>6.4792661184913403</c:v>
                </c:pt>
                <c:pt idx="2">
                  <c:v>4.9016637203180951</c:v>
                </c:pt>
                <c:pt idx="3">
                  <c:v>4.8428051598969528</c:v>
                </c:pt>
                <c:pt idx="4">
                  <c:v>4.8910498815536272</c:v>
                </c:pt>
                <c:pt idx="5">
                  <c:v>5.4294609752421108</c:v>
                </c:pt>
                <c:pt idx="6">
                  <c:v>4.4896537973700976</c:v>
                </c:pt>
                <c:pt idx="7">
                  <c:v>3.4195858710250651</c:v>
                </c:pt>
                <c:pt idx="8">
                  <c:v>4.813858326902948</c:v>
                </c:pt>
                <c:pt idx="9">
                  <c:v>4.466496330974894</c:v>
                </c:pt>
                <c:pt idx="10">
                  <c:v>9.2967578632411119</c:v>
                </c:pt>
                <c:pt idx="11">
                  <c:v>5.351304526158299</c:v>
                </c:pt>
                <c:pt idx="12">
                  <c:v>5.0811340848809232</c:v>
                </c:pt>
                <c:pt idx="13">
                  <c:v>4.2339567725897247</c:v>
                </c:pt>
                <c:pt idx="14">
                  <c:v>4.9248211867132996</c:v>
                </c:pt>
                <c:pt idx="15">
                  <c:v>6.8082951201898583</c:v>
                </c:pt>
              </c:numCache>
            </c:numRef>
          </c:xVal>
          <c:yVal>
            <c:numRef>
              <c:f>Trace!$AL$3:$AL$18</c:f>
              <c:numCache>
                <c:formatCode>0.000</c:formatCode>
                <c:ptCount val="16"/>
                <c:pt idx="0">
                  <c:v>2.8732515611057274</c:v>
                </c:pt>
                <c:pt idx="1">
                  <c:v>2.8671163835593019</c:v>
                </c:pt>
                <c:pt idx="2">
                  <c:v>2.9121911836695213</c:v>
                </c:pt>
                <c:pt idx="3">
                  <c:v>16.749294952901039</c:v>
                </c:pt>
                <c:pt idx="4">
                  <c:v>2.9685698277390258</c:v>
                </c:pt>
                <c:pt idx="5">
                  <c:v>2.4597797477696317</c:v>
                </c:pt>
                <c:pt idx="6">
                  <c:v>2.78702936852422</c:v>
                </c:pt>
                <c:pt idx="7">
                  <c:v>2.5380138985249689</c:v>
                </c:pt>
                <c:pt idx="8">
                  <c:v>2.4614594005113624</c:v>
                </c:pt>
                <c:pt idx="9">
                  <c:v>2.8408000422603523</c:v>
                </c:pt>
                <c:pt idx="10">
                  <c:v>2.7403404496638983</c:v>
                </c:pt>
                <c:pt idx="11">
                  <c:v>2.7764470831148031</c:v>
                </c:pt>
                <c:pt idx="12">
                  <c:v>2.5458148232431403</c:v>
                </c:pt>
                <c:pt idx="13">
                  <c:v>2.4429126751610353</c:v>
                </c:pt>
                <c:pt idx="14">
                  <c:v>1.2259148322147486</c:v>
                </c:pt>
                <c:pt idx="15">
                  <c:v>2.6308176635783616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40-4AA1-B3A6-E0318DD88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11648"/>
        <c:axId val="127623552"/>
      </c:scatterChart>
      <c:valAx>
        <c:axId val="127611648"/>
        <c:scaling>
          <c:orientation val="minMax"/>
          <c:max val="15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Hf</a:t>
                </a:r>
                <a:endParaRPr lang="el-GR" sz="1200"/>
              </a:p>
            </c:rich>
          </c:tx>
          <c:overlay val="0"/>
        </c:title>
        <c:numFmt formatCode="0" sourceLinked="0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27623552"/>
        <c:crosses val="autoZero"/>
        <c:crossBetween val="midCat"/>
        <c:majorUnit val="5"/>
      </c:valAx>
      <c:valAx>
        <c:axId val="127623552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La/Th</a:t>
                </a:r>
                <a:endParaRPr lang="el-GR" sz="1200"/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27611648"/>
        <c:crosses val="autoZero"/>
        <c:crossBetween val="midCat"/>
        <c:majorUnit val="5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xVal>
            <c:numRef>
              <c:f>Trace!$AU$3:$AU$18</c:f>
              <c:numCache>
                <c:formatCode>0.000</c:formatCode>
                <c:ptCount val="16"/>
                <c:pt idx="0">
                  <c:v>0.27052194172791344</c:v>
                </c:pt>
                <c:pt idx="1">
                  <c:v>0.22735925066792892</c:v>
                </c:pt>
                <c:pt idx="2">
                  <c:v>0.21722064440328451</c:v>
                </c:pt>
                <c:pt idx="3">
                  <c:v>0.19531366479104115</c:v>
                </c:pt>
                <c:pt idx="4">
                  <c:v>0.1878999036971232</c:v>
                </c:pt>
                <c:pt idx="5">
                  <c:v>0.23375867296693134</c:v>
                </c:pt>
                <c:pt idx="6">
                  <c:v>0.20757224253421908</c:v>
                </c:pt>
                <c:pt idx="7">
                  <c:v>0.25501186603385406</c:v>
                </c:pt>
                <c:pt idx="8">
                  <c:v>0.25432666297588524</c:v>
                </c:pt>
                <c:pt idx="9">
                  <c:v>0.23288879969134402</c:v>
                </c:pt>
                <c:pt idx="10">
                  <c:v>0.3023097134481682</c:v>
                </c:pt>
                <c:pt idx="11">
                  <c:v>0.19897000576994797</c:v>
                </c:pt>
                <c:pt idx="12">
                  <c:v>0.24764397387926176</c:v>
                </c:pt>
                <c:pt idx="13">
                  <c:v>0.2678482338675599</c:v>
                </c:pt>
                <c:pt idx="14">
                  <c:v>0.28123394630997717</c:v>
                </c:pt>
                <c:pt idx="15">
                  <c:v>0.20647847546691217</c:v>
                </c:pt>
              </c:numCache>
            </c:numRef>
          </c:xVal>
          <c:yVal>
            <c:numRef>
              <c:f>Trace!$AT$3:$AT$18</c:f>
              <c:numCache>
                <c:formatCode>0.000</c:formatCode>
                <c:ptCount val="16"/>
                <c:pt idx="0">
                  <c:v>3.7946850852317757</c:v>
                </c:pt>
                <c:pt idx="1">
                  <c:v>3.4384471057870036</c:v>
                </c:pt>
                <c:pt idx="2">
                  <c:v>3.0673038922141584</c:v>
                </c:pt>
                <c:pt idx="3">
                  <c:v>2.6703261301805825</c:v>
                </c:pt>
                <c:pt idx="4">
                  <c:v>2.97204770873824</c:v>
                </c:pt>
                <c:pt idx="5">
                  <c:v>3.8289082376688208</c:v>
                </c:pt>
                <c:pt idx="6">
                  <c:v>2.9572942247817871</c:v>
                </c:pt>
                <c:pt idx="7">
                  <c:v>3.8872883293334337</c:v>
                </c:pt>
                <c:pt idx="8">
                  <c:v>3.9042063054140383</c:v>
                </c:pt>
                <c:pt idx="9">
                  <c:v>3.3378679721299394</c:v>
                </c:pt>
                <c:pt idx="10">
                  <c:v>4.2988427996777681</c:v>
                </c:pt>
                <c:pt idx="11">
                  <c:v>2.9597669833002462</c:v>
                </c:pt>
                <c:pt idx="12">
                  <c:v>3.525132035650032</c:v>
                </c:pt>
                <c:pt idx="13">
                  <c:v>4.0604172447179385</c:v>
                </c:pt>
                <c:pt idx="14">
                  <c:v>6.2291333680426559</c:v>
                </c:pt>
                <c:pt idx="15">
                  <c:v>3.3101637502548589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DF-4A3D-A002-D51AAFF95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93280"/>
        <c:axId val="157812224"/>
      </c:scatterChart>
      <c:valAx>
        <c:axId val="157793280"/>
        <c:scaling>
          <c:logBase val="10"/>
          <c:orientation val="minMax"/>
          <c:max val="10"/>
          <c:min val="1.0000000000000005E-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Ta/Yb</a:t>
                </a:r>
                <a:endParaRPr lang="el-GR" sz="1200"/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57812224"/>
        <c:crossesAt val="1.0000000000000005E-2"/>
        <c:crossBetween val="midCat"/>
      </c:valAx>
      <c:valAx>
        <c:axId val="157812224"/>
        <c:scaling>
          <c:logBase val="10"/>
          <c:orientation val="minMax"/>
          <c:max val="100"/>
          <c:min val="1.0000000000000005E-2"/>
        </c:scaling>
        <c:delete val="0"/>
        <c:axPos val="l"/>
        <c:majorGridlines/>
        <c:minorGridlines>
          <c:spPr>
            <a:ln w="1270"/>
          </c:spPr>
        </c:min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Th/Yb</a:t>
                </a:r>
                <a:endParaRPr lang="el-GR" sz="1200"/>
              </a:p>
            </c:rich>
          </c:tx>
          <c:overlay val="0"/>
        </c:title>
        <c:numFmt formatCode="0.000" sourceLinked="1"/>
        <c:majorTickMark val="in"/>
        <c:minorTickMark val="in"/>
        <c:tickLblPos val="nextTo"/>
        <c:spPr>
          <a:ln>
            <a:solidFill>
              <a:sysClr val="windowText" lastClr="000000"/>
            </a:solidFill>
          </a:ln>
        </c:spPr>
        <c:crossAx val="157793280"/>
        <c:crossesAt val="1.0000000000000005E-2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497218124717"/>
          <c:y val="1.3455656196329679E-3"/>
          <c:w val="0.73700634047843672"/>
          <c:h val="0.9976750933137441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'A-CN-K'!$M$5:$M$20</c:f>
              <c:numCache>
                <c:formatCode>0.00_)</c:formatCode>
                <c:ptCount val="16"/>
                <c:pt idx="0">
                  <c:v>0.54423690919007028</c:v>
                </c:pt>
                <c:pt idx="1">
                  <c:v>0.4235619882966104</c:v>
                </c:pt>
                <c:pt idx="2">
                  <c:v>0.44972549747427687</c:v>
                </c:pt>
                <c:pt idx="3">
                  <c:v>0.44799171791238301</c:v>
                </c:pt>
                <c:pt idx="4">
                  <c:v>0.45666502971640183</c:v>
                </c:pt>
                <c:pt idx="5">
                  <c:v>0.44363177852482438</c:v>
                </c:pt>
                <c:pt idx="6">
                  <c:v>0.4214012524063892</c:v>
                </c:pt>
                <c:pt idx="7">
                  <c:v>0.47761464563666356</c:v>
                </c:pt>
                <c:pt idx="8">
                  <c:v>0.45530201932104281</c:v>
                </c:pt>
                <c:pt idx="9">
                  <c:v>0.4525130267378516</c:v>
                </c:pt>
                <c:pt idx="10">
                  <c:v>0.45183166775001565</c:v>
                </c:pt>
                <c:pt idx="11">
                  <c:v>0.4815320195355336</c:v>
                </c:pt>
                <c:pt idx="12">
                  <c:v>0.46370394354299893</c:v>
                </c:pt>
                <c:pt idx="13">
                  <c:v>0.48150288788069512</c:v>
                </c:pt>
                <c:pt idx="14">
                  <c:v>0.50134478253910864</c:v>
                </c:pt>
                <c:pt idx="15">
                  <c:v>0.45217581572041043</c:v>
                </c:pt>
              </c:numCache>
            </c:numRef>
          </c:xVal>
          <c:yVal>
            <c:numRef>
              <c:f>'A-CN-K'!$N$5:$N$20</c:f>
              <c:numCache>
                <c:formatCode>0.00_)</c:formatCode>
                <c:ptCount val="16"/>
                <c:pt idx="0">
                  <c:v>0.599723441619741</c:v>
                </c:pt>
                <c:pt idx="1">
                  <c:v>0.51851956758058826</c:v>
                </c:pt>
                <c:pt idx="2">
                  <c:v>0.54276305941587055</c:v>
                </c:pt>
                <c:pt idx="3">
                  <c:v>0.57708718556523009</c:v>
                </c:pt>
                <c:pt idx="4">
                  <c:v>0.51623319677749369</c:v>
                </c:pt>
                <c:pt idx="5">
                  <c:v>0.51155119145521977</c:v>
                </c:pt>
                <c:pt idx="6">
                  <c:v>0.52412196570632497</c:v>
                </c:pt>
                <c:pt idx="7">
                  <c:v>0.59579183858847995</c:v>
                </c:pt>
                <c:pt idx="8">
                  <c:v>0.57320346289598589</c:v>
                </c:pt>
                <c:pt idx="9">
                  <c:v>0.59220455902482694</c:v>
                </c:pt>
                <c:pt idx="10">
                  <c:v>0.58935546997782184</c:v>
                </c:pt>
                <c:pt idx="11">
                  <c:v>0.60487426813718115</c:v>
                </c:pt>
                <c:pt idx="12">
                  <c:v>0.59889327520812374</c:v>
                </c:pt>
                <c:pt idx="13">
                  <c:v>0.60971171592266604</c:v>
                </c:pt>
                <c:pt idx="14">
                  <c:v>0.66943371634141691</c:v>
                </c:pt>
                <c:pt idx="15">
                  <c:v>0.57508496077511562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177-4341-9BC1-904809EC5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879104"/>
        <c:axId val="1"/>
      </c:scatterChart>
      <c:valAx>
        <c:axId val="801879104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_)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_)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87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33" r="0.75000000000000033" t="1" header="0.5" footer="0.5"/>
    <c:pageSetup paperSize="9" orientation="landscape" horizontalDpi="200" verticalDpi="200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9363175216606866"/>
          <c:y val="4.6405515924929447E-2"/>
          <c:w val="6.3682478339313439E-2"/>
          <c:h val="0.7602540748237190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square"/>
            <c:size val="5"/>
            <c:spPr>
              <a:noFill/>
              <a:ln>
                <a:noFill/>
              </a:ln>
            </c:spPr>
          </c:marker>
          <c:xVal>
            <c:numLit>
              <c:formatCode>General</c:formatCode>
              <c:ptCount val="39"/>
              <c:pt idx="1">
                <c:v>1.9649259547934528</c:v>
              </c:pt>
              <c:pt idx="2">
                <c:v>1.8536585365853662</c:v>
              </c:pt>
              <c:pt idx="3">
                <c:v>1.627105666156202</c:v>
              </c:pt>
              <c:pt idx="4">
                <c:v>1.9966273187183812</c:v>
              </c:pt>
              <c:pt idx="5">
                <c:v>1.7564296520423597</c:v>
              </c:pt>
              <c:pt idx="6">
                <c:v>1.5984848484848482</c:v>
              </c:pt>
              <c:pt idx="7">
                <c:v>2.042662116040955</c:v>
              </c:pt>
              <c:pt idx="8">
                <c:v>2.0037771482530693</c:v>
              </c:pt>
              <c:pt idx="9">
                <c:v>1.6639477977161503</c:v>
              </c:pt>
              <c:pt idx="10">
                <c:v>1.863905325443787</c:v>
              </c:pt>
              <c:pt idx="11">
                <c:v>2.625830959164293</c:v>
              </c:pt>
              <c:pt idx="12">
                <c:v>2.1128584643848289</c:v>
              </c:pt>
              <c:pt idx="13">
                <c:v>1.7593167701863355</c:v>
              </c:pt>
              <c:pt idx="14">
                <c:v>2.0258843830888695</c:v>
              </c:pt>
              <c:pt idx="15">
                <c:v>1.9538855678906912</c:v>
              </c:pt>
              <c:pt idx="16">
                <c:v>1.5566166439290585</c:v>
              </c:pt>
              <c:pt idx="17">
                <c:v>2.0741989881956155</c:v>
              </c:pt>
              <c:pt idx="18">
                <c:v>2</c:v>
              </c:pt>
              <c:pt idx="19">
                <c:v>1.9277108433734942</c:v>
              </c:pt>
              <c:pt idx="20">
                <c:v>2.115254237288136</c:v>
              </c:pt>
              <c:pt idx="21">
                <c:v>1.8447412353923207</c:v>
              </c:pt>
              <c:pt idx="22">
                <c:v>2.2412241224122411</c:v>
              </c:pt>
              <c:pt idx="23">
                <c:v>2.3679775280898876</c:v>
              </c:pt>
              <c:pt idx="24">
                <c:v>1.7526881720430103</c:v>
              </c:pt>
              <c:pt idx="25">
                <c:v>1.0363748458692972</c:v>
              </c:pt>
              <c:pt idx="26">
                <c:v>1.0339409176618477</c:v>
              </c:pt>
              <c:pt idx="27">
                <c:v>1.0221948212083847</c:v>
              </c:pt>
              <c:pt idx="28">
                <c:v>1.5543885971492872</c:v>
              </c:pt>
              <c:pt idx="29">
                <c:v>1.3444010416666665</c:v>
              </c:pt>
              <c:pt idx="30">
                <c:v>1.5272084805653712</c:v>
              </c:pt>
              <c:pt idx="31">
                <c:v>1.5117079889807163</c:v>
              </c:pt>
              <c:pt idx="32">
                <c:v>1.5063025210084033</c:v>
              </c:pt>
              <c:pt idx="33">
                <c:v>1.5606488011283497</c:v>
              </c:pt>
              <c:pt idx="34">
                <c:v>1.4536516853932584</c:v>
              </c:pt>
              <c:pt idx="35">
                <c:v>1.3804277381723917</c:v>
              </c:pt>
              <c:pt idx="36">
                <c:v>1.0809061488673137</c:v>
              </c:pt>
              <c:pt idx="37">
                <c:v>1.4743687834736037</c:v>
              </c:pt>
              <c:pt idx="38">
                <c:v>1.6688988095238093</c:v>
              </c:pt>
            </c:numLit>
          </c:xVal>
          <c:yVal>
            <c:numLit>
              <c:formatCode>General</c:formatCode>
              <c:ptCount val="39"/>
              <c:pt idx="1">
                <c:v>73.735632183908052</c:v>
              </c:pt>
              <c:pt idx="2">
                <c:v>73.051224944320708</c:v>
              </c:pt>
              <c:pt idx="3">
                <c:v>71.210468920392572</c:v>
              </c:pt>
              <c:pt idx="4">
                <c:v>70.76372315035799</c:v>
              </c:pt>
              <c:pt idx="5">
                <c:v>74.269662921348328</c:v>
              </c:pt>
              <c:pt idx="6">
                <c:v>77.357485348961092</c:v>
              </c:pt>
              <c:pt idx="7">
                <c:v>72.078720787207871</c:v>
              </c:pt>
              <c:pt idx="8">
                <c:v>69.900990099009903</c:v>
              </c:pt>
              <c:pt idx="9">
                <c:v>71.821909783245474</c:v>
              </c:pt>
              <c:pt idx="10">
                <c:v>72.222222222222214</c:v>
              </c:pt>
              <c:pt idx="11">
                <c:v>72.871972318339104</c:v>
              </c:pt>
              <c:pt idx="12">
                <c:v>71.353135313531354</c:v>
              </c:pt>
              <c:pt idx="13">
                <c:v>72.563380281690144</c:v>
              </c:pt>
              <c:pt idx="14">
                <c:v>71.1916461916462</c:v>
              </c:pt>
              <c:pt idx="15">
                <c:v>71.055825242718441</c:v>
              </c:pt>
              <c:pt idx="16">
                <c:v>74.454037582529196</c:v>
              </c:pt>
              <c:pt idx="17">
                <c:v>70.511296076099867</c:v>
              </c:pt>
              <c:pt idx="18">
                <c:v>69.974715549936789</c:v>
              </c:pt>
              <c:pt idx="19">
                <c:v>70</c:v>
              </c:pt>
              <c:pt idx="20">
                <c:v>66.292134831460686</c:v>
              </c:pt>
              <c:pt idx="21">
                <c:v>70.595167943429587</c:v>
              </c:pt>
              <c:pt idx="22">
                <c:v>69.918187539332905</c:v>
              </c:pt>
              <c:pt idx="23">
                <c:v>69.621903520208591</c:v>
              </c:pt>
              <c:pt idx="24">
                <c:v>71.342465753424662</c:v>
              </c:pt>
              <c:pt idx="25">
                <c:v>74.063926940639263</c:v>
              </c:pt>
              <c:pt idx="26">
                <c:v>72.18693284936478</c:v>
              </c:pt>
              <c:pt idx="27">
                <c:v>71.390845070422529</c:v>
              </c:pt>
              <c:pt idx="28">
                <c:v>72.961138478379851</c:v>
              </c:pt>
              <c:pt idx="29">
                <c:v>74.418604651162795</c:v>
              </c:pt>
              <c:pt idx="30">
                <c:v>71.718195641155603</c:v>
              </c:pt>
              <c:pt idx="31">
                <c:v>72.382851445663022</c:v>
              </c:pt>
              <c:pt idx="32">
                <c:v>72.634791454730419</c:v>
              </c:pt>
              <c:pt idx="33">
                <c:v>72.904884318766079</c:v>
              </c:pt>
              <c:pt idx="34">
                <c:v>71.955533097523997</c:v>
              </c:pt>
              <c:pt idx="35">
                <c:v>74.54106280193237</c:v>
              </c:pt>
              <c:pt idx="36">
                <c:v>74.78218780251693</c:v>
              </c:pt>
              <c:pt idx="37">
                <c:v>71.93175564116676</c:v>
              </c:pt>
              <c:pt idx="38">
                <c:v>74.542429284525795</c:v>
              </c:pt>
            </c:numLit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PFB</c:v>
                </c15:tx>
              </c15:filteredSeriesTitle>
            </c:ext>
            <c:ext xmlns:c16="http://schemas.microsoft.com/office/drawing/2014/chart" uri="{C3380CC4-5D6E-409C-BE32-E72D297353CC}">
              <c16:uniqueId val="{00000000-3882-4234-A1C2-D44B2D179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270592"/>
        <c:axId val="156272896"/>
      </c:scatterChart>
      <c:valAx>
        <c:axId val="156270592"/>
        <c:scaling>
          <c:orientation val="minMax"/>
          <c:min val="0"/>
        </c:scaling>
        <c:delete val="1"/>
        <c:axPos val="b"/>
        <c:numFmt formatCode="0" sourceLinked="0"/>
        <c:majorTickMark val="in"/>
        <c:minorTickMark val="in"/>
        <c:tickLblPos val="nextTo"/>
        <c:crossAx val="156272896"/>
        <c:crosses val="autoZero"/>
        <c:crossBetween val="midCat"/>
        <c:majorUnit val="0.2"/>
        <c:minorUnit val="0.1"/>
      </c:valAx>
      <c:valAx>
        <c:axId val="15627289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2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CIA</a:t>
                </a:r>
                <a:endParaRPr lang="en-US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1393151190050032E-2"/>
              <c:y val="0.39095582078298591"/>
            </c:manualLayout>
          </c:layout>
          <c:overlay val="0"/>
        </c:title>
        <c:numFmt formatCode="0.0" sourceLinked="0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156270592"/>
        <c:crosses val="autoZero"/>
        <c:crossBetween val="midCat"/>
        <c:majorUnit val="10"/>
        <c:minorUnit val="10"/>
      </c:valAx>
      <c:spPr>
        <a:solidFill>
          <a:schemeClr val="bg1"/>
        </a:solidFill>
        <a:ln>
          <a:noFill/>
        </a:ln>
      </c:spPr>
    </c:plotArea>
    <c:plotVisOnly val="1"/>
    <c:dispBlanksAs val="gap"/>
    <c:showDLblsOverMax val="0"/>
  </c:chart>
  <c:spPr>
    <a:solidFill>
      <a:schemeClr val="bg1">
        <a:alpha val="0"/>
      </a:schemeClr>
    </a:solidFill>
    <a:ln>
      <a:noFill/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33007286095436E-2"/>
          <c:y val="3.8421211289892593E-2"/>
          <c:w val="0.89606450813657101"/>
          <c:h val="0.90643252281943787"/>
        </c:manualLayout>
      </c:layout>
      <c:scatterChart>
        <c:scatterStyle val="lineMarker"/>
        <c:varyColors val="0"/>
        <c:ser>
          <c:idx val="1"/>
          <c:order val="0"/>
          <c:spPr>
            <a:ln w="3175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E4F-432F-B7D6-237F1EA288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1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4F-432F-B7D6-237F1EA288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E4F-432F-B7D6-237F1EA288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0.75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4F-432F-B7D6-237F1EA288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E4F-432F-B7D6-237F1EA288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0.5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E4F-432F-B7D6-237F1EA288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E4F-432F-B7D6-237F1EA288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0.25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E4F-432F-B7D6-237F1EA288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E4F-432F-B7D6-237F1EA288A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E4F-432F-B7D6-237F1EA28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0.25</c:v>
              </c:pt>
              <c:pt idx="4">
                <c:v>0.12500000000000003</c:v>
              </c:pt>
              <c:pt idx="5">
                <c:v>0</c:v>
              </c:pt>
              <c:pt idx="6">
                <c:v>0.5</c:v>
              </c:pt>
              <c:pt idx="7">
                <c:v>0.25000000000000006</c:v>
              </c:pt>
              <c:pt idx="8">
                <c:v>0</c:v>
              </c:pt>
              <c:pt idx="9">
                <c:v>0.75</c:v>
              </c:pt>
              <c:pt idx="10">
                <c:v>0.37500000000000011</c:v>
              </c:pt>
              <c:pt idx="11">
                <c:v>0</c:v>
              </c:pt>
              <c:pt idx="12">
                <c:v>1</c:v>
              </c:pt>
              <c:pt idx="13">
                <c:v>0.50000000000000011</c:v>
              </c:pt>
            </c:numLit>
          </c:xVal>
          <c:y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3">
                <c:v>0</c:v>
              </c:pt>
              <c:pt idx="4">
                <c:v>0.21650635094610965</c:v>
              </c:pt>
              <c:pt idx="6">
                <c:v>0</c:v>
              </c:pt>
              <c:pt idx="7">
                <c:v>0.4330127018922193</c:v>
              </c:pt>
              <c:pt idx="9">
                <c:v>0</c:v>
              </c:pt>
              <c:pt idx="10">
                <c:v>0.649519052838329</c:v>
              </c:pt>
              <c:pt idx="12">
                <c:v>0</c:v>
              </c:pt>
              <c:pt idx="13">
                <c:v>0.8660254037844386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A-7E4F-432F-B7D6-237F1EA288A6}"/>
            </c:ext>
          </c:extLst>
        </c:ser>
        <c:ser>
          <c:idx val="2"/>
          <c:order val="1"/>
          <c:spPr>
            <a:ln w="635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1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E4F-432F-B7D6-237F1EA288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E4F-432F-B7D6-237F1EA288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0.75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E4F-432F-B7D6-237F1EA288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E4F-432F-B7D6-237F1EA288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0.5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E4F-432F-B7D6-237F1EA288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E4F-432F-B7D6-237F1EA288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0.25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E4F-432F-B7D6-237F1EA288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E4F-432F-B7D6-237F1EA288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E4F-432F-B7D6-237F1EA288A6}"/>
                </c:ext>
              </c:extLst>
            </c:dLbl>
            <c:dLbl>
              <c:idx val="13"/>
              <c:layout>
                <c:manualLayout>
                  <c:x val="-2.7895405790811581E-2"/>
                  <c:y val="-2.2554664670572485E-2"/>
                </c:manualLayout>
              </c:layout>
              <c:tx>
                <c:rich>
                  <a:bodyPr/>
                  <a:lstStyle/>
                  <a:p>
                    <a:pPr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spPr>
                <a:noFill/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E4F-432F-B7D6-237F1EA28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0.75</c:v>
              </c:pt>
              <c:pt idx="4">
                <c:v>0.875</c:v>
              </c:pt>
              <c:pt idx="5">
                <c:v>1</c:v>
              </c:pt>
              <c:pt idx="6">
                <c:v>0.5</c:v>
              </c:pt>
              <c:pt idx="7">
                <c:v>0.75</c:v>
              </c:pt>
              <c:pt idx="8">
                <c:v>1</c:v>
              </c:pt>
              <c:pt idx="9">
                <c:v>0.25</c:v>
              </c:pt>
              <c:pt idx="10">
                <c:v>0.62499999999999989</c:v>
              </c:pt>
              <c:pt idx="11">
                <c:v>1</c:v>
              </c:pt>
              <c:pt idx="12">
                <c:v>0</c:v>
              </c:pt>
              <c:pt idx="13">
                <c:v>0.49999999999999989</c:v>
              </c:pt>
            </c:numLit>
          </c:xVal>
          <c:y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3">
                <c:v>0</c:v>
              </c:pt>
              <c:pt idx="4">
                <c:v>0.21650635094610965</c:v>
              </c:pt>
              <c:pt idx="6">
                <c:v>0</c:v>
              </c:pt>
              <c:pt idx="7">
                <c:v>0.4330127018922193</c:v>
              </c:pt>
              <c:pt idx="9">
                <c:v>0</c:v>
              </c:pt>
              <c:pt idx="10">
                <c:v>0.649519052838329</c:v>
              </c:pt>
              <c:pt idx="12">
                <c:v>0</c:v>
              </c:pt>
              <c:pt idx="13">
                <c:v>0.8660254037844386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5-7E4F-432F-B7D6-237F1EA288A6}"/>
            </c:ext>
          </c:extLst>
        </c:ser>
        <c:ser>
          <c:idx val="3"/>
          <c:order val="2"/>
          <c:spPr>
            <a:ln w="3175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7E4F-432F-B7D6-237F1EA288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7E4F-432F-B7D6-237F1EA288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7E4F-432F-B7D6-237F1EA288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0.25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7E4F-432F-B7D6-237F1EA288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7E4F-432F-B7D6-237F1EA288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0.5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7E4F-432F-B7D6-237F1EA288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7E4F-432F-B7D6-237F1EA288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0.75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7E4F-432F-B7D6-237F1EA288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#REF!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7E4F-432F-B7D6-237F1EA288A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 algn="r">
                      <a:defRPr sz="1050" b="1" i="0" u="none" strike="noStrike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Arial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1</a:t>
                    </a:r>
                  </a:p>
                </c:rich>
              </c:tx>
              <c:numFmt formatCode="#,##0.0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7E4F-432F-B7D6-237F1EA288A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14"/>
              <c:pt idx="0">
                <c:v>0</c:v>
              </c:pt>
              <c:pt idx="1">
                <c:v>1</c:v>
              </c:pt>
              <c:pt idx="3">
                <c:v>0.12500000000000003</c:v>
              </c:pt>
              <c:pt idx="4">
                <c:v>0.875</c:v>
              </c:pt>
              <c:pt idx="6">
                <c:v>0.25000000000000006</c:v>
              </c:pt>
              <c:pt idx="7">
                <c:v>0.75</c:v>
              </c:pt>
              <c:pt idx="9">
                <c:v>0.37500000000000011</c:v>
              </c:pt>
              <c:pt idx="10">
                <c:v>0.62499999999999989</c:v>
              </c:pt>
              <c:pt idx="12">
                <c:v>0.50000000000000011</c:v>
              </c:pt>
              <c:pt idx="13">
                <c:v>0.49999999999999989</c:v>
              </c:pt>
            </c:numLit>
          </c:xVal>
          <c:y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3">
                <c:v>0.21650635094610965</c:v>
              </c:pt>
              <c:pt idx="4">
                <c:v>0.21650635094610965</c:v>
              </c:pt>
              <c:pt idx="6">
                <c:v>0.4330127018922193</c:v>
              </c:pt>
              <c:pt idx="7">
                <c:v>0.4330127018922193</c:v>
              </c:pt>
              <c:pt idx="9">
                <c:v>0.649519052838329</c:v>
              </c:pt>
              <c:pt idx="10">
                <c:v>0.649519052838329</c:v>
              </c:pt>
              <c:pt idx="12">
                <c:v>0.8660254037844386</c:v>
              </c:pt>
              <c:pt idx="13">
                <c:v>0.8660254037844386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0-7E4F-432F-B7D6-237F1EA288A6}"/>
            </c:ext>
          </c:extLst>
        </c:ser>
        <c:ser>
          <c:idx val="4"/>
          <c:order val="3"/>
          <c:spPr>
            <a:ln w="28575">
              <a:noFill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0.5</c:v>
              </c:pt>
            </c:numLit>
          </c:xVal>
          <c:yVal>
            <c:numLit>
              <c:formatCode>General</c:formatCode>
              <c:ptCount val="1"/>
              <c:pt idx="0">
                <c:v>-0.13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1-7E4F-432F-B7D6-237F1EA288A6}"/>
            </c:ext>
          </c:extLst>
        </c:ser>
        <c:ser>
          <c:idx val="5"/>
          <c:order val="4"/>
          <c:spPr>
            <a:ln w="28575">
              <a:noFill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0.9</c:v>
              </c:pt>
            </c:numLit>
          </c:xVal>
          <c:yVal>
            <c:numLit>
              <c:formatCode>General</c:formatCode>
              <c:ptCount val="1"/>
              <c:pt idx="0">
                <c:v>0.45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2-7E4F-432F-B7D6-237F1EA288A6}"/>
            </c:ext>
          </c:extLst>
        </c:ser>
        <c:ser>
          <c:idx val="6"/>
          <c:order val="5"/>
          <c:spPr>
            <a:ln w="28575">
              <a:noFill/>
            </a:ln>
          </c:spPr>
          <c:marker>
            <c:symbol val="none"/>
          </c:marker>
          <c:xVal>
            <c:numLit>
              <c:formatCode>General</c:formatCode>
              <c:ptCount val="1"/>
              <c:pt idx="0">
                <c:v>0.1</c:v>
              </c:pt>
            </c:numLit>
          </c:xVal>
          <c:yVal>
            <c:numLit>
              <c:formatCode>General</c:formatCode>
              <c:ptCount val="1"/>
              <c:pt idx="0">
                <c:v>0.45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3-7E4F-432F-B7D6-237F1EA288A6}"/>
            </c:ext>
          </c:extLst>
        </c:ser>
        <c:ser>
          <c:idx val="11"/>
          <c:order val="6"/>
          <c:spPr>
            <a:ln>
              <a:noFill/>
            </a:ln>
          </c:spPr>
          <c:marker>
            <c:symbol val="diamond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'15Al-Zr-300Ti'!$O$5:$O$20</c:f>
              <c:numCache>
                <c:formatCode>0.00_)</c:formatCode>
                <c:ptCount val="16"/>
                <c:pt idx="0">
                  <c:v>0.59827668225745567</c:v>
                </c:pt>
                <c:pt idx="1">
                  <c:v>0.51684968942486786</c:v>
                </c:pt>
                <c:pt idx="2">
                  <c:v>0.5681476824085584</c:v>
                </c:pt>
                <c:pt idx="3">
                  <c:v>0.57896057516359067</c:v>
                </c:pt>
                <c:pt idx="4">
                  <c:v>0.55646221188432354</c:v>
                </c:pt>
                <c:pt idx="5">
                  <c:v>0.52188417833425937</c:v>
                </c:pt>
                <c:pt idx="6">
                  <c:v>0.57493929622896034</c:v>
                </c:pt>
                <c:pt idx="7">
                  <c:v>0.60752911761570239</c:v>
                </c:pt>
                <c:pt idx="8">
                  <c:v>0.55908821652017049</c:v>
                </c:pt>
                <c:pt idx="9">
                  <c:v>0.57435010088693661</c:v>
                </c:pt>
                <c:pt idx="10">
                  <c:v>0.43020101237462249</c:v>
                </c:pt>
                <c:pt idx="11">
                  <c:v>0.55747040878203824</c:v>
                </c:pt>
                <c:pt idx="12">
                  <c:v>0.55570626551018831</c:v>
                </c:pt>
                <c:pt idx="13">
                  <c:v>0.57378162872518634</c:v>
                </c:pt>
                <c:pt idx="14">
                  <c:v>0.54322403897591331</c:v>
                </c:pt>
                <c:pt idx="15">
                  <c:v>0.51123110054705256</c:v>
                </c:pt>
              </c:numCache>
            </c:numRef>
          </c:xVal>
          <c:yVal>
            <c:numRef>
              <c:f>'15Al-Zr-300Ti'!$P$5:$P$20</c:f>
              <c:numCache>
                <c:formatCode>0.00_)</c:formatCode>
                <c:ptCount val="16"/>
                <c:pt idx="0">
                  <c:v>0.32921920511399949</c:v>
                </c:pt>
                <c:pt idx="1">
                  <c:v>0.29526725772472778</c:v>
                </c:pt>
                <c:pt idx="2">
                  <c:v>0.3109488083179866</c:v>
                </c:pt>
                <c:pt idx="3">
                  <c:v>0.33293908197703415</c:v>
                </c:pt>
                <c:pt idx="4">
                  <c:v>0.31662801172845195</c:v>
                </c:pt>
                <c:pt idx="5">
                  <c:v>0.31770829157377389</c:v>
                </c:pt>
                <c:pt idx="6">
                  <c:v>0.30990420969782362</c:v>
                </c:pt>
                <c:pt idx="7">
                  <c:v>0.36998484617263255</c:v>
                </c:pt>
                <c:pt idx="8">
                  <c:v>0.3259253732324251</c:v>
                </c:pt>
                <c:pt idx="9">
                  <c:v>0.33765776612622866</c:v>
                </c:pt>
                <c:pt idx="10">
                  <c:v>0.27285989264483973</c:v>
                </c:pt>
                <c:pt idx="11">
                  <c:v>0.32194392679899464</c:v>
                </c:pt>
                <c:pt idx="12">
                  <c:v>0.33136084500272367</c:v>
                </c:pt>
                <c:pt idx="13">
                  <c:v>0.36020624252503425</c:v>
                </c:pt>
                <c:pt idx="14">
                  <c:v>0.34520497271093359</c:v>
                </c:pt>
                <c:pt idx="15">
                  <c:v>0.28676069598009041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7E4F-432F-B7D6-237F1EA28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175119"/>
        <c:axId val="1"/>
      </c:scatterChart>
      <c:valAx>
        <c:axId val="1481175119"/>
        <c:scaling>
          <c:orientation val="minMax"/>
          <c:max val="1"/>
          <c:min val="0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148117511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200" verticalDpi="200" copies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'Chondrite_Morb-norm REEs'!$A$4</c:f>
              <c:strCache>
                <c:ptCount val="1"/>
                <c:pt idx="0">
                  <c:v>1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REEs'!$W$4:$AJ$4</c:f>
              <c:numCache>
                <c:formatCode>0.00</c:formatCode>
                <c:ptCount val="14"/>
                <c:pt idx="0">
                  <c:v>83.282795925548001</c:v>
                </c:pt>
                <c:pt idx="1">
                  <c:v>61.265810622755595</c:v>
                </c:pt>
                <c:pt idx="2">
                  <c:v>52.028280660305022</c:v>
                </c:pt>
                <c:pt idx="3">
                  <c:v>36.081345769664523</c:v>
                </c:pt>
                <c:pt idx="4">
                  <c:v>21.426875183897071</c:v>
                </c:pt>
                <c:pt idx="5">
                  <c:v>11.742392923870726</c:v>
                </c:pt>
                <c:pt idx="6">
                  <c:v>12.80433664653545</c:v>
                </c:pt>
                <c:pt idx="7">
                  <c:v>11.758276168008068</c:v>
                </c:pt>
                <c:pt idx="8">
                  <c:v>11.842422659848358</c:v>
                </c:pt>
                <c:pt idx="9">
                  <c:v>10.876722653086851</c:v>
                </c:pt>
                <c:pt idx="10">
                  <c:v>11.239358925391626</c:v>
                </c:pt>
                <c:pt idx="11">
                  <c:v>11.872747557133186</c:v>
                </c:pt>
                <c:pt idx="12">
                  <c:v>11.555621535720755</c:v>
                </c:pt>
                <c:pt idx="13">
                  <c:v>11.536163721090837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A0-41AA-9A20-1232783FE9B5}"/>
            </c:ext>
          </c:extLst>
        </c:ser>
        <c:ser>
          <c:idx val="2"/>
          <c:order val="1"/>
          <c:tx>
            <c:strRef>
              <c:f>'Chondrite_Morb-norm REEs'!$A$5</c:f>
              <c:strCache>
                <c:ptCount val="1"/>
                <c:pt idx="0">
                  <c:v>2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REEs'!$W$5:$AJ$5</c:f>
              <c:numCache>
                <c:formatCode>0.00</c:formatCode>
                <c:ptCount val="14"/>
                <c:pt idx="0">
                  <c:v>87.276571853567248</c:v>
                </c:pt>
                <c:pt idx="1">
                  <c:v>65.00870357404979</c:v>
                </c:pt>
                <c:pt idx="2">
                  <c:v>56.42879633620592</c:v>
                </c:pt>
                <c:pt idx="3">
                  <c:v>41.331159334177975</c:v>
                </c:pt>
                <c:pt idx="4">
                  <c:v>25.419460621890313</c:v>
                </c:pt>
                <c:pt idx="5">
                  <c:v>16.118988353068517</c:v>
                </c:pt>
                <c:pt idx="6">
                  <c:v>15.40445098472081</c:v>
                </c:pt>
                <c:pt idx="7">
                  <c:v>14.367143692784857</c:v>
                </c:pt>
                <c:pt idx="8">
                  <c:v>13.824695392023434</c:v>
                </c:pt>
                <c:pt idx="9">
                  <c:v>12.514207272287837</c:v>
                </c:pt>
                <c:pt idx="10">
                  <c:v>12.979306593278681</c:v>
                </c:pt>
                <c:pt idx="11">
                  <c:v>13.201570884695538</c:v>
                </c:pt>
                <c:pt idx="12">
                  <c:v>13.392985958156212</c:v>
                </c:pt>
                <c:pt idx="13">
                  <c:v>12.729559968100231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A0-41AA-9A20-1232783FE9B5}"/>
            </c:ext>
          </c:extLst>
        </c:ser>
        <c:ser>
          <c:idx val="3"/>
          <c:order val="2"/>
          <c:tx>
            <c:strRef>
              <c:f>'Chondrite_Morb-norm REEs'!$A$6</c:f>
              <c:strCache>
                <c:ptCount val="1"/>
                <c:pt idx="0">
                  <c:v>3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REEs'!$W$6:$AJ$6</c:f>
              <c:numCache>
                <c:formatCode>0.00</c:formatCode>
                <c:ptCount val="14"/>
                <c:pt idx="0">
                  <c:v>79.177305985556217</c:v>
                </c:pt>
                <c:pt idx="1">
                  <c:v>62.21757483037041</c:v>
                </c:pt>
                <c:pt idx="2">
                  <c:v>56.360157443514225</c:v>
                </c:pt>
                <c:pt idx="3">
                  <c:v>43.170077079939752</c:v>
                </c:pt>
                <c:pt idx="4">
                  <c:v>28.337850453947279</c:v>
                </c:pt>
                <c:pt idx="5">
                  <c:v>18.906387747456733</c:v>
                </c:pt>
                <c:pt idx="6">
                  <c:v>20.581785572579207</c:v>
                </c:pt>
                <c:pt idx="7">
                  <c:v>18.188583447387479</c:v>
                </c:pt>
                <c:pt idx="8">
                  <c:v>16.786054200120848</c:v>
                </c:pt>
                <c:pt idx="9">
                  <c:v>14.641742033001529</c:v>
                </c:pt>
                <c:pt idx="10">
                  <c:v>14.490776284574507</c:v>
                </c:pt>
                <c:pt idx="11">
                  <c:v>14.010419866690015</c:v>
                </c:pt>
                <c:pt idx="12">
                  <c:v>13.409464562841734</c:v>
                </c:pt>
                <c:pt idx="13">
                  <c:v>12.676520134899814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A0-41AA-9A20-1232783FE9B5}"/>
            </c:ext>
          </c:extLst>
        </c:ser>
        <c:ser>
          <c:idx val="4"/>
          <c:order val="3"/>
          <c:tx>
            <c:strRef>
              <c:f>'Chondrite_Morb-norm REEs'!$A$7</c:f>
              <c:strCache>
                <c:ptCount val="1"/>
                <c:pt idx="0">
                  <c:v>4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REEs'!$W$7:$AJ$7</c:f>
              <c:numCache>
                <c:formatCode>0.00</c:formatCode>
                <c:ptCount val="14"/>
                <c:pt idx="0">
                  <c:v>462.21672453649211</c:v>
                </c:pt>
                <c:pt idx="1">
                  <c:v>360.28018151171864</c:v>
                </c:pt>
                <c:pt idx="2">
                  <c:v>292.85927548456647</c:v>
                </c:pt>
                <c:pt idx="3">
                  <c:v>207.32314585281958</c:v>
                </c:pt>
                <c:pt idx="4">
                  <c:v>121.96397897488883</c:v>
                </c:pt>
                <c:pt idx="5">
                  <c:v>60.830892665766399</c:v>
                </c:pt>
                <c:pt idx="6">
                  <c:v>76.041079701647305</c:v>
                </c:pt>
                <c:pt idx="7">
                  <c:v>55.172036457075357</c:v>
                </c:pt>
                <c:pt idx="8">
                  <c:v>39.52495174184952</c:v>
                </c:pt>
                <c:pt idx="9">
                  <c:v>26.594184508921145</c:v>
                </c:pt>
                <c:pt idx="10">
                  <c:v>21.846009607915235</c:v>
                </c:pt>
                <c:pt idx="11">
                  <c:v>17.274703258310574</c:v>
                </c:pt>
                <c:pt idx="12">
                  <c:v>15.634076195386905</c:v>
                </c:pt>
                <c:pt idx="13">
                  <c:v>14.161635464511511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A0-41AA-9A20-1232783FE9B5}"/>
            </c:ext>
          </c:extLst>
        </c:ser>
        <c:ser>
          <c:idx val="5"/>
          <c:order val="4"/>
          <c:tx>
            <c:strRef>
              <c:f>'Chondrite_Morb-norm REEs'!$A$8</c:f>
              <c:strCache>
                <c:ptCount val="1"/>
                <c:pt idx="0">
                  <c:v>5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REEs'!$W$8:$AJ$8</c:f>
              <c:numCache>
                <c:formatCode>0.00</c:formatCode>
                <c:ptCount val="14"/>
                <c:pt idx="0">
                  <c:v>91.465847302538478</c:v>
                </c:pt>
                <c:pt idx="1">
                  <c:v>72.077424262065406</c:v>
                </c:pt>
                <c:pt idx="2">
                  <c:v>64.25363010305918</c:v>
                </c:pt>
                <c:pt idx="3">
                  <c:v>50.095678590187738</c:v>
                </c:pt>
                <c:pt idx="4">
                  <c:v>33.551976912850364</c:v>
                </c:pt>
                <c:pt idx="5">
                  <c:v>20.356844445894044</c:v>
                </c:pt>
                <c:pt idx="6">
                  <c:v>22.495077255394847</c:v>
                </c:pt>
                <c:pt idx="7">
                  <c:v>20.521866374476581</c:v>
                </c:pt>
                <c:pt idx="8">
                  <c:v>19.159961362664859</c:v>
                </c:pt>
                <c:pt idx="9">
                  <c:v>16.757324351239301</c:v>
                </c:pt>
                <c:pt idx="10">
                  <c:v>16.722830363581132</c:v>
                </c:pt>
                <c:pt idx="11">
                  <c:v>16.552516667244078</c:v>
                </c:pt>
                <c:pt idx="12">
                  <c:v>15.683512009443465</c:v>
                </c:pt>
                <c:pt idx="13">
                  <c:v>15.24895204512007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A0-41AA-9A20-1232783FE9B5}"/>
            </c:ext>
          </c:extLst>
        </c:ser>
        <c:ser>
          <c:idx val="7"/>
          <c:order val="5"/>
          <c:tx>
            <c:strRef>
              <c:f>'Chondrite_Morb-norm REEs'!$A$9</c:f>
              <c:strCache>
                <c:ptCount val="1"/>
                <c:pt idx="0">
                  <c:v>6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REEs'!$W$9:$AJ$9</c:f>
              <c:numCache>
                <c:formatCode>0.00</c:formatCode>
                <c:ptCount val="14"/>
                <c:pt idx="0">
                  <c:v>74.73667400964672</c:v>
                </c:pt>
                <c:pt idx="1">
                  <c:v>58.036228704781749</c:v>
                </c:pt>
                <c:pt idx="2">
                  <c:v>51.700339284111358</c:v>
                </c:pt>
                <c:pt idx="3">
                  <c:v>39.625711424802141</c:v>
                </c:pt>
                <c:pt idx="4">
                  <c:v>25.809213009884889</c:v>
                </c:pt>
                <c:pt idx="5">
                  <c:v>15.67754501006586</c:v>
                </c:pt>
                <c:pt idx="6">
                  <c:v>17.108425286852349</c:v>
                </c:pt>
                <c:pt idx="7">
                  <c:v>15.267386711897975</c:v>
                </c:pt>
                <c:pt idx="8">
                  <c:v>13.725280498160549</c:v>
                </c:pt>
                <c:pt idx="9">
                  <c:v>12.060014458202891</c:v>
                </c:pt>
                <c:pt idx="10">
                  <c:v>11.964337120344567</c:v>
                </c:pt>
                <c:pt idx="11">
                  <c:v>12.363834439058403</c:v>
                </c:pt>
                <c:pt idx="12">
                  <c:v>12.004663513401171</c:v>
                </c:pt>
                <c:pt idx="13">
                  <c:v>11.93396247009397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A0-41AA-9A20-1232783FE9B5}"/>
            </c:ext>
          </c:extLst>
        </c:ser>
        <c:ser>
          <c:idx val="8"/>
          <c:order val="6"/>
          <c:tx>
            <c:strRef>
              <c:f>'Chondrite_Morb-norm REEs'!$A$10</c:f>
              <c:strCache>
                <c:ptCount val="1"/>
                <c:pt idx="0">
                  <c:v>7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REEs'!$W$10:$AJ$10</c:f>
              <c:numCache>
                <c:formatCode>0.00</c:formatCode>
                <c:ptCount val="14"/>
                <c:pt idx="0">
                  <c:v>70.296042033737208</c:v>
                </c:pt>
                <c:pt idx="1">
                  <c:v>55.116772202772268</c:v>
                </c:pt>
                <c:pt idx="2">
                  <c:v>49.755570657846661</c:v>
                </c:pt>
                <c:pt idx="3">
                  <c:v>38.439312879149384</c:v>
                </c:pt>
                <c:pt idx="4">
                  <c:v>27.159087134158803</c:v>
                </c:pt>
                <c:pt idx="5">
                  <c:v>16.434305026641844</c:v>
                </c:pt>
                <c:pt idx="6">
                  <c:v>18.328353146151894</c:v>
                </c:pt>
                <c:pt idx="7">
                  <c:v>16.186002037523604</c:v>
                </c:pt>
                <c:pt idx="8">
                  <c:v>15.111063867158324</c:v>
                </c:pt>
                <c:pt idx="9">
                  <c:v>13.064019626180139</c:v>
                </c:pt>
                <c:pt idx="10">
                  <c:v>13.620802450630979</c:v>
                </c:pt>
                <c:pt idx="11">
                  <c:v>12.883808784626281</c:v>
                </c:pt>
                <c:pt idx="12">
                  <c:v>12.902747468762</c:v>
                </c:pt>
                <c:pt idx="13">
                  <c:v>12.252201469296475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A0-41AA-9A20-1232783FE9B5}"/>
            </c:ext>
          </c:extLst>
        </c:ser>
        <c:ser>
          <c:idx val="9"/>
          <c:order val="7"/>
          <c:tx>
            <c:strRef>
              <c:f>'Chondrite_Morb-norm REEs'!$A$11</c:f>
              <c:strCache>
                <c:ptCount val="1"/>
                <c:pt idx="0">
                  <c:v>8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REEs'!$W$11:$AJ$11</c:f>
              <c:numCache>
                <c:formatCode>0.00</c:formatCode>
                <c:ptCount val="14"/>
                <c:pt idx="0">
                  <c:v>67.838333770340753</c:v>
                </c:pt>
                <c:pt idx="1">
                  <c:v>55.138160162493953</c:v>
                </c:pt>
                <c:pt idx="2">
                  <c:v>49.755570657846661</c:v>
                </c:pt>
                <c:pt idx="3">
                  <c:v>36.541075206104971</c:v>
                </c:pt>
                <c:pt idx="4">
                  <c:v>22.477305400321484</c:v>
                </c:pt>
                <c:pt idx="5">
                  <c:v>12.612666942933112</c:v>
                </c:pt>
                <c:pt idx="6">
                  <c:v>13.242594912342794</c:v>
                </c:pt>
                <c:pt idx="7">
                  <c:v>12.107349991745807</c:v>
                </c:pt>
                <c:pt idx="8">
                  <c:v>11.646605444663891</c:v>
                </c:pt>
                <c:pt idx="9">
                  <c:v>9.9444321399651194</c:v>
                </c:pt>
                <c:pt idx="10">
                  <c:v>10.68573921288211</c:v>
                </c:pt>
                <c:pt idx="11">
                  <c:v>10.543924229570836</c:v>
                </c:pt>
                <c:pt idx="12">
                  <c:v>10.402119207734371</c:v>
                </c:pt>
                <c:pt idx="13">
                  <c:v>10.342767474081439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A0-41AA-9A20-1232783FE9B5}"/>
            </c:ext>
          </c:extLst>
        </c:ser>
        <c:ser>
          <c:idx val="10"/>
          <c:order val="8"/>
          <c:tx>
            <c:strRef>
              <c:f>'Chondrite_Morb-norm REEs'!$A$12</c:f>
              <c:strCache>
                <c:ptCount val="1"/>
                <c:pt idx="0">
                  <c:v>9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REEs'!$W$12:$AJ$12</c:f>
              <c:numCache>
                <c:formatCode>0.00</c:formatCode>
                <c:ptCount val="14"/>
                <c:pt idx="0">
                  <c:v>75.630386105427235</c:v>
                </c:pt>
                <c:pt idx="1">
                  <c:v>58.292884221441909</c:v>
                </c:pt>
                <c:pt idx="2">
                  <c:v>51.585941129625198</c:v>
                </c:pt>
                <c:pt idx="3">
                  <c:v>38.646932624638609</c:v>
                </c:pt>
                <c:pt idx="4">
                  <c:v>24.47835119722048</c:v>
                </c:pt>
                <c:pt idx="5">
                  <c:v>14.731594989345872</c:v>
                </c:pt>
                <c:pt idx="6">
                  <c:v>15.839438666454964</c:v>
                </c:pt>
                <c:pt idx="7">
                  <c:v>14.495749838372447</c:v>
                </c:pt>
                <c:pt idx="8">
                  <c:v>13.957248583840613</c:v>
                </c:pt>
                <c:pt idx="9">
                  <c:v>12.72935123685439</c:v>
                </c:pt>
                <c:pt idx="10">
                  <c:v>12.812341918077397</c:v>
                </c:pt>
                <c:pt idx="11">
                  <c:v>12.883808784626281</c:v>
                </c:pt>
                <c:pt idx="12">
                  <c:v>11.905791885288052</c:v>
                </c:pt>
                <c:pt idx="13">
                  <c:v>11.721803137292298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A0-41AA-9A20-1232783FE9B5}"/>
            </c:ext>
          </c:extLst>
        </c:ser>
        <c:ser>
          <c:idx val="11"/>
          <c:order val="9"/>
          <c:tx>
            <c:strRef>
              <c:f>'Chondrite_Morb-norm REEs'!$A$13</c:f>
              <c:strCache>
                <c:ptCount val="1"/>
                <c:pt idx="0">
                  <c:v>10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REEs'!$W$13:$AJ$13</c:f>
              <c:numCache>
                <c:formatCode>0.00</c:formatCode>
                <c:ptCount val="14"/>
                <c:pt idx="0">
                  <c:v>76.328598680255766</c:v>
                </c:pt>
                <c:pt idx="1">
                  <c:v>59.693795583212029</c:v>
                </c:pt>
                <c:pt idx="2">
                  <c:v>53.881530762980795</c:v>
                </c:pt>
                <c:pt idx="3">
                  <c:v>41.168029534150726</c:v>
                </c:pt>
                <c:pt idx="4">
                  <c:v>27.933838832245584</c:v>
                </c:pt>
                <c:pt idx="5">
                  <c:v>17.405480381247692</c:v>
                </c:pt>
                <c:pt idx="6">
                  <c:v>18.066706420296761</c:v>
                </c:pt>
                <c:pt idx="7">
                  <c:v>15.451109777023103</c:v>
                </c:pt>
                <c:pt idx="8">
                  <c:v>14.960435240093348</c:v>
                </c:pt>
                <c:pt idx="9">
                  <c:v>12.860828104089508</c:v>
                </c:pt>
                <c:pt idx="10">
                  <c:v>12.957337557067985</c:v>
                </c:pt>
                <c:pt idx="11">
                  <c:v>13.0860210301249</c:v>
                </c:pt>
                <c:pt idx="12">
                  <c:v>12.177688862599128</c:v>
                </c:pt>
                <c:pt idx="13">
                  <c:v>12.093081969695223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EA0-41AA-9A20-1232783FE9B5}"/>
            </c:ext>
          </c:extLst>
        </c:ser>
        <c:ser>
          <c:idx val="12"/>
          <c:order val="10"/>
          <c:tx>
            <c:strRef>
              <c:f>'Chondrite_Morb-norm REEs'!$A$14</c:f>
              <c:strCache>
                <c:ptCount val="1"/>
                <c:pt idx="0">
                  <c:v>11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REEs'!$W$14:$AJ$14</c:f>
              <c:numCache>
                <c:formatCode>0.00</c:formatCode>
                <c:ptCount val="14"/>
                <c:pt idx="0">
                  <c:v>85.684647182958187</c:v>
                </c:pt>
                <c:pt idx="1">
                  <c:v>65.928385842082079</c:v>
                </c:pt>
                <c:pt idx="2">
                  <c:v>57.633790230126799</c:v>
                </c:pt>
                <c:pt idx="3">
                  <c:v>43.259056970863718</c:v>
                </c:pt>
                <c:pt idx="4">
                  <c:v>26.564952396362184</c:v>
                </c:pt>
                <c:pt idx="5">
                  <c:v>16.837910368815702</c:v>
                </c:pt>
                <c:pt idx="6">
                  <c:v>16.706143445850081</c:v>
                </c:pt>
                <c:pt idx="7">
                  <c:v>14.38551599929737</c:v>
                </c:pt>
                <c:pt idx="8">
                  <c:v>13.276407189506923</c:v>
                </c:pt>
                <c:pt idx="9">
                  <c:v>11.462392334406911</c:v>
                </c:pt>
                <c:pt idx="10">
                  <c:v>11.388748371624354</c:v>
                </c:pt>
                <c:pt idx="11">
                  <c:v>11.526097993421269</c:v>
                </c:pt>
                <c:pt idx="12">
                  <c:v>11.003588278755842</c:v>
                </c:pt>
                <c:pt idx="13">
                  <c:v>10.289727640881022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A0-41AA-9A20-1232783FE9B5}"/>
            </c:ext>
          </c:extLst>
        </c:ser>
        <c:ser>
          <c:idx val="13"/>
          <c:order val="11"/>
          <c:tx>
            <c:strRef>
              <c:f>'Chondrite_Morb-norm REEs'!$A$15</c:f>
              <c:strCache>
                <c:ptCount val="1"/>
                <c:pt idx="0">
                  <c:v>12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REEs'!$W$15:$AJ$15</c:f>
              <c:numCache>
                <c:formatCode>0.00</c:formatCode>
                <c:ptCount val="14"/>
                <c:pt idx="0">
                  <c:v>88.95228203315574</c:v>
                </c:pt>
                <c:pt idx="1">
                  <c:v>70.302223605165864</c:v>
                </c:pt>
                <c:pt idx="2">
                  <c:v>61.851268858849842</c:v>
                </c:pt>
                <c:pt idx="3">
                  <c:v>47.174172171517817</c:v>
                </c:pt>
                <c:pt idx="4">
                  <c:v>31.88364656911747</c:v>
                </c:pt>
                <c:pt idx="5">
                  <c:v>18.956838415228464</c:v>
                </c:pt>
                <c:pt idx="6">
                  <c:v>21.896560370001236</c:v>
                </c:pt>
                <c:pt idx="7">
                  <c:v>20.099303324688794</c:v>
                </c:pt>
                <c:pt idx="8">
                  <c:v>19.364816295473226</c:v>
                </c:pt>
                <c:pt idx="9">
                  <c:v>17.068087855613211</c:v>
                </c:pt>
                <c:pt idx="10">
                  <c:v>17.346750991964871</c:v>
                </c:pt>
                <c:pt idx="11">
                  <c:v>16.725841449100038</c:v>
                </c:pt>
                <c:pt idx="12">
                  <c:v>16.375613406235296</c:v>
                </c:pt>
                <c:pt idx="13">
                  <c:v>16.521908041930097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A0-41AA-9A20-1232783FE9B5}"/>
            </c:ext>
          </c:extLst>
        </c:ser>
        <c:ser>
          <c:idx val="14"/>
          <c:order val="12"/>
          <c:tx>
            <c:strRef>
              <c:f>'Chondrite_Morb-norm REEs'!$A$16</c:f>
              <c:strCache>
                <c:ptCount val="1"/>
                <c:pt idx="0">
                  <c:v>13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REEs'!$W$16:$AJ$16</c:f>
              <c:numCache>
                <c:formatCode>0.00</c:formatCode>
                <c:ptCount val="14"/>
                <c:pt idx="0">
                  <c:v>77.641238320933425</c:v>
                </c:pt>
                <c:pt idx="1">
                  <c:v>59.544079865160263</c:v>
                </c:pt>
                <c:pt idx="2">
                  <c:v>52.51637945277929</c:v>
                </c:pt>
                <c:pt idx="3">
                  <c:v>40.322720570373136</c:v>
                </c:pt>
                <c:pt idx="4">
                  <c:v>25.81871916568964</c:v>
                </c:pt>
                <c:pt idx="5">
                  <c:v>16.421692359698909</c:v>
                </c:pt>
                <c:pt idx="6">
                  <c:v>17.16729580016975</c:v>
                </c:pt>
                <c:pt idx="7">
                  <c:v>15.579715922610688</c:v>
                </c:pt>
                <c:pt idx="8">
                  <c:v>14.815831758110972</c:v>
                </c:pt>
                <c:pt idx="9">
                  <c:v>13.291116033222613</c:v>
                </c:pt>
                <c:pt idx="10">
                  <c:v>13.216572184354188</c:v>
                </c:pt>
                <c:pt idx="11">
                  <c:v>13.374895666551499</c:v>
                </c:pt>
                <c:pt idx="12">
                  <c:v>13.088131771474098</c:v>
                </c:pt>
                <c:pt idx="13">
                  <c:v>13.180398550303783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EA0-41AA-9A20-1232783FE9B5}"/>
            </c:ext>
          </c:extLst>
        </c:ser>
        <c:ser>
          <c:idx val="15"/>
          <c:order val="13"/>
          <c:tx>
            <c:strRef>
              <c:f>'Chondrite_Morb-norm REEs'!$A$17</c:f>
              <c:strCache>
                <c:ptCount val="1"/>
                <c:pt idx="0">
                  <c:v>14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REEs'!$W$17:$AJ$17</c:f>
              <c:numCache>
                <c:formatCode>0.00</c:formatCode>
                <c:ptCount val="14"/>
                <c:pt idx="0">
                  <c:v>76.524098201207764</c:v>
                </c:pt>
                <c:pt idx="1">
                  <c:v>60.795275508878611</c:v>
                </c:pt>
                <c:pt idx="2">
                  <c:v>53.8891573066132</c:v>
                </c:pt>
                <c:pt idx="3">
                  <c:v>39.699861333905439</c:v>
                </c:pt>
                <c:pt idx="4">
                  <c:v>24.773042027167598</c:v>
                </c:pt>
                <c:pt idx="5">
                  <c:v>14.063123641370421</c:v>
                </c:pt>
                <c:pt idx="6">
                  <c:v>15.005439727791735</c:v>
                </c:pt>
                <c:pt idx="7">
                  <c:v>13.907836029972042</c:v>
                </c:pt>
                <c:pt idx="8">
                  <c:v>13.553563863306477</c:v>
                </c:pt>
                <c:pt idx="9">
                  <c:v>11.701441183925304</c:v>
                </c:pt>
                <c:pt idx="10">
                  <c:v>12.109332759335153</c:v>
                </c:pt>
                <c:pt idx="11">
                  <c:v>11.786085166205208</c:v>
                </c:pt>
                <c:pt idx="12">
                  <c:v>11.670971768519395</c:v>
                </c:pt>
                <c:pt idx="13">
                  <c:v>11.377044221489584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EA0-41AA-9A20-1232783FE9B5}"/>
            </c:ext>
          </c:extLst>
        </c:ser>
        <c:ser>
          <c:idx val="16"/>
          <c:order val="14"/>
          <c:tx>
            <c:strRef>
              <c:f>'Chondrite_Morb-norm REEs'!$A$18</c:f>
              <c:strCache>
                <c:ptCount val="1"/>
                <c:pt idx="0">
                  <c:v>15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REEs'!$W$18:$AJ$18</c:f>
              <c:numCache>
                <c:formatCode>0.00</c:formatCode>
                <c:ptCount val="14"/>
                <c:pt idx="0">
                  <c:v>49.908234848743902</c:v>
                </c:pt>
                <c:pt idx="1">
                  <c:v>31.643486408227229</c:v>
                </c:pt>
                <c:pt idx="2">
                  <c:v>24.366806905551819</c:v>
                </c:pt>
                <c:pt idx="3">
                  <c:v>15.838420584464329</c:v>
                </c:pt>
                <c:pt idx="4">
                  <c:v>8.1800470699837771</c:v>
                </c:pt>
                <c:pt idx="5">
                  <c:v>5.3603834507465722</c:v>
                </c:pt>
                <c:pt idx="6">
                  <c:v>5.7366044643737366</c:v>
                </c:pt>
                <c:pt idx="7">
                  <c:v>6.2282119077417741</c:v>
                </c:pt>
                <c:pt idx="8">
                  <c:v>7.5585445061204606</c:v>
                </c:pt>
                <c:pt idx="9">
                  <c:v>7.9603266889624642</c:v>
                </c:pt>
                <c:pt idx="10">
                  <c:v>8.9941234246585857</c:v>
                </c:pt>
                <c:pt idx="11">
                  <c:v>9.7061877839337019</c:v>
                </c:pt>
                <c:pt idx="12">
                  <c:v>9.8871628113118764</c:v>
                </c:pt>
                <c:pt idx="13">
                  <c:v>9.8919288918778889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EA0-41AA-9A20-1232783FE9B5}"/>
            </c:ext>
          </c:extLst>
        </c:ser>
        <c:ser>
          <c:idx val="17"/>
          <c:order val="15"/>
          <c:tx>
            <c:strRef>
              <c:f>'Chondrite_Morb-norm REEs'!$A$19</c:f>
              <c:strCache>
                <c:ptCount val="1"/>
                <c:pt idx="0">
                  <c:v>16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'Chondrite_Morb-norm REEs'!$W$19:$AJ$19</c:f>
              <c:numCache>
                <c:formatCode>0.00</c:formatCode>
                <c:ptCount val="14"/>
                <c:pt idx="0">
                  <c:v>86.913501314656415</c:v>
                </c:pt>
                <c:pt idx="1">
                  <c:v>64.965927654606432</c:v>
                </c:pt>
                <c:pt idx="2">
                  <c:v>56.48980868526521</c:v>
                </c:pt>
                <c:pt idx="3">
                  <c:v>42.23578822523821</c:v>
                </c:pt>
                <c:pt idx="4">
                  <c:v>25.695139140227944</c:v>
                </c:pt>
                <c:pt idx="5">
                  <c:v>15.702770343951725</c:v>
                </c:pt>
                <c:pt idx="6">
                  <c:v>17.50743654378142</c:v>
                </c:pt>
                <c:pt idx="7">
                  <c:v>15.800183600760841</c:v>
                </c:pt>
                <c:pt idx="8">
                  <c:v>15.969647041428683</c:v>
                </c:pt>
                <c:pt idx="9">
                  <c:v>14.366835856055378</c:v>
                </c:pt>
                <c:pt idx="10">
                  <c:v>15.382719154728727</c:v>
                </c:pt>
                <c:pt idx="11">
                  <c:v>15.194805876039068</c:v>
                </c:pt>
                <c:pt idx="12">
                  <c:v>15.098521543107513</c:v>
                </c:pt>
                <c:pt idx="13">
                  <c:v>13.922956215109631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EA0-41AA-9A20-1232783FE9B5}"/>
            </c:ext>
          </c:extLst>
        </c:ser>
        <c:ser>
          <c:idx val="6"/>
          <c:order val="16"/>
          <c:tx>
            <c:v>PAAS</c:v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5"/>
              <c:pt idx="0">
                <c:v>La</c:v>
              </c:pt>
              <c:pt idx="1">
                <c:v>Ce</c:v>
              </c:pt>
              <c:pt idx="2">
                <c:v>Pr</c:v>
              </c:pt>
              <c:pt idx="3">
                <c:v>Nd</c:v>
              </c:pt>
              <c:pt idx="4">
                <c:v>Sm</c:v>
              </c:pt>
              <c:pt idx="5">
                <c:v>Eu</c:v>
              </c:pt>
              <c:pt idx="6">
                <c:v>Gd</c:v>
              </c:pt>
              <c:pt idx="7">
                <c:v>Tb</c:v>
              </c:pt>
              <c:pt idx="8">
                <c:v>Dy</c:v>
              </c:pt>
              <c:pt idx="9">
                <c:v>Ho</c:v>
              </c:pt>
              <c:pt idx="10">
                <c:v>Er</c:v>
              </c:pt>
              <c:pt idx="11">
                <c:v>Tm</c:v>
              </c:pt>
              <c:pt idx="12">
                <c:v>Yb</c:v>
              </c:pt>
              <c:pt idx="13">
                <c:v>Lu</c:v>
              </c:pt>
              <c:pt idx="14">
                <c:v>Y</c:v>
              </c:pt>
            </c:strLit>
          </c:cat>
          <c:val>
            <c:numLit>
              <c:formatCode>General</c:formatCode>
              <c:ptCount val="14"/>
              <c:pt idx="0">
                <c:v>107.90960451977402</c:v>
              </c:pt>
              <c:pt idx="1">
                <c:v>85.224839400428252</c:v>
              </c:pt>
              <c:pt idx="2">
                <c:v>68.449612403100772</c:v>
              </c:pt>
              <c:pt idx="3">
                <c:v>50.147928994082832</c:v>
              </c:pt>
              <c:pt idx="4">
                <c:v>26.056338028169012</c:v>
              </c:pt>
              <c:pt idx="5">
                <c:v>13.5</c:v>
              </c:pt>
              <c:pt idx="6">
                <c:v>16.466431095406364</c:v>
              </c:pt>
              <c:pt idx="7">
                <c:v>14.603773584905662</c:v>
              </c:pt>
              <c:pt idx="8">
                <c:v>13.724340175953078</c:v>
              </c:pt>
              <c:pt idx="9">
                <c:v>12.085365853658535</c:v>
              </c:pt>
              <c:pt idx="10">
                <c:v>12.666666666666666</c:v>
              </c:pt>
              <c:pt idx="11">
                <c:v>11.911764705882353</c:v>
              </c:pt>
              <c:pt idx="12">
                <c:v>12.051282051282049</c:v>
              </c:pt>
              <c:pt idx="13">
                <c:v>12.027777777777779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F7-401E-8F85-62532977167A}"/>
            </c:ext>
          </c:extLst>
        </c:ser>
        <c:ser>
          <c:idx val="0"/>
          <c:order val="17"/>
          <c:tx>
            <c:v>NSB</c:v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  <a:round/>
              </a:ln>
              <a:effectLst/>
            </c:spPr>
          </c:marker>
          <c:val>
            <c:numRef>
              <c:f>'Chondrite_Morb-norm REEs'!$W$25:$AJ$25</c:f>
              <c:numCache>
                <c:formatCode>0.000</c:formatCode>
                <c:ptCount val="14"/>
                <c:pt idx="0">
                  <c:v>102.11708013154782</c:v>
                </c:pt>
                <c:pt idx="1">
                  <c:v>78.7691821599864</c:v>
                </c:pt>
                <c:pt idx="2">
                  <c:v>67.834768997452983</c:v>
                </c:pt>
                <c:pt idx="3">
                  <c:v>50.059530509499879</c:v>
                </c:pt>
                <c:pt idx="4">
                  <c:v>31.342092755615859</c:v>
                </c:pt>
                <c:pt idx="5">
                  <c:v>18.25998856663141</c:v>
                </c:pt>
                <c:pt idx="6">
                  <c:v>20.245733059059017</c:v>
                </c:pt>
                <c:pt idx="7">
                  <c:v>17.469766955085422</c:v>
                </c:pt>
                <c:pt idx="8">
                  <c:v>15.942345602773154</c:v>
                </c:pt>
                <c:pt idx="9">
                  <c:v>13.618314146000911</c:v>
                </c:pt>
                <c:pt idx="10">
                  <c:v>13.609817932525633</c:v>
                </c:pt>
                <c:pt idx="11">
                  <c:v>13.311704339833179</c:v>
                </c:pt>
                <c:pt idx="12">
                  <c:v>12.887041298671114</c:v>
                </c:pt>
                <c:pt idx="13">
                  <c:v>12.492538213485865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F7-401E-8F85-625329771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846912"/>
        <c:axId val="155857280"/>
      </c:lineChart>
      <c:catAx>
        <c:axId val="15584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none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5857280"/>
        <c:crosses val="autoZero"/>
        <c:auto val="1"/>
        <c:lblAlgn val="ctr"/>
        <c:lblOffset val="100"/>
        <c:noMultiLvlLbl val="0"/>
      </c:catAx>
      <c:valAx>
        <c:axId val="155857280"/>
        <c:scaling>
          <c:logBase val="10"/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Sample/Chondrite</a:t>
                </a:r>
              </a:p>
            </c:rich>
          </c:tx>
          <c:layout>
            <c:manualLayout>
              <c:xMode val="edge"/>
              <c:yMode val="edge"/>
              <c:x val="1.7499452046713E-2"/>
              <c:y val="0.29753899099228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58469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49450</xdr:colOff>
      <xdr:row>44</xdr:row>
      <xdr:rowOff>14102</xdr:rowOff>
    </xdr:from>
    <xdr:to>
      <xdr:col>6</xdr:col>
      <xdr:colOff>596118</xdr:colOff>
      <xdr:row>58</xdr:row>
      <xdr:rowOff>50959</xdr:rowOff>
    </xdr:to>
    <xdr:graphicFrame macro="">
      <xdr:nvGraphicFramePr>
        <xdr:cNvPr id="3" name="6 - Γράφημα">
          <a:extLst>
            <a:ext uri="{FF2B5EF4-FFF2-40B4-BE49-F238E27FC236}">
              <a16:creationId xmlns:a16="http://schemas.microsoft.com/office/drawing/2014/main" id="{0C611C20-DCD4-447C-A528-3202A117E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0.14419</cdr:x>
      <cdr:y>0.12789</cdr:y>
    </cdr:from>
    <cdr:to>
      <cdr:x>0.88357</cdr:x>
      <cdr:y>0.83218</cdr:y>
    </cdr:to>
    <cdr:sp macro="" textlink="">
      <cdr:nvSpPr>
        <cdr:cNvPr id="27" name="Isosceles Triangle 26">
          <a:extLst xmlns:a="http://schemas.openxmlformats.org/drawingml/2006/main">
            <a:ext uri="{FF2B5EF4-FFF2-40B4-BE49-F238E27FC236}">
              <a16:creationId xmlns:a16="http://schemas.microsoft.com/office/drawing/2014/main" id="{64B68287-6967-4518-B8F1-62D5FB71A7E7}"/>
            </a:ext>
          </a:extLst>
        </cdr:cNvPr>
        <cdr:cNvSpPr/>
      </cdr:nvSpPr>
      <cdr:spPr>
        <a:xfrm xmlns:a="http://schemas.openxmlformats.org/drawingml/2006/main">
          <a:off x="1401619" y="934028"/>
          <a:ext cx="7187045" cy="5143500"/>
        </a:xfrm>
        <a:prstGeom xmlns:a="http://schemas.openxmlformats.org/drawingml/2006/main" prst="triangl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>
            <a:ln>
              <a:noFill/>
            </a:ln>
            <a:solidFill>
              <a:schemeClr val="lt1"/>
            </a:solidFill>
          </a:endParaRPr>
        </a:p>
      </cdr:txBody>
    </cdr:sp>
  </cdr:relSizeAnchor>
  <cdr:relSizeAnchor xmlns:cdr="http://schemas.openxmlformats.org/drawingml/2006/chartDrawing">
    <cdr:from>
      <cdr:x>0.44821</cdr:x>
      <cdr:y>0.07211</cdr:y>
    </cdr:from>
    <cdr:to>
      <cdr:x>0.57772</cdr:x>
      <cdr:y>0.12394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50421" y="680604"/>
          <a:ext cx="1372683" cy="489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2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Al</a:t>
          </a:r>
          <a:r>
            <a:rPr lang="en-AU" sz="2000" b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AU" sz="2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</a:t>
          </a:r>
          <a:r>
            <a:rPr lang="en-AU" sz="2000" b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  <a:endParaRPr lang="en-AU" sz="1600" b="1" baseline="-25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0.77765</cdr:x>
      <cdr:y>0.83131</cdr:y>
    </cdr:from>
    <cdr:to>
      <cdr:x>1</cdr:x>
      <cdr:y>0.88363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25261" y="7846259"/>
          <a:ext cx="2380431" cy="493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2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K</a:t>
          </a:r>
          <a:r>
            <a:rPr lang="en-AU" sz="2000" b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AU" sz="20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O</a:t>
          </a:r>
          <a:endParaRPr lang="en-AU" sz="1600" b="1" baseline="-25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0.30627</cdr:x>
      <cdr:y>0.54973</cdr:y>
    </cdr:from>
    <cdr:to>
      <cdr:x>0.48001</cdr:x>
      <cdr:y>0.60325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6807614-020A-4358-B8A5-1567B1B54AAB}"/>
            </a:ext>
          </a:extLst>
        </cdr:cNvPr>
        <cdr:cNvSpPr txBox="1"/>
      </cdr:nvSpPr>
      <cdr:spPr>
        <a:xfrm xmlns:a="http://schemas.openxmlformats.org/drawingml/2006/main">
          <a:off x="3246029" y="5188613"/>
          <a:ext cx="1841417" cy="50514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800" b="1" i="0">
              <a:latin typeface="Times New Roman" panose="02020603050405020304" pitchFamily="18" charset="0"/>
              <a:cs typeface="Times New Roman" panose="02020603050405020304" pitchFamily="18" charset="0"/>
            </a:rPr>
            <a:t>To    </a:t>
          </a:r>
          <a:r>
            <a:rPr lang="en-GB" sz="18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GB" sz="1800" b="1" i="0">
              <a:latin typeface="Times New Roman" panose="02020603050405020304" pitchFamily="18" charset="0"/>
              <a:cs typeface="Times New Roman" panose="02020603050405020304" pitchFamily="18" charset="0"/>
            </a:rPr>
            <a:t> Gd      G</a:t>
          </a:r>
        </a:p>
      </cdr:txBody>
    </cdr:sp>
  </cdr:relSizeAnchor>
  <cdr:relSizeAnchor xmlns:cdr="http://schemas.openxmlformats.org/drawingml/2006/chartDrawing">
    <cdr:from>
      <cdr:x>0.14734</cdr:x>
      <cdr:y>0.51454</cdr:y>
    </cdr:from>
    <cdr:to>
      <cdr:x>0.35192</cdr:x>
      <cdr:y>0.56589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28BB8DD7-58EA-4475-8D25-252E7EC7E22D}"/>
            </a:ext>
          </a:extLst>
        </cdr:cNvPr>
        <cdr:cNvSpPr txBox="1"/>
      </cdr:nvSpPr>
      <cdr:spPr>
        <a:xfrm xmlns:a="http://schemas.openxmlformats.org/drawingml/2006/main">
          <a:off x="1252434" y="3757754"/>
          <a:ext cx="1738996" cy="375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>
              <a:latin typeface="Times New Roman" panose="02020603050405020304" pitchFamily="18" charset="0"/>
              <a:cs typeface="Times New Roman" panose="02020603050405020304" pitchFamily="18" charset="0"/>
            </a:rPr>
            <a:t>Plagioclase</a:t>
          </a:r>
          <a:endParaRPr lang="en-GB" sz="16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0.73553</cdr:x>
      <cdr:y>0.51996</cdr:y>
    </cdr:from>
    <cdr:to>
      <cdr:x>0.9183</cdr:x>
      <cdr:y>0.57131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28BB8DD7-58EA-4475-8D25-252E7EC7E22D}"/>
            </a:ext>
          </a:extLst>
        </cdr:cNvPr>
        <cdr:cNvSpPr txBox="1"/>
      </cdr:nvSpPr>
      <cdr:spPr>
        <a:xfrm xmlns:a="http://schemas.openxmlformats.org/drawingml/2006/main">
          <a:off x="7795631" y="4907595"/>
          <a:ext cx="1937190" cy="484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>
              <a:latin typeface="Times New Roman" panose="02020603050405020304" pitchFamily="18" charset="0"/>
              <a:cs typeface="Times New Roman" panose="02020603050405020304" pitchFamily="18" charset="0"/>
            </a:rPr>
            <a:t>K-Feldspar</a:t>
          </a:r>
          <a:endParaRPr lang="en-GB" sz="16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0.64131</cdr:x>
      <cdr:y>0.26175</cdr:y>
    </cdr:from>
    <cdr:to>
      <cdr:x>0.65565</cdr:x>
      <cdr:y>0.56926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28BB8DD7-58EA-4475-8D25-252E7EC7E22D}"/>
            </a:ext>
          </a:extLst>
        </cdr:cNvPr>
        <cdr:cNvSpPr txBox="1"/>
      </cdr:nvSpPr>
      <cdr:spPr>
        <a:xfrm xmlns:a="http://schemas.openxmlformats.org/drawingml/2006/main" rot="3507640">
          <a:off x="4444547" y="2824398"/>
          <a:ext cx="2135399" cy="121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latin typeface="Times New Roman" panose="02020603050405020304" pitchFamily="18" charset="0"/>
              <a:cs typeface="Times New Roman" panose="02020603050405020304" pitchFamily="18" charset="0"/>
            </a:rPr>
            <a:t>K-metasomatism</a:t>
          </a:r>
          <a:endParaRPr lang="en-GB" sz="16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0.35047</cdr:x>
      <cdr:y>0.37816</cdr:y>
    </cdr:from>
    <cdr:to>
      <cdr:x>0.42282</cdr:x>
      <cdr:y>0.51945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C5121F5F-9979-4A86-86FE-19B8438D10E5}"/>
            </a:ext>
          </a:extLst>
        </cdr:cNvPr>
        <cdr:cNvCxnSpPr/>
      </cdr:nvCxnSpPr>
      <cdr:spPr>
        <a:xfrm xmlns:a="http://schemas.openxmlformats.org/drawingml/2006/main" flipV="1">
          <a:off x="3737265" y="3569276"/>
          <a:ext cx="771525" cy="13335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0.39599</cdr:x>
      <cdr:y>0.3808</cdr:y>
    </cdr:from>
    <cdr:to>
      <cdr:x>0.46834</cdr:x>
      <cdr:y>0.52208</cdr:y>
    </cdr:to>
    <cdr:cxnSp macro="">
      <cdr:nvCxnSpPr>
        <cdr:cNvPr id="14" name="Straight Arrow Connector 13">
          <a:extLst xmlns:a="http://schemas.openxmlformats.org/drawingml/2006/main">
            <a:ext uri="{FF2B5EF4-FFF2-40B4-BE49-F238E27FC236}">
              <a16:creationId xmlns:a16="http://schemas.microsoft.com/office/drawing/2014/main" id="{F309C8AA-5F07-4041-A6EA-540369001FDA}"/>
            </a:ext>
          </a:extLst>
        </cdr:cNvPr>
        <cdr:cNvCxnSpPr/>
      </cdr:nvCxnSpPr>
      <cdr:spPr>
        <a:xfrm xmlns:a="http://schemas.openxmlformats.org/drawingml/2006/main" flipV="1">
          <a:off x="4222750" y="3594100"/>
          <a:ext cx="771525" cy="13335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0.44869</cdr:x>
      <cdr:y>0.3818</cdr:y>
    </cdr:from>
    <cdr:to>
      <cdr:x>0.52104</cdr:x>
      <cdr:y>0.52309</cdr:y>
    </cdr:to>
    <cdr:cxnSp macro="">
      <cdr:nvCxnSpPr>
        <cdr:cNvPr id="15" name="Straight Arrow Connector 14">
          <a:extLst xmlns:a="http://schemas.openxmlformats.org/drawingml/2006/main">
            <a:ext uri="{FF2B5EF4-FFF2-40B4-BE49-F238E27FC236}">
              <a16:creationId xmlns:a16="http://schemas.microsoft.com/office/drawing/2014/main" id="{F309C8AA-5F07-4041-A6EA-540369001FDA}"/>
            </a:ext>
          </a:extLst>
        </cdr:cNvPr>
        <cdr:cNvCxnSpPr/>
      </cdr:nvCxnSpPr>
      <cdr:spPr>
        <a:xfrm xmlns:a="http://schemas.openxmlformats.org/drawingml/2006/main" flipV="1">
          <a:off x="4784725" y="3603625"/>
          <a:ext cx="771525" cy="13335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0.6095</cdr:x>
      <cdr:y>0.34789</cdr:y>
    </cdr:from>
    <cdr:to>
      <cdr:x>0.69078</cdr:x>
      <cdr:y>0.50229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F309C8AA-5F07-4041-A6EA-540369001FDA}"/>
            </a:ext>
          </a:extLst>
        </cdr:cNvPr>
        <cdr:cNvCxnSpPr/>
      </cdr:nvCxnSpPr>
      <cdr:spPr>
        <a:xfrm xmlns:a="http://schemas.openxmlformats.org/drawingml/2006/main">
          <a:off x="6499515" y="3283526"/>
          <a:ext cx="866775" cy="1457325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0.34383</cdr:x>
      <cdr:y>0.29153</cdr:y>
    </cdr:from>
    <cdr:to>
      <cdr:x>0.38231</cdr:x>
      <cdr:y>0.58136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96644784-D86C-484C-A9E9-29E5C6AFA0EE}"/>
            </a:ext>
          </a:extLst>
        </cdr:cNvPr>
        <cdr:cNvSpPr txBox="1"/>
      </cdr:nvSpPr>
      <cdr:spPr>
        <a:xfrm xmlns:a="http://schemas.openxmlformats.org/drawingml/2006/main" rot="18093707">
          <a:off x="2079886" y="2867209"/>
          <a:ext cx="2012627" cy="327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>
              <a:latin typeface="Times New Roman" panose="02020603050405020304" pitchFamily="18" charset="0"/>
              <a:cs typeface="Times New Roman" panose="02020603050405020304" pitchFamily="18" charset="0"/>
            </a:rPr>
            <a:t>Weathering Trend</a:t>
          </a:r>
        </a:p>
      </cdr:txBody>
    </cdr:sp>
  </cdr:relSizeAnchor>
  <cdr:relSizeAnchor xmlns:cdr="http://schemas.openxmlformats.org/drawingml/2006/chartDrawing">
    <cdr:from>
      <cdr:x>0.05352</cdr:x>
      <cdr:y>0.82922</cdr:y>
    </cdr:from>
    <cdr:to>
      <cdr:x>0.28427</cdr:x>
      <cdr:y>0.88057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28BB8DD7-58EA-4475-8D25-252E7EC7E22D}"/>
            </a:ext>
          </a:extLst>
        </cdr:cNvPr>
        <cdr:cNvSpPr txBox="1"/>
      </cdr:nvSpPr>
      <cdr:spPr>
        <a:xfrm xmlns:a="http://schemas.openxmlformats.org/drawingml/2006/main">
          <a:off x="457330" y="6055886"/>
          <a:ext cx="1971706" cy="375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 i="0">
              <a:latin typeface="Times New Roman" panose="02020603050405020304" pitchFamily="18" charset="0"/>
              <a:cs typeface="Times New Roman" panose="02020603050405020304" pitchFamily="18" charset="0"/>
            </a:rPr>
            <a:t>CaO*</a:t>
          </a:r>
          <a:r>
            <a:rPr lang="en-GB" sz="20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 + Na</a:t>
          </a:r>
          <a:r>
            <a:rPr lang="en-GB" sz="2000" b="1" i="0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GB" sz="2000" b="1" i="0" baseline="0">
              <a:latin typeface="Times New Roman" panose="02020603050405020304" pitchFamily="18" charset="0"/>
              <a:cs typeface="Times New Roman" panose="02020603050405020304" pitchFamily="18" charset="0"/>
            </a:rPr>
            <a:t>O</a:t>
          </a:r>
          <a:endParaRPr lang="en-GB" sz="2000" b="1" i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0.29509</cdr:x>
      <cdr:y>0.53849</cdr:y>
    </cdr:from>
    <cdr:to>
      <cdr:x>0.72976</cdr:x>
      <cdr:y>0.54112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9A3F9BA7-D478-4C9C-8594-A154F196D064}"/>
            </a:ext>
          </a:extLst>
        </cdr:cNvPr>
        <cdr:cNvCxnSpPr/>
      </cdr:nvCxnSpPr>
      <cdr:spPr>
        <a:xfrm xmlns:a="http://schemas.openxmlformats.org/drawingml/2006/main" flipV="1">
          <a:off x="3137604" y="5082509"/>
          <a:ext cx="4621695" cy="2484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0.4971</cdr:x>
      <cdr:y>0.30748</cdr:y>
    </cdr:from>
    <cdr:to>
      <cdr:x>0.52576</cdr:x>
      <cdr:y>0.34157</cdr:y>
    </cdr:to>
    <cdr:sp macro="" textlink="">
      <cdr:nvSpPr>
        <cdr:cNvPr id="21" name="Star: 5 Points 20">
          <a:extLst xmlns:a="http://schemas.openxmlformats.org/drawingml/2006/main">
            <a:ext uri="{FF2B5EF4-FFF2-40B4-BE49-F238E27FC236}">
              <a16:creationId xmlns:a16="http://schemas.microsoft.com/office/drawing/2014/main" id="{478B4A18-920F-4CF7-8DBF-DB1F625BCB76}"/>
            </a:ext>
          </a:extLst>
        </cdr:cNvPr>
        <cdr:cNvSpPr/>
      </cdr:nvSpPr>
      <cdr:spPr>
        <a:xfrm xmlns:a="http://schemas.openxmlformats.org/drawingml/2006/main">
          <a:off x="5285486" y="2902088"/>
          <a:ext cx="304737" cy="321778"/>
        </a:xfrm>
        <a:prstGeom xmlns:a="http://schemas.openxmlformats.org/drawingml/2006/main" prst="star5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0.47185</cdr:x>
      <cdr:y>0.33729</cdr:y>
    </cdr:from>
    <cdr:to>
      <cdr:x>0.57111</cdr:x>
      <cdr:y>0.3655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8C847FDA-87CB-4769-BAD7-E30DE4F90127}"/>
            </a:ext>
          </a:extLst>
        </cdr:cNvPr>
        <cdr:cNvSpPr txBox="1"/>
      </cdr:nvSpPr>
      <cdr:spPr>
        <a:xfrm xmlns:a="http://schemas.openxmlformats.org/drawingml/2006/main">
          <a:off x="4632115" y="2463266"/>
          <a:ext cx="974455" cy="206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 i="0">
              <a:latin typeface="Times New Roman" panose="02020603050405020304" pitchFamily="18" charset="0"/>
              <a:cs typeface="Times New Roman" panose="02020603050405020304" pitchFamily="18" charset="0"/>
            </a:rPr>
            <a:t>PAAS</a:t>
          </a:r>
          <a:endParaRPr lang="en-GB" sz="1400" b="1" i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0.00933</cdr:x>
      <cdr:y>0.64929</cdr:y>
    </cdr:from>
    <cdr:to>
      <cdr:x>0.06095</cdr:x>
      <cdr:y>0.67304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A8EB21BC-39E8-4CBE-A93B-C232F894CD62}"/>
            </a:ext>
          </a:extLst>
        </cdr:cNvPr>
        <cdr:cNvSpPr txBox="1"/>
      </cdr:nvSpPr>
      <cdr:spPr>
        <a:xfrm xmlns:a="http://schemas.openxmlformats.org/drawingml/2006/main">
          <a:off x="99244" y="6128291"/>
          <a:ext cx="548859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AU" sz="1000" b="1" baseline="-25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0.32216</cdr:x>
      <cdr:y>0.52246</cdr:y>
    </cdr:from>
    <cdr:to>
      <cdr:x>0.35102</cdr:x>
      <cdr:y>0.55655</cdr:y>
    </cdr:to>
    <cdr:sp macro="" textlink="">
      <cdr:nvSpPr>
        <cdr:cNvPr id="24" name="Star: 5 Points 23">
          <a:extLst xmlns:a="http://schemas.openxmlformats.org/drawingml/2006/main">
            <a:ext uri="{FF2B5EF4-FFF2-40B4-BE49-F238E27FC236}">
              <a16:creationId xmlns:a16="http://schemas.microsoft.com/office/drawing/2014/main" id="{4503DA8D-2CC1-4F97-8103-572B3941D95D}"/>
            </a:ext>
          </a:extLst>
        </cdr:cNvPr>
        <cdr:cNvSpPr/>
      </cdr:nvSpPr>
      <cdr:spPr>
        <a:xfrm xmlns:a="http://schemas.openxmlformats.org/drawingml/2006/main">
          <a:off x="3425439" y="4931197"/>
          <a:ext cx="306802" cy="321778"/>
        </a:xfrm>
        <a:prstGeom xmlns:a="http://schemas.openxmlformats.org/drawingml/2006/main" prst="star5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0.37238</cdr:x>
      <cdr:y>0.52193</cdr:y>
    </cdr:from>
    <cdr:to>
      <cdr:x>0.40104</cdr:x>
      <cdr:y>0.55603</cdr:y>
    </cdr:to>
    <cdr:sp macro="" textlink="">
      <cdr:nvSpPr>
        <cdr:cNvPr id="25" name="Star: 5 Points 24">
          <a:extLst xmlns:a="http://schemas.openxmlformats.org/drawingml/2006/main">
            <a:ext uri="{FF2B5EF4-FFF2-40B4-BE49-F238E27FC236}">
              <a16:creationId xmlns:a16="http://schemas.microsoft.com/office/drawing/2014/main" id="{D6F7B037-CB2E-499D-B7BB-09EA79AD2B41}"/>
            </a:ext>
          </a:extLst>
        </cdr:cNvPr>
        <cdr:cNvSpPr/>
      </cdr:nvSpPr>
      <cdr:spPr>
        <a:xfrm xmlns:a="http://schemas.openxmlformats.org/drawingml/2006/main">
          <a:off x="3959349" y="4926227"/>
          <a:ext cx="304737" cy="321778"/>
        </a:xfrm>
        <a:prstGeom xmlns:a="http://schemas.openxmlformats.org/drawingml/2006/main" prst="star5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0.42492</cdr:x>
      <cdr:y>0.52053</cdr:y>
    </cdr:from>
    <cdr:to>
      <cdr:x>0.45358</cdr:x>
      <cdr:y>0.55462</cdr:y>
    </cdr:to>
    <cdr:sp macro="" textlink="">
      <cdr:nvSpPr>
        <cdr:cNvPr id="26" name="Star: 5 Points 25">
          <a:extLst xmlns:a="http://schemas.openxmlformats.org/drawingml/2006/main">
            <a:ext uri="{FF2B5EF4-FFF2-40B4-BE49-F238E27FC236}">
              <a16:creationId xmlns:a16="http://schemas.microsoft.com/office/drawing/2014/main" id="{F6CDE798-F2E9-4F19-AD8D-5AE0C23A560C}"/>
            </a:ext>
          </a:extLst>
        </cdr:cNvPr>
        <cdr:cNvSpPr/>
      </cdr:nvSpPr>
      <cdr:spPr>
        <a:xfrm xmlns:a="http://schemas.openxmlformats.org/drawingml/2006/main">
          <a:off x="4518035" y="4912975"/>
          <a:ext cx="304738" cy="321778"/>
        </a:xfrm>
        <a:prstGeom xmlns:a="http://schemas.openxmlformats.org/drawingml/2006/main" prst="star5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249230</xdr:colOff>
      <xdr:row>4</xdr:row>
      <xdr:rowOff>187516</xdr:rowOff>
    </xdr:from>
    <xdr:to>
      <xdr:col>27</xdr:col>
      <xdr:colOff>596900</xdr:colOff>
      <xdr:row>42</xdr:row>
      <xdr:rowOff>176893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04AB2A-86FA-4C2A-9CFA-8D8F15E76875}"/>
            </a:ext>
          </a:extLst>
        </xdr:cNvPr>
        <xdr:cNvGrpSpPr/>
      </xdr:nvGrpSpPr>
      <xdr:grpSpPr>
        <a:xfrm>
          <a:off x="11412530" y="949516"/>
          <a:ext cx="6538920" cy="7228377"/>
          <a:chOff x="11729507" y="-2738263"/>
          <a:chExt cx="5953417" cy="7034893"/>
        </a:xfrm>
      </xdr:grpSpPr>
      <xdr:graphicFrame macro="">
        <xdr:nvGraphicFramePr>
          <xdr:cNvPr id="3" name="Chart 3">
            <a:extLst>
              <a:ext uri="{FF2B5EF4-FFF2-40B4-BE49-F238E27FC236}">
                <a16:creationId xmlns:a16="http://schemas.microsoft.com/office/drawing/2014/main" id="{6EF7A7E1-7052-6747-7705-8E00FB9F9833}"/>
              </a:ext>
            </a:extLst>
          </xdr:cNvPr>
          <xdr:cNvGraphicFramePr>
            <a:graphicFrameLocks/>
          </xdr:cNvGraphicFramePr>
        </xdr:nvGraphicFramePr>
        <xdr:xfrm>
          <a:off x="11729507" y="-2738263"/>
          <a:ext cx="5953417" cy="70348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Star: 5 Points 3">
            <a:extLst>
              <a:ext uri="{FF2B5EF4-FFF2-40B4-BE49-F238E27FC236}">
                <a16:creationId xmlns:a16="http://schemas.microsoft.com/office/drawing/2014/main" id="{0B3A54F9-6296-9C8D-8608-D11B6C6B1FCC}"/>
              </a:ext>
            </a:extLst>
          </xdr:cNvPr>
          <xdr:cNvSpPr/>
        </xdr:nvSpPr>
        <xdr:spPr>
          <a:xfrm>
            <a:off x="14808690" y="1234751"/>
            <a:ext cx="184787" cy="172221"/>
          </a:xfrm>
          <a:prstGeom prst="star5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0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0.418</cdr:x>
      <cdr:y>0.09106</cdr:y>
    </cdr:from>
    <cdr:to>
      <cdr:x>0.61434</cdr:x>
      <cdr:y>0.14615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46885" y="658242"/>
          <a:ext cx="1431148" cy="398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1200" b="1">
              <a:latin typeface="Times New Roman" panose="02020603050405020304" pitchFamily="18" charset="0"/>
              <a:cs typeface="Times New Roman" panose="02020603050405020304" pitchFamily="18" charset="0"/>
            </a:rPr>
            <a:t>15*Al</a:t>
          </a:r>
          <a:r>
            <a:rPr lang="en-AU" sz="1200" b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AU" sz="1200" b="1">
              <a:latin typeface="Times New Roman" panose="02020603050405020304" pitchFamily="18" charset="0"/>
              <a:cs typeface="Times New Roman" panose="02020603050405020304" pitchFamily="18" charset="0"/>
            </a:rPr>
            <a:t>O</a:t>
          </a:r>
          <a:r>
            <a:rPr lang="en-AU" sz="1200" b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</a:p>
      </cdr:txBody>
    </cdr:sp>
  </cdr:relSizeAnchor>
  <cdr:relSizeAnchor xmlns:cdr="http://schemas.openxmlformats.org/drawingml/2006/chartDrawing">
    <cdr:from>
      <cdr:x>0</cdr:x>
      <cdr:y>0.83205</cdr:y>
    </cdr:from>
    <cdr:to>
      <cdr:x>0.1202</cdr:x>
      <cdr:y>0.8869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014371"/>
          <a:ext cx="871358" cy="396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1200" b="1">
              <a:latin typeface="Times New Roman" panose="02020603050405020304" pitchFamily="18" charset="0"/>
              <a:cs typeface="Times New Roman" panose="02020603050405020304" pitchFamily="18" charset="0"/>
            </a:rPr>
            <a:t>Zr</a:t>
          </a:r>
          <a:endParaRPr lang="en-AU" sz="1200" b="1" baseline="-25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0.86277</cdr:x>
      <cdr:y>0.83445</cdr:y>
    </cdr:from>
    <cdr:to>
      <cdr:x>1</cdr:x>
      <cdr:y>0.90112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668970" y="6031719"/>
          <a:ext cx="901700" cy="481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1200" b="1">
              <a:latin typeface="Times New Roman" panose="02020603050405020304" pitchFamily="18" charset="0"/>
              <a:cs typeface="Times New Roman" panose="02020603050405020304" pitchFamily="18" charset="0"/>
            </a:rPr>
            <a:t>300*TiO</a:t>
          </a:r>
          <a:r>
            <a:rPr lang="en-AU" sz="1200" b="1" baseline="-25000"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</a:p>
      </cdr:txBody>
    </cdr:sp>
  </cdr:relSizeAnchor>
  <cdr:relSizeAnchor xmlns:cdr="http://schemas.openxmlformats.org/drawingml/2006/chartDrawing">
    <cdr:from>
      <cdr:x>0.4353</cdr:x>
      <cdr:y>0.5727</cdr:y>
    </cdr:from>
    <cdr:to>
      <cdr:x>0.52771</cdr:x>
      <cdr:y>0.60996</cdr:y>
    </cdr:to>
    <cdr:sp macro="" textlink="">
      <cdr:nvSpPr>
        <cdr:cNvPr id="5" name="TextBox 3">
          <a:extLst xmlns:a="http://schemas.openxmlformats.org/drawingml/2006/main">
            <a:ext uri="{FF2B5EF4-FFF2-40B4-BE49-F238E27FC236}">
              <a16:creationId xmlns:a16="http://schemas.microsoft.com/office/drawing/2014/main" id="{98F4C91A-B4EE-43B6-8A4C-63218C71FC73}"/>
            </a:ext>
          </a:extLst>
        </cdr:cNvPr>
        <cdr:cNvSpPr txBox="1"/>
      </cdr:nvSpPr>
      <cdr:spPr>
        <a:xfrm xmlns:a="http://schemas.openxmlformats.org/drawingml/2006/main">
          <a:off x="2846395" y="4139692"/>
          <a:ext cx="604258" cy="26932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 i="0">
              <a:latin typeface="Times New Roman" panose="02020603050405020304" pitchFamily="18" charset="0"/>
              <a:cs typeface="Times New Roman" panose="02020603050405020304" pitchFamily="18" charset="0"/>
            </a:rPr>
            <a:t>PAAS</a:t>
          </a:r>
        </a:p>
      </cdr:txBody>
    </cdr:sp>
  </cdr:relSizeAnchor>
  <cdr:relSizeAnchor xmlns:cdr="http://schemas.openxmlformats.org/drawingml/2006/chartDrawing">
    <cdr:from>
      <cdr:x>0.31299</cdr:x>
      <cdr:y>0.46258</cdr:y>
    </cdr:from>
    <cdr:to>
      <cdr:x>0.47754</cdr:x>
      <cdr:y>0.49997</cdr:y>
    </cdr:to>
    <cdr:sp macro="" textlink="">
      <cdr:nvSpPr>
        <cdr:cNvPr id="8" name="TextBox 5">
          <a:extLst xmlns:a="http://schemas.openxmlformats.org/drawingml/2006/main">
            <a:ext uri="{FF2B5EF4-FFF2-40B4-BE49-F238E27FC236}">
              <a16:creationId xmlns:a16="http://schemas.microsoft.com/office/drawing/2014/main" id="{56A6451F-3439-46D2-977B-553D3D853999}"/>
            </a:ext>
          </a:extLst>
        </cdr:cNvPr>
        <cdr:cNvSpPr txBox="1"/>
      </cdr:nvSpPr>
      <cdr:spPr>
        <a:xfrm xmlns:a="http://schemas.openxmlformats.org/drawingml/2006/main">
          <a:off x="2046616" y="3343703"/>
          <a:ext cx="1076003" cy="2702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granodiorite</a:t>
          </a:r>
          <a:endParaRPr lang="en-GB" sz="16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0.74415</cdr:x>
      <cdr:y>0.62483</cdr:y>
    </cdr:from>
    <cdr:to>
      <cdr:x>0.82946</cdr:x>
      <cdr:y>0.66356</cdr:y>
    </cdr:to>
    <cdr:sp macro="" textlink="">
      <cdr:nvSpPr>
        <cdr:cNvPr id="9" name="TextBox 6">
          <a:extLst xmlns:a="http://schemas.openxmlformats.org/drawingml/2006/main">
            <a:ext uri="{FF2B5EF4-FFF2-40B4-BE49-F238E27FC236}">
              <a16:creationId xmlns:a16="http://schemas.microsoft.com/office/drawing/2014/main" id="{030ECA8C-72DB-4A75-BA64-6DA4BEA0800A}"/>
            </a:ext>
          </a:extLst>
        </cdr:cNvPr>
        <cdr:cNvSpPr txBox="1"/>
      </cdr:nvSpPr>
      <cdr:spPr>
        <a:xfrm xmlns:a="http://schemas.openxmlformats.org/drawingml/2006/main">
          <a:off x="4865959" y="4516484"/>
          <a:ext cx="557835" cy="27995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gabbros</a:t>
          </a:r>
          <a:endParaRPr lang="en-GB" sz="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0.24099</cdr:x>
      <cdr:y>0.62898</cdr:y>
    </cdr:from>
    <cdr:to>
      <cdr:x>0.40639</cdr:x>
      <cdr:y>0.71889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FD4DD8D7-33C9-48F5-8D59-C86A41043EE6}"/>
            </a:ext>
          </a:extLst>
        </cdr:cNvPr>
        <cdr:cNvCxnSpPr/>
      </cdr:nvCxnSpPr>
      <cdr:spPr>
        <a:xfrm xmlns:a="http://schemas.openxmlformats.org/drawingml/2006/main" flipH="1">
          <a:off x="1756589" y="4546475"/>
          <a:ext cx="1205650" cy="64994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0.23933</cdr:x>
      <cdr:y>0.65574</cdr:y>
    </cdr:from>
    <cdr:to>
      <cdr:x>0.36766</cdr:x>
      <cdr:y>0.69094</cdr:y>
    </cdr:to>
    <cdr:sp macro="" textlink="">
      <cdr:nvSpPr>
        <cdr:cNvPr id="11" name="TextBox 9">
          <a:extLst xmlns:a="http://schemas.openxmlformats.org/drawingml/2006/main">
            <a:ext uri="{FF2B5EF4-FFF2-40B4-BE49-F238E27FC236}">
              <a16:creationId xmlns:a16="http://schemas.microsoft.com/office/drawing/2014/main" id="{AF30A826-81B5-48E7-922D-1DA91C7A7E1B}"/>
            </a:ext>
          </a:extLst>
        </cdr:cNvPr>
        <cdr:cNvSpPr txBox="1"/>
      </cdr:nvSpPr>
      <cdr:spPr>
        <a:xfrm xmlns:a="http://schemas.openxmlformats.org/drawingml/2006/main" rot="19824352">
          <a:off x="1564980" y="4739942"/>
          <a:ext cx="839128" cy="2544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latin typeface="Times New Roman" panose="02020603050405020304" pitchFamily="18" charset="0"/>
              <a:cs typeface="Times New Roman" panose="02020603050405020304" pitchFamily="18" charset="0"/>
            </a:rPr>
            <a:t>Recycling</a:t>
          </a:r>
        </a:p>
      </cdr:txBody>
    </cdr:sp>
  </cdr:relSizeAnchor>
  <cdr:relSizeAnchor xmlns:cdr="http://schemas.openxmlformats.org/drawingml/2006/chartDrawing">
    <cdr:from>
      <cdr:x>0.41579</cdr:x>
      <cdr:y>0.29571</cdr:y>
    </cdr:from>
    <cdr:to>
      <cdr:x>0.49974</cdr:x>
      <cdr:y>0.33297</cdr:y>
    </cdr:to>
    <cdr:sp macro="" textlink="">
      <cdr:nvSpPr>
        <cdr:cNvPr id="12" name="TextBox 4">
          <a:extLst xmlns:a="http://schemas.openxmlformats.org/drawingml/2006/main">
            <a:ext uri="{FF2B5EF4-FFF2-40B4-BE49-F238E27FC236}">
              <a16:creationId xmlns:a16="http://schemas.microsoft.com/office/drawing/2014/main" id="{0FA405A8-737C-4408-941F-2F6EA1E4DAAA}"/>
            </a:ext>
          </a:extLst>
        </cdr:cNvPr>
        <cdr:cNvSpPr txBox="1"/>
      </cdr:nvSpPr>
      <cdr:spPr>
        <a:xfrm xmlns:a="http://schemas.openxmlformats.org/drawingml/2006/main">
          <a:off x="3030764" y="2137496"/>
          <a:ext cx="611899" cy="2693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0">
              <a:latin typeface="Times New Roman" panose="02020603050405020304" pitchFamily="18" charset="0"/>
              <a:cs typeface="Times New Roman" panose="02020603050405020304" pitchFamily="18" charset="0"/>
            </a:rPr>
            <a:t>granite</a:t>
          </a:r>
        </a:p>
      </cdr:txBody>
    </cdr:sp>
  </cdr:relSizeAnchor>
  <cdr:relSizeAnchor xmlns:cdr="http://schemas.openxmlformats.org/drawingml/2006/chartDrawing">
    <cdr:from>
      <cdr:x>0.52998</cdr:x>
      <cdr:y>0.27245</cdr:y>
    </cdr:from>
    <cdr:to>
      <cdr:x>0.62696</cdr:x>
      <cdr:y>0.34687</cdr:y>
    </cdr:to>
    <cdr:sp macro="" textlink="">
      <cdr:nvSpPr>
        <cdr:cNvPr id="13" name="TextBox 7">
          <a:extLst xmlns:a="http://schemas.openxmlformats.org/drawingml/2006/main">
            <a:ext uri="{FF2B5EF4-FFF2-40B4-BE49-F238E27FC236}">
              <a16:creationId xmlns:a16="http://schemas.microsoft.com/office/drawing/2014/main" id="{C1C144A8-6936-4EE3-8D68-83801E14749F}"/>
            </a:ext>
          </a:extLst>
        </cdr:cNvPr>
        <cdr:cNvSpPr txBox="1"/>
      </cdr:nvSpPr>
      <cdr:spPr>
        <a:xfrm xmlns:a="http://schemas.openxmlformats.org/drawingml/2006/main">
          <a:off x="3465520" y="1969371"/>
          <a:ext cx="634121" cy="53793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Al-rich</a:t>
          </a:r>
        </a:p>
        <a:p xmlns:a="http://schemas.openxmlformats.org/drawingml/2006/main">
          <a:pPr algn="ctr"/>
          <a:r>
            <a:rPr lang="en-GB" sz="1200">
              <a:latin typeface="Times New Roman" panose="02020603050405020304" pitchFamily="18" charset="0"/>
              <a:cs typeface="Times New Roman" panose="02020603050405020304" pitchFamily="18" charset="0"/>
            </a:rPr>
            <a:t>shale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392207</xdr:colOff>
      <xdr:row>3</xdr:row>
      <xdr:rowOff>31750</xdr:rowOff>
    </xdr:from>
    <xdr:to>
      <xdr:col>60</xdr:col>
      <xdr:colOff>596349</xdr:colOff>
      <xdr:row>26</xdr:row>
      <xdr:rowOff>742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43232D-0B6F-4404-9623-7FE5192B5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61913</xdr:colOff>
      <xdr:row>42</xdr:row>
      <xdr:rowOff>133350</xdr:rowOff>
    </xdr:from>
    <xdr:to>
      <xdr:col>35</xdr:col>
      <xdr:colOff>526597</xdr:colOff>
      <xdr:row>64</xdr:row>
      <xdr:rowOff>90489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E7EE029E-4F43-423C-93B5-07B0BE64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184657</xdr:colOff>
      <xdr:row>23</xdr:row>
      <xdr:rowOff>105146</xdr:rowOff>
    </xdr:from>
    <xdr:to>
      <xdr:col>19</xdr:col>
      <xdr:colOff>409081</xdr:colOff>
      <xdr:row>43</xdr:row>
      <xdr:rowOff>67046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947AA8-BB43-4565-87C3-C477BD547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0.07807</cdr:x>
      <cdr:y>0.49898</cdr:y>
    </cdr:from>
    <cdr:to>
      <cdr:x>0.98203</cdr:x>
      <cdr:y>0.49898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F825E8DD-1EC0-4C18-BDCD-2946551CC9B1}"/>
            </a:ext>
          </a:extLst>
        </cdr:cNvPr>
        <cdr:cNvCxnSpPr/>
      </cdr:nvCxnSpPr>
      <cdr:spPr>
        <a:xfrm xmlns:a="http://schemas.openxmlformats.org/drawingml/2006/main" flipV="1">
          <a:off x="717177" y="1939127"/>
          <a:ext cx="8303559" cy="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68039</xdr:colOff>
      <xdr:row>2</xdr:row>
      <xdr:rowOff>1</xdr:rowOff>
    </xdr:from>
    <xdr:to>
      <xdr:col>32</xdr:col>
      <xdr:colOff>552450</xdr:colOff>
      <xdr:row>23</xdr:row>
      <xdr:rowOff>136072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A30604-AC6A-4D3B-8590-D53DA73A4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810986</xdr:colOff>
      <xdr:row>2</xdr:row>
      <xdr:rowOff>127907</xdr:rowOff>
    </xdr:from>
    <xdr:ext cx="771686" cy="2471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05E23C0-4A3A-4C98-94E4-4C6A2B79CB67}"/>
            </a:ext>
          </a:extLst>
        </xdr:cNvPr>
        <xdr:cNvSpPr txBox="1"/>
      </xdr:nvSpPr>
      <xdr:spPr>
        <a:xfrm>
          <a:off x="21889811" y="451757"/>
          <a:ext cx="771686" cy="247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000" b="1">
              <a:latin typeface="Times New Roman" panose="02020603050405020304" pitchFamily="18" charset="0"/>
              <a:cs typeface="Times New Roman" panose="02020603050405020304" pitchFamily="18" charset="0"/>
            </a:rPr>
            <a:t>High silica</a:t>
          </a:r>
        </a:p>
      </xdr:txBody>
    </xdr:sp>
    <xdr:clientData/>
  </xdr:oneCellAnchor>
  <xdr:twoCellAnchor>
    <xdr:from>
      <xdr:col>33</xdr:col>
      <xdr:colOff>723900</xdr:colOff>
      <xdr:row>24</xdr:row>
      <xdr:rowOff>171450</xdr:rowOff>
    </xdr:from>
    <xdr:to>
      <xdr:col>42</xdr:col>
      <xdr:colOff>724292</xdr:colOff>
      <xdr:row>41</xdr:row>
      <xdr:rowOff>122999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14EFD2-B209-43F6-AD5D-919283E501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319766</xdr:colOff>
      <xdr:row>49</xdr:row>
      <xdr:rowOff>139472</xdr:rowOff>
    </xdr:from>
    <xdr:to>
      <xdr:col>54</xdr:col>
      <xdr:colOff>319766</xdr:colOff>
      <xdr:row>65</xdr:row>
      <xdr:rowOff>92103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BA5C54F-6FB7-45CB-A560-59CCEB620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0.51075</cdr:x>
      <cdr:y>0.44299</cdr:y>
    </cdr:from>
    <cdr:to>
      <cdr:x>0.58192</cdr:x>
      <cdr:y>0.84597</cdr:y>
    </cdr:to>
    <cdr:sp macro="" textlink="">
      <cdr:nvSpPr>
        <cdr:cNvPr id="4" name="Straight Connector 3"/>
        <cdr:cNvSpPr/>
      </cdr:nvSpPr>
      <cdr:spPr>
        <a:xfrm xmlns:a="http://schemas.openxmlformats.org/drawingml/2006/main" flipH="1" flipV="1">
          <a:off x="3061320" y="1622581"/>
          <a:ext cx="426599" cy="147603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0.11445</cdr:x>
      <cdr:y>0.23472</cdr:y>
    </cdr:from>
    <cdr:to>
      <cdr:x>0.51197</cdr:x>
      <cdr:y>0.44299</cdr:y>
    </cdr:to>
    <cdr:sp macro="" textlink="">
      <cdr:nvSpPr>
        <cdr:cNvPr id="6" name="Straight Connector 5"/>
        <cdr:cNvSpPr/>
      </cdr:nvSpPr>
      <cdr:spPr>
        <a:xfrm xmlns:a="http://schemas.openxmlformats.org/drawingml/2006/main">
          <a:off x="685993" y="859731"/>
          <a:ext cx="2382656" cy="7628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0.51075</cdr:x>
      <cdr:y>0.02201</cdr:y>
    </cdr:from>
    <cdr:to>
      <cdr:x>0.97373</cdr:x>
      <cdr:y>0.44499</cdr:y>
    </cdr:to>
    <cdr:sp macro="" textlink="">
      <cdr:nvSpPr>
        <cdr:cNvPr id="8" name="Straight Connector 7"/>
        <cdr:cNvSpPr/>
      </cdr:nvSpPr>
      <cdr:spPr>
        <a:xfrm xmlns:a="http://schemas.openxmlformats.org/drawingml/2006/main" flipV="1">
          <a:off x="3061321" y="80618"/>
          <a:ext cx="2775036" cy="154929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0.18949</cdr:x>
      <cdr:y>0.69682</cdr:y>
    </cdr:from>
    <cdr:to>
      <cdr:x>0.35835</cdr:x>
      <cdr:y>0.76773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962025" y="2714626"/>
          <a:ext cx="8572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Rift</a:t>
          </a:r>
        </a:p>
      </cdr:txBody>
    </cdr:sp>
  </cdr:relSizeAnchor>
  <cdr:relSizeAnchor xmlns:cdr="http://schemas.openxmlformats.org/drawingml/2006/chartDrawing">
    <cdr:from>
      <cdr:x>0.18762</cdr:x>
      <cdr:y>0.11002</cdr:y>
    </cdr:from>
    <cdr:to>
      <cdr:x>0.34897</cdr:x>
      <cdr:y>0.19315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500" y="428626"/>
          <a:ext cx="8191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		</a:t>
          </a:r>
        </a:p>
      </cdr:txBody>
    </cdr:sp>
  </cdr:relSizeAnchor>
  <cdr:relSizeAnchor xmlns:cdr="http://schemas.openxmlformats.org/drawingml/2006/chartDrawing">
    <cdr:from>
      <cdr:x>0.18011</cdr:x>
      <cdr:y>0.10513</cdr:y>
    </cdr:from>
    <cdr:to>
      <cdr:x>0.33583</cdr:x>
      <cdr:y>0.18826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914400" y="409577"/>
          <a:ext cx="7905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Arc</a:t>
          </a:r>
        </a:p>
      </cdr:txBody>
    </cdr:sp>
  </cdr:relSizeAnchor>
  <cdr:relSizeAnchor xmlns:cdr="http://schemas.openxmlformats.org/drawingml/2006/chartDrawing">
    <cdr:from>
      <cdr:x>0.82176</cdr:x>
      <cdr:y>0.69927</cdr:y>
    </cdr:from>
    <cdr:to>
      <cdr:x>0.96248</cdr:x>
      <cdr:y>0.77995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171950" y="2724151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Col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0.51194</cdr:x>
      <cdr:y>0.03738</cdr:y>
    </cdr:from>
    <cdr:to>
      <cdr:x>0.76936</cdr:x>
      <cdr:y>0.16084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27004" y="112900"/>
          <a:ext cx="1421503" cy="37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(A-P)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Boundary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0.4991</cdr:x>
      <cdr:y>0.62674</cdr:y>
    </cdr:from>
    <cdr:to>
      <cdr:x>0.96815</cdr:x>
      <cdr:y>0.75984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758108" y="1879937"/>
          <a:ext cx="2592019" cy="399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Active (Major)</a:t>
          </a:r>
        </a:p>
      </cdr:txBody>
    </cdr:sp>
  </cdr:relSizeAnchor>
  <cdr:relSizeAnchor xmlns:cdr="http://schemas.openxmlformats.org/drawingml/2006/chartDrawing">
    <cdr:from>
      <cdr:x>0.06509</cdr:x>
      <cdr:y>0.625</cdr:y>
    </cdr:from>
    <cdr:to>
      <cdr:x>0.5021</cdr:x>
      <cdr:y>0.7581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59696" y="1874718"/>
          <a:ext cx="2414978" cy="399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Passive (Major)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0.49611</cdr:x>
      <cdr:y>0.16225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0"/>
          <a:ext cx="2741543" cy="486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Tectonic Discrimination Diagram</a:t>
          </a:r>
        </a:p>
        <a:p xmlns:a="http://schemas.openxmlformats.org/drawingml/2006/main">
          <a:pPr algn="ctr"/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(Verma &amp; Armstrong-Altrin,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2016)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0.50427</cdr:x>
      <cdr:y>0.03494</cdr:y>
    </cdr:from>
    <cdr:to>
      <cdr:x>0.76169</cdr:x>
      <cdr:y>0.1584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77674" y="105635"/>
          <a:ext cx="1520058" cy="373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(A-P)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Boundary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0.02251</cdr:x>
      <cdr:y>0.60938</cdr:y>
    </cdr:from>
    <cdr:to>
      <cdr:x>0.4955</cdr:x>
      <cdr:y>0.74248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4170" y="1828525"/>
          <a:ext cx="2609091" cy="39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Active (Major + Trace)</a:t>
          </a:r>
        </a:p>
      </cdr:txBody>
    </cdr:sp>
  </cdr:relSizeAnchor>
  <cdr:relSizeAnchor xmlns:cdr="http://schemas.openxmlformats.org/drawingml/2006/chartDrawing">
    <cdr:from>
      <cdr:x>0.49399</cdr:x>
      <cdr:y>0.60764</cdr:y>
    </cdr:from>
    <cdr:to>
      <cdr:x>1</cdr:x>
      <cdr:y>0.74074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724978" y="1823303"/>
          <a:ext cx="2791239" cy="39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 b="1">
              <a:latin typeface="Times New Roman" panose="02020603050405020304" pitchFamily="18" charset="0"/>
              <a:cs typeface="Times New Roman" panose="02020603050405020304" pitchFamily="18" charset="0"/>
            </a:rPr>
            <a:t>Passive (Major + Trace)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0.49342</cdr:x>
      <cdr:y>0.16562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0"/>
          <a:ext cx="2721812" cy="496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Tectonic Discrimination Diagram</a:t>
          </a:r>
        </a:p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(Verma &amp; Armstrong-Altrin,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2016)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0.70755</cdr:x>
      <cdr:y>0.39115</cdr:y>
    </cdr:from>
    <cdr:to>
      <cdr:x>0.98212</cdr:x>
      <cdr:y>0.46473</cdr:y>
    </cdr:to>
    <cdr:sp macro="" textlink="">
      <cdr:nvSpPr>
        <cdr:cNvPr id="2" name="TextBox 7"/>
        <cdr:cNvSpPr txBox="1"/>
      </cdr:nvSpPr>
      <cdr:spPr>
        <a:xfrm xmlns:a="http://schemas.openxmlformats.org/drawingml/2006/main">
          <a:off x="3012029" y="1057616"/>
          <a:ext cx="1168835" cy="198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felsic</a:t>
          </a:r>
        </a:p>
        <a:p xmlns:a="http://schemas.openxmlformats.org/drawingml/2006/main">
          <a:pPr algn="ctr"/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provenance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0.53415</cdr:x>
      <cdr:y>0.06182</cdr:y>
    </cdr:from>
    <cdr:to>
      <cdr:x>0.75856</cdr:x>
      <cdr:y>0.15101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2273850" y="167149"/>
          <a:ext cx="955306" cy="241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intermediate</a:t>
          </a:r>
        </a:p>
        <a:p xmlns:a="http://schemas.openxmlformats.org/drawingml/2006/main">
          <a:pPr algn="ctr"/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provenance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0.16142</cdr:x>
      <cdr:y>0.08228</cdr:y>
    </cdr:from>
    <cdr:to>
      <cdr:x>0.38692</cdr:x>
      <cdr:y>0.17147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687159" y="222473"/>
          <a:ext cx="959956" cy="2411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mafic</a:t>
          </a:r>
        </a:p>
        <a:p xmlns:a="http://schemas.openxmlformats.org/drawingml/2006/main">
          <a:pPr algn="ctr"/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provenance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0.17463</cdr:x>
      <cdr:y>0.57823</cdr:y>
    </cdr:from>
    <cdr:to>
      <cdr:x>0.93332</cdr:x>
      <cdr:y>0.7809</cdr:y>
    </cdr:to>
    <cdr:cxnSp macro="">
      <cdr:nvCxnSpPr>
        <cdr:cNvPr id="5" name="8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9000000}"/>
            </a:ext>
          </a:extLst>
        </cdr:cNvPr>
        <cdr:cNvCxnSpPr/>
      </cdr:nvCxnSpPr>
      <cdr:spPr>
        <a:xfrm xmlns:a="http://schemas.openxmlformats.org/drawingml/2006/main" flipV="1">
          <a:off x="698500" y="1563461"/>
          <a:ext cx="3034590" cy="547984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0.17503</cdr:x>
      <cdr:y>0.18721</cdr:y>
    </cdr:from>
    <cdr:to>
      <cdr:x>0.89522</cdr:x>
      <cdr:y>0.77973</cdr:y>
    </cdr:to>
    <cdr:cxnSp macro="">
      <cdr:nvCxnSpPr>
        <cdr:cNvPr id="6" name="14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F000000}"/>
            </a:ext>
          </a:extLst>
        </cdr:cNvPr>
        <cdr:cNvCxnSpPr/>
      </cdr:nvCxnSpPr>
      <cdr:spPr>
        <a:xfrm xmlns:a="http://schemas.openxmlformats.org/drawingml/2006/main" flipV="1">
          <a:off x="700088" y="506186"/>
          <a:ext cx="2880602" cy="1602087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0.17741</cdr:x>
      <cdr:y>0.07448</cdr:y>
    </cdr:from>
    <cdr:to>
      <cdr:x>0.49515</cdr:x>
      <cdr:y>0.77973</cdr:y>
    </cdr:to>
    <cdr:cxnSp macro="">
      <cdr:nvCxnSpPr>
        <cdr:cNvPr id="7" name="21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6000000}"/>
            </a:ext>
          </a:extLst>
        </cdr:cNvPr>
        <cdr:cNvCxnSpPr/>
      </cdr:nvCxnSpPr>
      <cdr:spPr>
        <a:xfrm xmlns:a="http://schemas.openxmlformats.org/drawingml/2006/main" flipV="1">
          <a:off x="709613" y="201386"/>
          <a:ext cx="1270880" cy="1906888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27</xdr:row>
      <xdr:rowOff>234461</xdr:rowOff>
    </xdr:from>
    <xdr:to>
      <xdr:col>16</xdr:col>
      <xdr:colOff>96296</xdr:colOff>
      <xdr:row>32</xdr:row>
      <xdr:rowOff>27214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5248BC0-F5CE-4A84-8050-665044C5681F}"/>
            </a:ext>
          </a:extLst>
        </xdr:cNvPr>
        <xdr:cNvCxnSpPr/>
      </xdr:nvCxnSpPr>
      <xdr:spPr>
        <a:xfrm>
          <a:off x="18383250" y="2091836"/>
          <a:ext cx="1046" cy="792878"/>
        </a:xfrm>
        <a:prstGeom prst="straightConnector1">
          <a:avLst/>
        </a:prstGeom>
        <a:ln w="25400">
          <a:solidFill>
            <a:sysClr val="windowText" lastClr="000000"/>
          </a:solidFill>
          <a:tailEnd type="triangle" w="lg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93889</xdr:colOff>
      <xdr:row>22</xdr:row>
      <xdr:rowOff>172811</xdr:rowOff>
    </xdr:from>
    <xdr:to>
      <xdr:col>16</xdr:col>
      <xdr:colOff>95250</xdr:colOff>
      <xdr:row>27</xdr:row>
      <xdr:rowOff>28575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C3439974-B052-4A42-B2B6-4A782695F268}"/>
            </a:ext>
          </a:extLst>
        </xdr:cNvPr>
        <xdr:cNvCxnSpPr/>
      </xdr:nvCxnSpPr>
      <xdr:spPr>
        <a:xfrm flipH="1" flipV="1">
          <a:off x="18381889" y="1125311"/>
          <a:ext cx="1361" cy="808264"/>
        </a:xfrm>
        <a:prstGeom prst="straightConnector1">
          <a:avLst/>
        </a:prstGeom>
        <a:ln w="25400">
          <a:solidFill>
            <a:sysClr val="windowText" lastClr="000000"/>
          </a:solidFill>
          <a:tailEnd type="triangle" w="lg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50244</xdr:colOff>
      <xdr:row>25</xdr:row>
      <xdr:rowOff>138545</xdr:rowOff>
    </xdr:from>
    <xdr:to>
      <xdr:col>34</xdr:col>
      <xdr:colOff>485796</xdr:colOff>
      <xdr:row>47</xdr:row>
      <xdr:rowOff>132361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2854B734-218F-4F16-9A38-2107DCB6D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32594</xdr:colOff>
      <xdr:row>25</xdr:row>
      <xdr:rowOff>109440</xdr:rowOff>
    </xdr:from>
    <xdr:to>
      <xdr:col>18</xdr:col>
      <xdr:colOff>478752</xdr:colOff>
      <xdr:row>47</xdr:row>
      <xdr:rowOff>99368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4AFD92A9-B450-4992-8477-011CBA525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34636</xdr:colOff>
      <xdr:row>25</xdr:row>
      <xdr:rowOff>123511</xdr:rowOff>
    </xdr:from>
    <xdr:to>
      <xdr:col>26</xdr:col>
      <xdr:colOff>466928</xdr:colOff>
      <xdr:row>47</xdr:row>
      <xdr:rowOff>122037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EC4E76E0-9069-4575-9087-B154C65D1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22108</xdr:colOff>
      <xdr:row>25</xdr:row>
      <xdr:rowOff>44387</xdr:rowOff>
    </xdr:from>
    <xdr:to>
      <xdr:col>8</xdr:col>
      <xdr:colOff>461124</xdr:colOff>
      <xdr:row>47</xdr:row>
      <xdr:rowOff>31399</xdr:rowOff>
    </xdr:to>
    <xdr:graphicFrame macro="">
      <xdr:nvGraphicFramePr>
        <xdr:cNvPr id="18" name="17 - Γράφημα">
          <a:extLst>
            <a:ext uri="{FF2B5EF4-FFF2-40B4-BE49-F238E27FC236}">
              <a16:creationId xmlns:a16="http://schemas.microsoft.com/office/drawing/2014/main" id="{3C3B709C-00C3-4CD3-864C-80AF9B2EB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0.28949</cdr:x>
      <cdr:y>0.58685</cdr:y>
    </cdr:from>
    <cdr:to>
      <cdr:x>0.29916</cdr:x>
      <cdr:y>0.59938</cdr:y>
    </cdr:to>
    <cdr:sp macro="" textlink="">
      <cdr:nvSpPr>
        <cdr:cNvPr id="2" name="5-Point Star 6"/>
        <cdr:cNvSpPr/>
      </cdr:nvSpPr>
      <cdr:spPr>
        <a:xfrm xmlns:a="http://schemas.openxmlformats.org/drawingml/2006/main">
          <a:off x="1369034" y="2140868"/>
          <a:ext cx="45725" cy="45719"/>
        </a:xfrm>
        <a:prstGeom xmlns:a="http://schemas.openxmlformats.org/drawingml/2006/main" prst="star5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0.77566</cdr:x>
      <cdr:y>0.67581</cdr:y>
    </cdr:from>
    <cdr:to>
      <cdr:x>0.78533</cdr:x>
      <cdr:y>0.68834</cdr:y>
    </cdr:to>
    <cdr:sp macro="" textlink="">
      <cdr:nvSpPr>
        <cdr:cNvPr id="3" name="5-Point Star 6"/>
        <cdr:cNvSpPr/>
      </cdr:nvSpPr>
      <cdr:spPr>
        <a:xfrm xmlns:a="http://schemas.openxmlformats.org/drawingml/2006/main">
          <a:off x="3671931" y="2465398"/>
          <a:ext cx="45771" cy="45719"/>
        </a:xfrm>
        <a:prstGeom xmlns:a="http://schemas.openxmlformats.org/drawingml/2006/main" prst="star5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0.24039</cdr:x>
      <cdr:y>0.31113</cdr:y>
    </cdr:from>
    <cdr:to>
      <cdr:x>0.25006</cdr:x>
      <cdr:y>0.32366</cdr:y>
    </cdr:to>
    <cdr:sp macro="" textlink="">
      <cdr:nvSpPr>
        <cdr:cNvPr id="4" name="5-Point Star 6"/>
        <cdr:cNvSpPr/>
      </cdr:nvSpPr>
      <cdr:spPr>
        <a:xfrm xmlns:a="http://schemas.openxmlformats.org/drawingml/2006/main">
          <a:off x="1138003" y="1135028"/>
          <a:ext cx="45771" cy="45719"/>
        </a:xfrm>
        <a:prstGeom xmlns:a="http://schemas.openxmlformats.org/drawingml/2006/main" prst="star5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0.1945</cdr:x>
      <cdr:y>0.2158</cdr:y>
    </cdr:from>
    <cdr:to>
      <cdr:x>0.20417</cdr:x>
      <cdr:y>0.22833</cdr:y>
    </cdr:to>
    <cdr:sp macro="" textlink="">
      <cdr:nvSpPr>
        <cdr:cNvPr id="5" name="5-Point Star 6"/>
        <cdr:cNvSpPr/>
      </cdr:nvSpPr>
      <cdr:spPr>
        <a:xfrm xmlns:a="http://schemas.openxmlformats.org/drawingml/2006/main">
          <a:off x="919761" y="784639"/>
          <a:ext cx="45722" cy="45568"/>
        </a:xfrm>
        <a:prstGeom xmlns:a="http://schemas.openxmlformats.org/drawingml/2006/main" prst="star5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0.20724</cdr:x>
      <cdr:y>0.20104</cdr:y>
    </cdr:from>
    <cdr:to>
      <cdr:x>0.30084</cdr:x>
      <cdr:y>0.24295</cdr:y>
    </cdr:to>
    <cdr:sp macro="" textlink="">
      <cdr:nvSpPr>
        <cdr:cNvPr id="6" name="TextBox 7"/>
        <cdr:cNvSpPr txBox="1"/>
      </cdr:nvSpPr>
      <cdr:spPr>
        <a:xfrm xmlns:a="http://schemas.openxmlformats.org/drawingml/2006/main">
          <a:off x="981075" y="733425"/>
          <a:ext cx="443080" cy="152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BAS</a:t>
          </a:r>
        </a:p>
      </cdr:txBody>
    </cdr:sp>
  </cdr:relSizeAnchor>
  <cdr:relSizeAnchor xmlns:cdr="http://schemas.openxmlformats.org/drawingml/2006/chartDrawing">
    <cdr:from>
      <cdr:x>0.2495</cdr:x>
      <cdr:y>0.30287</cdr:y>
    </cdr:from>
    <cdr:to>
      <cdr:x>0.34949</cdr:x>
      <cdr:y>0.33546</cdr:y>
    </cdr:to>
    <cdr:sp macro="" textlink="">
      <cdr:nvSpPr>
        <cdr:cNvPr id="7" name="TextBox 7"/>
        <cdr:cNvSpPr txBox="1"/>
      </cdr:nvSpPr>
      <cdr:spPr>
        <a:xfrm xmlns:a="http://schemas.openxmlformats.org/drawingml/2006/main">
          <a:off x="1181100" y="1104900"/>
          <a:ext cx="473378" cy="118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</a:p>
      </cdr:txBody>
    </cdr:sp>
  </cdr:relSizeAnchor>
  <cdr:relSizeAnchor xmlns:cdr="http://schemas.openxmlformats.org/drawingml/2006/chartDrawing">
    <cdr:from>
      <cdr:x>0.30181</cdr:x>
      <cdr:y>0.54569</cdr:y>
    </cdr:from>
    <cdr:to>
      <cdr:x>0.37967</cdr:x>
      <cdr:y>0.6188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428749" y="1990725"/>
          <a:ext cx="368603" cy="266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FV</a:t>
          </a:r>
        </a:p>
      </cdr:txBody>
    </cdr:sp>
  </cdr:relSizeAnchor>
  <cdr:relSizeAnchor xmlns:cdr="http://schemas.openxmlformats.org/drawingml/2006/chartDrawing">
    <cdr:from>
      <cdr:x>0.77152</cdr:x>
      <cdr:y>0.67363</cdr:y>
    </cdr:from>
    <cdr:to>
      <cdr:x>0.87151</cdr:x>
      <cdr:y>0.70621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666991" y="2457450"/>
          <a:ext cx="475283" cy="118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GR</a:t>
          </a:r>
        </a:p>
      </cdr:txBody>
    </cdr:sp>
  </cdr:relSizeAnchor>
  <cdr:relSizeAnchor xmlns:cdr="http://schemas.openxmlformats.org/drawingml/2006/chartDrawing">
    <cdr:from>
      <cdr:x>0.4068</cdr:x>
      <cdr:y>0.6423</cdr:y>
    </cdr:from>
    <cdr:to>
      <cdr:x>0.41647</cdr:x>
      <cdr:y>0.65483</cdr:y>
    </cdr:to>
    <cdr:sp macro="" textlink="">
      <cdr:nvSpPr>
        <cdr:cNvPr id="10" name="5-Point Star 6"/>
        <cdr:cNvSpPr/>
      </cdr:nvSpPr>
      <cdr:spPr>
        <a:xfrm xmlns:a="http://schemas.openxmlformats.org/drawingml/2006/main">
          <a:off x="1928011" y="2350102"/>
          <a:ext cx="45830" cy="45846"/>
        </a:xfrm>
        <a:prstGeom xmlns:a="http://schemas.openxmlformats.org/drawingml/2006/main" prst="star5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0.4174</cdr:x>
      <cdr:y>0.6423</cdr:y>
    </cdr:from>
    <cdr:to>
      <cdr:x>0.51739</cdr:x>
      <cdr:y>0.67488</cdr:y>
    </cdr:to>
    <cdr:sp macro="" textlink="">
      <cdr:nvSpPr>
        <cdr:cNvPr id="11" name="TextBox 7"/>
        <cdr:cNvSpPr txBox="1"/>
      </cdr:nvSpPr>
      <cdr:spPr>
        <a:xfrm xmlns:a="http://schemas.openxmlformats.org/drawingml/2006/main">
          <a:off x="1975917" y="2343153"/>
          <a:ext cx="473345" cy="118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RHY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0.21113</cdr:x>
      <cdr:y>0.06053</cdr:y>
    </cdr:from>
    <cdr:to>
      <cdr:x>0.92297</cdr:x>
      <cdr:y>0.7502</cdr:y>
    </cdr:to>
    <cdr:grpSp>
      <cdr:nvGrpSpPr>
        <cdr:cNvPr id="21" name="20 - Ομάδα">
          <a:extLst xmlns:a="http://schemas.openxmlformats.org/drawingml/2006/main">
            <a:ext uri="{FF2B5EF4-FFF2-40B4-BE49-F238E27FC236}">
              <a16:creationId xmlns:a16="http://schemas.microsoft.com/office/drawing/2014/main" id="{A797EC24-024F-4A8F-A21D-01C03772CEBC}"/>
            </a:ext>
          </a:extLst>
        </cdr:cNvPr>
        <cdr:cNvGrpSpPr/>
      </cdr:nvGrpSpPr>
      <cdr:grpSpPr>
        <a:xfrm xmlns:a="http://schemas.openxmlformats.org/drawingml/2006/main">
          <a:off x="999153" y="216831"/>
          <a:ext cx="3368718" cy="2470546"/>
          <a:chOff x="998699" y="213817"/>
          <a:chExt cx="3367132" cy="2524466"/>
        </a:xfrm>
      </cdr:grpSpPr>
      <cdr:sp macro="" textlink="">
        <cdr:nvSpPr>
          <cdr:cNvPr id="2" name="5-Point Star 6"/>
          <cdr:cNvSpPr/>
        </cdr:nvSpPr>
        <cdr:spPr>
          <a:xfrm xmlns:a="http://schemas.openxmlformats.org/drawingml/2006/main">
            <a:off x="1387632" y="2530267"/>
            <a:ext cx="59348" cy="56734"/>
          </a:xfrm>
          <a:prstGeom xmlns:a="http://schemas.openxmlformats.org/drawingml/2006/main" prst="star5">
            <a:avLst/>
          </a:prstGeom>
          <a:solidFill xmlns:a="http://schemas.openxmlformats.org/drawingml/2006/main">
            <a:sysClr val="windowText" lastClr="000000"/>
          </a:solidFill>
          <a:ln xmlns:a="http://schemas.openxmlformats.org/drawingml/2006/main" w="25400" cap="flat" cmpd="sng" algn="ctr">
            <a:solidFill>
              <a:srgbClr val="FF0000"/>
            </a:solidFill>
            <a:prstDash val="solid"/>
            <a:miter lim="800000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endParaRPr lang="en-US" sz="1100"/>
          </a:p>
        </cdr:txBody>
      </cdr:sp>
      <cdr:sp macro="" textlink="">
        <cdr:nvSpPr>
          <cdr:cNvPr id="4" name="TextBox 7"/>
          <cdr:cNvSpPr txBox="1"/>
        </cdr:nvSpPr>
        <cdr:spPr>
          <a:xfrm xmlns:a="http://schemas.openxmlformats.org/drawingml/2006/main">
            <a:off x="1372887" y="2548564"/>
            <a:ext cx="467436" cy="18971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BAS</a:t>
            </a:r>
          </a:p>
        </cdr:txBody>
      </cdr:sp>
      <cdr:sp macro="" textlink="">
        <cdr:nvSpPr>
          <cdr:cNvPr id="6" name="5-Point Star 6"/>
          <cdr:cNvSpPr/>
        </cdr:nvSpPr>
        <cdr:spPr>
          <a:xfrm xmlns:a="http://schemas.openxmlformats.org/drawingml/2006/main">
            <a:off x="1528939" y="2433177"/>
            <a:ext cx="59347" cy="56733"/>
          </a:xfrm>
          <a:prstGeom xmlns:a="http://schemas.openxmlformats.org/drawingml/2006/main" prst="star5">
            <a:avLst/>
          </a:prstGeom>
          <a:solidFill xmlns:a="http://schemas.openxmlformats.org/drawingml/2006/main">
            <a:sysClr val="windowText" lastClr="000000"/>
          </a:solidFill>
          <a:ln xmlns:a="http://schemas.openxmlformats.org/drawingml/2006/main" w="25400" cap="flat" cmpd="sng" algn="ctr">
            <a:solidFill>
              <a:srgbClr val="FF0000"/>
            </a:solidFill>
            <a:prstDash val="solid"/>
            <a:miter lim="800000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endParaRPr lang="en-US" sz="1100"/>
          </a:p>
        </cdr:txBody>
      </cdr:sp>
      <cdr:sp macro="" textlink="">
        <cdr:nvSpPr>
          <cdr:cNvPr id="7" name="TextBox 7"/>
          <cdr:cNvSpPr txBox="1"/>
        </cdr:nvSpPr>
        <cdr:spPr>
          <a:xfrm xmlns:a="http://schemas.openxmlformats.org/drawingml/2006/main">
            <a:off x="1561716" y="2366894"/>
            <a:ext cx="450604" cy="2179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LSA</a:t>
            </a:r>
          </a:p>
        </cdr:txBody>
      </cdr:sp>
      <cdr:sp macro="" textlink="">
        <cdr:nvSpPr>
          <cdr:cNvPr id="8" name="5-Point Star 6"/>
          <cdr:cNvSpPr/>
        </cdr:nvSpPr>
        <cdr:spPr>
          <a:xfrm xmlns:a="http://schemas.openxmlformats.org/drawingml/2006/main">
            <a:off x="1714405" y="2087028"/>
            <a:ext cx="59348" cy="56733"/>
          </a:xfrm>
          <a:prstGeom xmlns:a="http://schemas.openxmlformats.org/drawingml/2006/main" prst="star5">
            <a:avLst/>
          </a:prstGeom>
          <a:solidFill xmlns:a="http://schemas.openxmlformats.org/drawingml/2006/main">
            <a:sysClr val="windowText" lastClr="000000"/>
          </a:solidFill>
          <a:ln xmlns:a="http://schemas.openxmlformats.org/drawingml/2006/main" w="25400" cap="flat" cmpd="sng" algn="ctr">
            <a:solidFill>
              <a:srgbClr val="FF0000"/>
            </a:solidFill>
            <a:prstDash val="solid"/>
            <a:miter lim="800000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endParaRPr lang="en-US" sz="1100"/>
          </a:p>
        </cdr:txBody>
      </cdr:sp>
      <cdr:sp macro="" textlink="">
        <cdr:nvSpPr>
          <cdr:cNvPr id="9" name="TextBox 7"/>
          <cdr:cNvSpPr txBox="1"/>
        </cdr:nvSpPr>
        <cdr:spPr>
          <a:xfrm xmlns:a="http://schemas.openxmlformats.org/drawingml/2006/main">
            <a:off x="1744033" y="2076067"/>
            <a:ext cx="526189" cy="18486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AND</a:t>
            </a:r>
          </a:p>
        </cdr:txBody>
      </cdr:sp>
      <cdr:sp macro="" textlink="">
        <cdr:nvSpPr>
          <cdr:cNvPr id="10" name="5-Point Star 6"/>
          <cdr:cNvSpPr/>
        </cdr:nvSpPr>
        <cdr:spPr>
          <a:xfrm xmlns:a="http://schemas.openxmlformats.org/drawingml/2006/main">
            <a:off x="2412107" y="1829527"/>
            <a:ext cx="59348" cy="56734"/>
          </a:xfrm>
          <a:prstGeom xmlns:a="http://schemas.openxmlformats.org/drawingml/2006/main" prst="star5">
            <a:avLst/>
          </a:prstGeom>
          <a:solidFill xmlns:a="http://schemas.openxmlformats.org/drawingml/2006/main">
            <a:sysClr val="windowText" lastClr="000000"/>
          </a:solidFill>
          <a:ln xmlns:a="http://schemas.openxmlformats.org/drawingml/2006/main" w="25400" cap="flat" cmpd="sng" algn="ctr">
            <a:solidFill>
              <a:srgbClr val="FF0000"/>
            </a:solidFill>
            <a:prstDash val="solid"/>
            <a:miter lim="800000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endParaRPr lang="en-US" sz="1100"/>
          </a:p>
        </cdr:txBody>
      </cdr:sp>
      <cdr:sp macro="" textlink="">
        <cdr:nvSpPr>
          <cdr:cNvPr id="11" name="TextBox 7"/>
          <cdr:cNvSpPr txBox="1"/>
        </cdr:nvSpPr>
        <cdr:spPr>
          <a:xfrm xmlns:a="http://schemas.openxmlformats.org/drawingml/2006/main">
            <a:off x="2486323" y="1792913"/>
            <a:ext cx="455810" cy="14750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DAC</a:t>
            </a:r>
          </a:p>
        </cdr:txBody>
      </cdr:sp>
      <cdr:sp macro="" textlink="">
        <cdr:nvSpPr>
          <cdr:cNvPr id="12" name="5-Point Star 6"/>
          <cdr:cNvSpPr/>
        </cdr:nvSpPr>
        <cdr:spPr>
          <a:xfrm xmlns:a="http://schemas.openxmlformats.org/drawingml/2006/main">
            <a:off x="3498785" y="771099"/>
            <a:ext cx="59348" cy="56733"/>
          </a:xfrm>
          <a:prstGeom xmlns:a="http://schemas.openxmlformats.org/drawingml/2006/main" prst="star5">
            <a:avLst/>
          </a:prstGeom>
          <a:solidFill xmlns:a="http://schemas.openxmlformats.org/drawingml/2006/main">
            <a:sysClr val="windowText" lastClr="000000"/>
          </a:solidFill>
          <a:ln xmlns:a="http://schemas.openxmlformats.org/drawingml/2006/main" w="25400" cap="flat" cmpd="sng" algn="ctr">
            <a:solidFill>
              <a:srgbClr val="FF0000"/>
            </a:solidFill>
            <a:prstDash val="solid"/>
            <a:miter lim="800000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endParaRPr lang="en-US" sz="1100"/>
          </a:p>
        </cdr:txBody>
      </cdr:sp>
      <cdr:sp macro="" textlink="">
        <cdr:nvSpPr>
          <cdr:cNvPr id="13" name="TextBox 7"/>
          <cdr:cNvSpPr txBox="1"/>
        </cdr:nvSpPr>
        <cdr:spPr>
          <a:xfrm xmlns:a="http://schemas.openxmlformats.org/drawingml/2006/main">
            <a:off x="3464221" y="625796"/>
            <a:ext cx="535352" cy="21197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RHY</a:t>
            </a:r>
          </a:p>
        </cdr:txBody>
      </cdr:sp>
      <cdr:sp macro="" textlink="">
        <cdr:nvSpPr>
          <cdr:cNvPr id="14" name="5-Point Star 6"/>
          <cdr:cNvSpPr/>
        </cdr:nvSpPr>
        <cdr:spPr>
          <a:xfrm xmlns:a="http://schemas.openxmlformats.org/drawingml/2006/main">
            <a:off x="2885795" y="1033187"/>
            <a:ext cx="59348" cy="56733"/>
          </a:xfrm>
          <a:prstGeom xmlns:a="http://schemas.openxmlformats.org/drawingml/2006/main" prst="star5">
            <a:avLst/>
          </a:prstGeom>
          <a:solidFill xmlns:a="http://schemas.openxmlformats.org/drawingml/2006/main">
            <a:sysClr val="windowText" lastClr="000000"/>
          </a:solidFill>
          <a:ln xmlns:a="http://schemas.openxmlformats.org/drawingml/2006/main" w="25400" cap="flat" cmpd="sng" algn="ctr">
            <a:solidFill>
              <a:srgbClr val="FF0000"/>
            </a:solidFill>
            <a:prstDash val="solid"/>
            <a:miter lim="800000"/>
          </a:ln>
          <a:effectLst xmlns:a="http://schemas.openxmlformats.org/drawingml/2006/main"/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ctr"/>
          <a:lstStyle xmlns:a="http://schemas.openxmlformats.org/drawingml/2006/main">
            <a:lvl1pPr marL="0" indent="0">
              <a:defRPr sz="1100">
                <a:solidFill>
                  <a:sysClr val="window" lastClr="FFFFFF"/>
                </a:solidFill>
                <a:latin typeface="Calibri"/>
              </a:defRPr>
            </a:lvl1pPr>
            <a:lvl2pPr marL="457200" indent="0">
              <a:defRPr sz="1100">
                <a:solidFill>
                  <a:sysClr val="window" lastClr="FFFFFF"/>
                </a:solidFill>
                <a:latin typeface="Calibri"/>
              </a:defRPr>
            </a:lvl2pPr>
            <a:lvl3pPr marL="914400" indent="0">
              <a:defRPr sz="1100">
                <a:solidFill>
                  <a:sysClr val="window" lastClr="FFFFFF"/>
                </a:solidFill>
                <a:latin typeface="Calibri"/>
              </a:defRPr>
            </a:lvl3pPr>
            <a:lvl4pPr marL="1371600" indent="0">
              <a:defRPr sz="1100">
                <a:solidFill>
                  <a:sysClr val="window" lastClr="FFFFFF"/>
                </a:solidFill>
                <a:latin typeface="Calibri"/>
              </a:defRPr>
            </a:lvl4pPr>
            <a:lvl5pPr marL="1828800" indent="0">
              <a:defRPr sz="1100">
                <a:solidFill>
                  <a:sysClr val="window" lastClr="FFFFFF"/>
                </a:solidFill>
                <a:latin typeface="Calibri"/>
              </a:defRPr>
            </a:lvl5pPr>
            <a:lvl6pPr marL="2286000" indent="0">
              <a:defRPr sz="1100">
                <a:solidFill>
                  <a:sysClr val="window" lastClr="FFFFFF"/>
                </a:solidFill>
                <a:latin typeface="Calibri"/>
              </a:defRPr>
            </a:lvl6pPr>
            <a:lvl7pPr marL="2743200" indent="0">
              <a:defRPr sz="1100">
                <a:solidFill>
                  <a:sysClr val="window" lastClr="FFFFFF"/>
                </a:solidFill>
                <a:latin typeface="Calibri"/>
              </a:defRPr>
            </a:lvl7pPr>
            <a:lvl8pPr marL="3200400" indent="0">
              <a:defRPr sz="1100">
                <a:solidFill>
                  <a:sysClr val="window" lastClr="FFFFFF"/>
                </a:solidFill>
                <a:latin typeface="Calibri"/>
              </a:defRPr>
            </a:lvl8pPr>
            <a:lvl9pPr marL="3657600" indent="0">
              <a:defRPr sz="1100">
                <a:solidFill>
                  <a:sysClr val="window" lastClr="FFFFFF"/>
                </a:solidFill>
                <a:latin typeface="Calibri"/>
              </a:defRPr>
            </a:lvl9pPr>
          </a:lstStyle>
          <a:p xmlns:a="http://schemas.openxmlformats.org/drawingml/2006/main">
            <a:pPr algn="ctr"/>
            <a:endParaRPr lang="en-US" sz="1100"/>
          </a:p>
        </cdr:txBody>
      </cdr:sp>
      <cdr:sp macro="" textlink="">
        <cdr:nvSpPr>
          <cdr:cNvPr id="15" name="TextBox 7"/>
          <cdr:cNvSpPr txBox="1"/>
        </cdr:nvSpPr>
        <cdr:spPr>
          <a:xfrm xmlns:a="http://schemas.openxmlformats.org/drawingml/2006/main">
            <a:off x="2935604" y="961583"/>
            <a:ext cx="460010" cy="253019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UCC</a:t>
            </a:r>
          </a:p>
        </cdr:txBody>
      </cdr:sp>
      <cdr:sp macro="" textlink="">
        <cdr:nvSpPr>
          <cdr:cNvPr id="17" name="16 - Ευθύγραμμο βέλος σύνδεσης"/>
          <cdr:cNvSpPr/>
        </cdr:nvSpPr>
        <cdr:spPr>
          <a:xfrm xmlns:a="http://schemas.openxmlformats.org/drawingml/2006/main" flipV="1">
            <a:off x="1356148" y="537797"/>
            <a:ext cx="2120522" cy="1802504"/>
          </a:xfrm>
          <a:prstGeom xmlns:a="http://schemas.openxmlformats.org/drawingml/2006/main" prst="straightConnector1">
            <a:avLst/>
          </a:prstGeom>
          <a:ln xmlns:a="http://schemas.openxmlformats.org/drawingml/2006/main" w="9525" cmpd="sng">
            <a:solidFill>
              <a:schemeClr val="tx1"/>
            </a:solidFill>
            <a:prstDash val="lgDash"/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18" name="17 - Ευθύγραμμο βέλος σύνδεσης"/>
          <cdr:cNvSpPr/>
        </cdr:nvSpPr>
        <cdr:spPr>
          <a:xfrm xmlns:a="http://schemas.openxmlformats.org/drawingml/2006/main" flipV="1">
            <a:off x="2865657" y="735930"/>
            <a:ext cx="1500174" cy="281836"/>
          </a:xfrm>
          <a:prstGeom xmlns:a="http://schemas.openxmlformats.org/drawingml/2006/main" prst="straightConnector1">
            <a:avLst/>
          </a:prstGeom>
          <a:ln xmlns:a="http://schemas.openxmlformats.org/drawingml/2006/main" w="9525" cmpd="sng">
            <a:solidFill>
              <a:schemeClr val="tx1"/>
            </a:solidFill>
            <a:prstDash val="lgDash"/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>
              <a:latin typeface="Arial" pitchFamily="34" charset="0"/>
              <a:cs typeface="Arial" pitchFamily="34" charset="0"/>
            </a:endParaRPr>
          </a:p>
        </cdr:txBody>
      </cdr:sp>
      <cdr:sp macro="" textlink="">
        <cdr:nvSpPr>
          <cdr:cNvPr id="19" name="TextBox 7"/>
          <cdr:cNvSpPr txBox="1"/>
        </cdr:nvSpPr>
        <cdr:spPr>
          <a:xfrm xmlns:a="http://schemas.openxmlformats.org/drawingml/2006/main" rot="19223396">
            <a:off x="998699" y="1714918"/>
            <a:ext cx="1506927" cy="25143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source rock </a:t>
            </a:r>
            <a:r>
              <a:rPr lang="en-US" sz="10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variations</a:t>
            </a:r>
            <a:endParaRPr lang="en-US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20" name="TextBox 7"/>
          <cdr:cNvSpPr txBox="1"/>
        </cdr:nvSpPr>
        <cdr:spPr>
          <a:xfrm xmlns:a="http://schemas.openxmlformats.org/drawingml/2006/main" rot="20968956">
            <a:off x="3136390" y="213817"/>
            <a:ext cx="1019438" cy="25613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latin typeface="Calibri"/>
              </a:defRPr>
            </a:lvl1pPr>
            <a:lvl2pPr marL="457200" indent="0">
              <a:defRPr sz="1100">
                <a:latin typeface="Calibri"/>
              </a:defRPr>
            </a:lvl2pPr>
            <a:lvl3pPr marL="914400" indent="0">
              <a:defRPr sz="1100">
                <a:latin typeface="Calibri"/>
              </a:defRPr>
            </a:lvl3pPr>
            <a:lvl4pPr marL="1371600" indent="0">
              <a:defRPr sz="1100">
                <a:latin typeface="Calibri"/>
              </a:defRPr>
            </a:lvl4pPr>
            <a:lvl5pPr marL="1828800" indent="0">
              <a:defRPr sz="1100">
                <a:latin typeface="Calibri"/>
              </a:defRPr>
            </a:lvl5pPr>
            <a:lvl6pPr marL="2286000" indent="0">
              <a:defRPr sz="1100">
                <a:latin typeface="Calibri"/>
              </a:defRPr>
            </a:lvl6pPr>
            <a:lvl7pPr marL="2743200" indent="0">
              <a:defRPr sz="1100">
                <a:latin typeface="Calibri"/>
              </a:defRPr>
            </a:lvl7pPr>
            <a:lvl8pPr marL="3200400" indent="0">
              <a:defRPr sz="1100">
                <a:latin typeface="Calibri"/>
              </a:defRPr>
            </a:lvl8pPr>
            <a:lvl9pPr marL="3657600" indent="0">
              <a:defRPr sz="1100">
                <a:latin typeface="Calibri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Times New Roman" panose="02020603050405020304" pitchFamily="18" charset="0"/>
                <a:cs typeface="Times New Roman" panose="02020603050405020304" pitchFamily="18" charset="0"/>
              </a:rPr>
              <a:t>zircon addition</a:t>
            </a:r>
          </a:p>
        </cdr:txBody>
      </cdr:sp>
    </cdr:grp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0.46209</cdr:x>
      <cdr:y>0.70761</cdr:y>
    </cdr:from>
    <cdr:to>
      <cdr:x>0.47178</cdr:x>
      <cdr:y>0.72012</cdr:y>
    </cdr:to>
    <cdr:sp macro="" textlink="">
      <cdr:nvSpPr>
        <cdr:cNvPr id="2" name="5-Point Star 6"/>
        <cdr:cNvSpPr/>
      </cdr:nvSpPr>
      <cdr:spPr>
        <a:xfrm xmlns:a="http://schemas.openxmlformats.org/drawingml/2006/main">
          <a:off x="2173186" y="2519714"/>
          <a:ext cx="45572" cy="44546"/>
        </a:xfrm>
        <a:prstGeom xmlns:a="http://schemas.openxmlformats.org/drawingml/2006/main" prst="star5">
          <a:avLst/>
        </a:prstGeom>
        <a:solidFill xmlns:a="http://schemas.openxmlformats.org/drawingml/2006/main">
          <a:srgbClr val="FF0000"/>
        </a:solidFill>
        <a:ln xmlns:a="http://schemas.openxmlformats.org/drawingml/2006/main" w="25400" cap="flat" cmpd="sng" algn="ctr">
          <a:solidFill>
            <a:srgbClr val="FF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0.43235</cdr:x>
      <cdr:y>0.63808</cdr:y>
    </cdr:from>
    <cdr:to>
      <cdr:x>0.52985</cdr:x>
      <cdr:y>0.70703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2048774" y="2246463"/>
          <a:ext cx="462044" cy="242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UCC</a:t>
          </a:r>
        </a:p>
      </cdr:txBody>
    </cdr:sp>
  </cdr:relSizeAnchor>
  <cdr:relSizeAnchor xmlns:cdr="http://schemas.openxmlformats.org/drawingml/2006/chartDrawing">
    <cdr:from>
      <cdr:x>0.365</cdr:x>
      <cdr:y>0.19702</cdr:y>
    </cdr:from>
    <cdr:to>
      <cdr:x>0.56022</cdr:x>
      <cdr:y>0.45571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E539572-2689-EF9E-80F3-4822EE3AB938}"/>
            </a:ext>
          </a:extLst>
        </cdr:cNvPr>
        <cdr:cNvSpPr txBox="1"/>
      </cdr:nvSpPr>
      <cdr:spPr>
        <a:xfrm xmlns:a="http://schemas.openxmlformats.org/drawingml/2006/main">
          <a:off x="1709630" y="69639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0.29046</cdr:x>
      <cdr:y>0.27374</cdr:y>
    </cdr:from>
    <cdr:to>
      <cdr:x>0.51498</cdr:x>
      <cdr:y>0.34269</cdr:y>
    </cdr:to>
    <cdr:sp macro="" textlink="">
      <cdr:nvSpPr>
        <cdr:cNvPr id="5" name="TextBox 7">
          <a:extLst xmlns:a="http://schemas.openxmlformats.org/drawingml/2006/main">
            <a:ext uri="{FF2B5EF4-FFF2-40B4-BE49-F238E27FC236}">
              <a16:creationId xmlns:a16="http://schemas.microsoft.com/office/drawing/2014/main" id="{599A1532-058B-E1D8-DE2E-B40E1E75410C}"/>
            </a:ext>
          </a:extLst>
        </cdr:cNvPr>
        <cdr:cNvSpPr txBox="1"/>
      </cdr:nvSpPr>
      <cdr:spPr>
        <a:xfrm xmlns:a="http://schemas.openxmlformats.org/drawingml/2006/main">
          <a:off x="1360487" y="967581"/>
          <a:ext cx="1051611" cy="24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oceanic island</a:t>
          </a:r>
        </a:p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(tholeitic source)</a:t>
          </a:r>
        </a:p>
      </cdr:txBody>
    </cdr:sp>
  </cdr:relSizeAnchor>
  <cdr:relSizeAnchor xmlns:cdr="http://schemas.openxmlformats.org/drawingml/2006/chartDrawing">
    <cdr:from>
      <cdr:x>0.31588</cdr:x>
      <cdr:y>0.44384</cdr:y>
    </cdr:from>
    <cdr:to>
      <cdr:x>0.5404</cdr:x>
      <cdr:y>0.51279</cdr:y>
    </cdr:to>
    <cdr:sp macro="" textlink="">
      <cdr:nvSpPr>
        <cdr:cNvPr id="6" name="TextBox 7">
          <a:extLst xmlns:a="http://schemas.openxmlformats.org/drawingml/2006/main">
            <a:ext uri="{FF2B5EF4-FFF2-40B4-BE49-F238E27FC236}">
              <a16:creationId xmlns:a16="http://schemas.microsoft.com/office/drawing/2014/main" id="{7B7FAFEB-96B1-5DFF-6538-14A3EDACDE23}"/>
            </a:ext>
          </a:extLst>
        </cdr:cNvPr>
        <cdr:cNvSpPr txBox="1"/>
      </cdr:nvSpPr>
      <cdr:spPr>
        <a:xfrm xmlns:a="http://schemas.openxmlformats.org/drawingml/2006/main">
          <a:off x="1479550" y="1568847"/>
          <a:ext cx="1051611" cy="24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andesitic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source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0.34257</cdr:x>
      <cdr:y>0.56342</cdr:y>
    </cdr:from>
    <cdr:to>
      <cdr:x>0.56709</cdr:x>
      <cdr:y>0.63237</cdr:y>
    </cdr:to>
    <cdr:sp macro="" textlink="">
      <cdr:nvSpPr>
        <cdr:cNvPr id="7" name="TextBox 7">
          <a:extLst xmlns:a="http://schemas.openxmlformats.org/drawingml/2006/main">
            <a:ext uri="{FF2B5EF4-FFF2-40B4-BE49-F238E27FC236}">
              <a16:creationId xmlns:a16="http://schemas.microsoft.com/office/drawing/2014/main" id="{7B7FAFEB-96B1-5DFF-6538-14A3EDACDE23}"/>
            </a:ext>
          </a:extLst>
        </cdr:cNvPr>
        <cdr:cNvSpPr txBox="1"/>
      </cdr:nvSpPr>
      <cdr:spPr>
        <a:xfrm xmlns:a="http://schemas.openxmlformats.org/drawingml/2006/main">
          <a:off x="1604565" y="1991518"/>
          <a:ext cx="1051611" cy="24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mixed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source</a:t>
          </a:r>
          <a:endParaRPr lang="en-US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0.49636</cdr:x>
      <cdr:y>0.63247</cdr:y>
    </cdr:from>
    <cdr:to>
      <cdr:x>0.72087</cdr:x>
      <cdr:y>0.70142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D6D58DF7-5BD2-762A-86EB-5E23D6C4B58B}"/>
            </a:ext>
          </a:extLst>
        </cdr:cNvPr>
        <cdr:cNvSpPr txBox="1"/>
      </cdr:nvSpPr>
      <cdr:spPr>
        <a:xfrm xmlns:a="http://schemas.openxmlformats.org/drawingml/2006/main">
          <a:off x="2324894" y="2235597"/>
          <a:ext cx="1051611" cy="24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felsic source</a:t>
          </a:r>
        </a:p>
      </cdr:txBody>
    </cdr:sp>
  </cdr:relSizeAnchor>
  <cdr:relSizeAnchor xmlns:cdr="http://schemas.openxmlformats.org/drawingml/2006/chartDrawing">
    <cdr:from>
      <cdr:x>0.4743</cdr:x>
      <cdr:y>0.75542</cdr:y>
    </cdr:from>
    <cdr:to>
      <cdr:x>0.71833</cdr:x>
      <cdr:y>0.82437</cdr:y>
    </cdr:to>
    <cdr:sp macro="" textlink="">
      <cdr:nvSpPr>
        <cdr:cNvPr id="9" name="TextBox 7">
          <a:extLst xmlns:a="http://schemas.openxmlformats.org/drawingml/2006/main">
            <a:ext uri="{FF2B5EF4-FFF2-40B4-BE49-F238E27FC236}">
              <a16:creationId xmlns:a16="http://schemas.microsoft.com/office/drawing/2014/main" id="{D6D58DF7-5BD2-762A-86EB-5E23D6C4B58B}"/>
            </a:ext>
          </a:extLst>
        </cdr:cNvPr>
        <cdr:cNvSpPr txBox="1"/>
      </cdr:nvSpPr>
      <cdr:spPr>
        <a:xfrm xmlns:a="http://schemas.openxmlformats.org/drawingml/2006/main">
          <a:off x="2221598" y="2670175"/>
          <a:ext cx="1143001" cy="24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mature sediments</a:t>
          </a:r>
        </a:p>
      </cdr:txBody>
    </cdr:sp>
  </cdr:relSizeAnchor>
  <cdr:relSizeAnchor xmlns:cdr="http://schemas.openxmlformats.org/drawingml/2006/chartDrawing">
    <cdr:from>
      <cdr:x>0.53912</cdr:x>
      <cdr:y>0.76291</cdr:y>
    </cdr:from>
    <cdr:to>
      <cdr:x>0.71325</cdr:x>
      <cdr:y>0.76459</cdr:y>
    </cdr:to>
    <cdr:cxnSp macro="">
      <cdr:nvCxnSpPr>
        <cdr:cNvPr id="11" name="Straight Arrow Connector 10">
          <a:extLst xmlns:a="http://schemas.openxmlformats.org/drawingml/2006/main">
            <a:ext uri="{FF2B5EF4-FFF2-40B4-BE49-F238E27FC236}">
              <a16:creationId xmlns:a16="http://schemas.microsoft.com/office/drawing/2014/main" id="{EB749438-CEF5-F0CE-C987-F4BF145CC693}"/>
            </a:ext>
          </a:extLst>
        </cdr:cNvPr>
        <cdr:cNvCxnSpPr>
          <a:endCxn xmlns:a="http://schemas.openxmlformats.org/drawingml/2006/main" id="9" idx="3"/>
        </cdr:cNvCxnSpPr>
      </cdr:nvCxnSpPr>
      <cdr:spPr>
        <a:xfrm xmlns:a="http://schemas.openxmlformats.org/drawingml/2006/main" flipV="1">
          <a:off x="2525208" y="2696646"/>
          <a:ext cx="815578" cy="595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0.26565</cdr:x>
      <cdr:y>0.28711</cdr:y>
    </cdr:from>
    <cdr:to>
      <cdr:x>0.30623</cdr:x>
      <cdr:y>0.45417</cdr:y>
    </cdr:to>
    <cdr:sp macro="" textlink="">
      <cdr:nvSpPr>
        <cdr:cNvPr id="10" name="Freeform: Shape 9">
          <a:extLst xmlns:a="http://schemas.openxmlformats.org/drawingml/2006/main">
            <a:ext uri="{FF2B5EF4-FFF2-40B4-BE49-F238E27FC236}">
              <a16:creationId xmlns:a16="http://schemas.microsoft.com/office/drawing/2014/main" id="{6F505543-719B-5EB7-20ED-09252681C014}"/>
            </a:ext>
          </a:extLst>
        </cdr:cNvPr>
        <cdr:cNvSpPr/>
      </cdr:nvSpPr>
      <cdr:spPr>
        <a:xfrm xmlns:a="http://schemas.openxmlformats.org/drawingml/2006/main">
          <a:off x="1249338" y="1022350"/>
          <a:ext cx="190840" cy="594876"/>
        </a:xfrm>
        <a:custGeom xmlns:a="http://schemas.openxmlformats.org/drawingml/2006/main">
          <a:avLst/>
          <a:gdLst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79614 w 212271"/>
            <a:gd name="connsiteY25" fmla="*/ 56393 h 622450"/>
            <a:gd name="connsiteX26" fmla="*/ 152400 w 212271"/>
            <a:gd name="connsiteY26" fmla="*/ 40064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79614 w 212271"/>
            <a:gd name="connsiteY25" fmla="*/ 56393 h 622450"/>
            <a:gd name="connsiteX26" fmla="*/ 140110 w 212271"/>
            <a:gd name="connsiteY26" fmla="*/ 80121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55034 w 212271"/>
            <a:gd name="connsiteY25" fmla="*/ 127262 h 622450"/>
            <a:gd name="connsiteX26" fmla="*/ 140110 w 212271"/>
            <a:gd name="connsiteY26" fmla="*/ 80121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17016"/>
            <a:gd name="connsiteX1" fmla="*/ 48985 w 212271"/>
            <a:gd name="connsiteY1" fmla="*/ 56393 h 617016"/>
            <a:gd name="connsiteX2" fmla="*/ 32657 w 212271"/>
            <a:gd name="connsiteY2" fmla="*/ 99936 h 617016"/>
            <a:gd name="connsiteX3" fmla="*/ 21771 w 212271"/>
            <a:gd name="connsiteY3" fmla="*/ 154364 h 617016"/>
            <a:gd name="connsiteX4" fmla="*/ 10885 w 212271"/>
            <a:gd name="connsiteY4" fmla="*/ 197907 h 617016"/>
            <a:gd name="connsiteX5" fmla="*/ 5442 w 212271"/>
            <a:gd name="connsiteY5" fmla="*/ 219679 h 617016"/>
            <a:gd name="connsiteX6" fmla="*/ 0 w 212271"/>
            <a:gd name="connsiteY6" fmla="*/ 257779 h 617016"/>
            <a:gd name="connsiteX7" fmla="*/ 5442 w 212271"/>
            <a:gd name="connsiteY7" fmla="*/ 421064 h 617016"/>
            <a:gd name="connsiteX8" fmla="*/ 10885 w 212271"/>
            <a:gd name="connsiteY8" fmla="*/ 437393 h 617016"/>
            <a:gd name="connsiteX9" fmla="*/ 27214 w 212271"/>
            <a:gd name="connsiteY9" fmla="*/ 491821 h 617016"/>
            <a:gd name="connsiteX10" fmla="*/ 43542 w 212271"/>
            <a:gd name="connsiteY10" fmla="*/ 546250 h 617016"/>
            <a:gd name="connsiteX11" fmla="*/ 54428 w 212271"/>
            <a:gd name="connsiteY11" fmla="*/ 562579 h 617016"/>
            <a:gd name="connsiteX12" fmla="*/ 87085 w 212271"/>
            <a:gd name="connsiteY12" fmla="*/ 611564 h 617016"/>
            <a:gd name="connsiteX13" fmla="*/ 120423 w 212271"/>
            <a:gd name="connsiteY13" fmla="*/ 598428 h 617016"/>
            <a:gd name="connsiteX14" fmla="*/ 152400 w 212271"/>
            <a:gd name="connsiteY14" fmla="*/ 617007 h 617016"/>
            <a:gd name="connsiteX15" fmla="*/ 163285 w 212271"/>
            <a:gd name="connsiteY15" fmla="*/ 600679 h 617016"/>
            <a:gd name="connsiteX16" fmla="*/ 185057 w 212271"/>
            <a:gd name="connsiteY16" fmla="*/ 551693 h 617016"/>
            <a:gd name="connsiteX17" fmla="*/ 190500 w 212271"/>
            <a:gd name="connsiteY17" fmla="*/ 535364 h 617016"/>
            <a:gd name="connsiteX18" fmla="*/ 195942 w 212271"/>
            <a:gd name="connsiteY18" fmla="*/ 437393 h 617016"/>
            <a:gd name="connsiteX19" fmla="*/ 201385 w 212271"/>
            <a:gd name="connsiteY19" fmla="*/ 421064 h 617016"/>
            <a:gd name="connsiteX20" fmla="*/ 212271 w 212271"/>
            <a:gd name="connsiteY20" fmla="*/ 393850 h 617016"/>
            <a:gd name="connsiteX21" fmla="*/ 206828 w 212271"/>
            <a:gd name="connsiteY21" fmla="*/ 284993 h 617016"/>
            <a:gd name="connsiteX22" fmla="*/ 195942 w 212271"/>
            <a:gd name="connsiteY22" fmla="*/ 268664 h 617016"/>
            <a:gd name="connsiteX23" fmla="*/ 190500 w 212271"/>
            <a:gd name="connsiteY23" fmla="*/ 219679 h 617016"/>
            <a:gd name="connsiteX24" fmla="*/ 185057 w 212271"/>
            <a:gd name="connsiteY24" fmla="*/ 176136 h 617016"/>
            <a:gd name="connsiteX25" fmla="*/ 155034 w 212271"/>
            <a:gd name="connsiteY25" fmla="*/ 127262 h 617016"/>
            <a:gd name="connsiteX26" fmla="*/ 140110 w 212271"/>
            <a:gd name="connsiteY26" fmla="*/ 80121 h 617016"/>
            <a:gd name="connsiteX27" fmla="*/ 114300 w 212271"/>
            <a:gd name="connsiteY27" fmla="*/ 18293 h 617016"/>
            <a:gd name="connsiteX28" fmla="*/ 97971 w 212271"/>
            <a:gd name="connsiteY28" fmla="*/ 12850 h 617016"/>
            <a:gd name="connsiteX29" fmla="*/ 76200 w 212271"/>
            <a:gd name="connsiteY29" fmla="*/ 1964 h 617016"/>
            <a:gd name="connsiteX0" fmla="*/ 76200 w 212271"/>
            <a:gd name="connsiteY0" fmla="*/ 1964 h 617016"/>
            <a:gd name="connsiteX1" fmla="*/ 48985 w 212271"/>
            <a:gd name="connsiteY1" fmla="*/ 56393 h 617016"/>
            <a:gd name="connsiteX2" fmla="*/ 32657 w 212271"/>
            <a:gd name="connsiteY2" fmla="*/ 99936 h 617016"/>
            <a:gd name="connsiteX3" fmla="*/ 21771 w 212271"/>
            <a:gd name="connsiteY3" fmla="*/ 154364 h 617016"/>
            <a:gd name="connsiteX4" fmla="*/ 10885 w 212271"/>
            <a:gd name="connsiteY4" fmla="*/ 197907 h 617016"/>
            <a:gd name="connsiteX5" fmla="*/ 5442 w 212271"/>
            <a:gd name="connsiteY5" fmla="*/ 219679 h 617016"/>
            <a:gd name="connsiteX6" fmla="*/ 0 w 212271"/>
            <a:gd name="connsiteY6" fmla="*/ 257779 h 617016"/>
            <a:gd name="connsiteX7" fmla="*/ 5442 w 212271"/>
            <a:gd name="connsiteY7" fmla="*/ 421064 h 617016"/>
            <a:gd name="connsiteX8" fmla="*/ 10885 w 212271"/>
            <a:gd name="connsiteY8" fmla="*/ 437393 h 617016"/>
            <a:gd name="connsiteX9" fmla="*/ 27214 w 212271"/>
            <a:gd name="connsiteY9" fmla="*/ 491821 h 617016"/>
            <a:gd name="connsiteX10" fmla="*/ 43542 w 212271"/>
            <a:gd name="connsiteY10" fmla="*/ 546250 h 617016"/>
            <a:gd name="connsiteX11" fmla="*/ 54428 w 212271"/>
            <a:gd name="connsiteY11" fmla="*/ 562579 h 617016"/>
            <a:gd name="connsiteX12" fmla="*/ 79941 w 212271"/>
            <a:gd name="connsiteY12" fmla="*/ 597151 h 617016"/>
            <a:gd name="connsiteX13" fmla="*/ 120423 w 212271"/>
            <a:gd name="connsiteY13" fmla="*/ 598428 h 617016"/>
            <a:gd name="connsiteX14" fmla="*/ 152400 w 212271"/>
            <a:gd name="connsiteY14" fmla="*/ 617007 h 617016"/>
            <a:gd name="connsiteX15" fmla="*/ 163285 w 212271"/>
            <a:gd name="connsiteY15" fmla="*/ 600679 h 617016"/>
            <a:gd name="connsiteX16" fmla="*/ 185057 w 212271"/>
            <a:gd name="connsiteY16" fmla="*/ 551693 h 617016"/>
            <a:gd name="connsiteX17" fmla="*/ 190500 w 212271"/>
            <a:gd name="connsiteY17" fmla="*/ 535364 h 617016"/>
            <a:gd name="connsiteX18" fmla="*/ 195942 w 212271"/>
            <a:gd name="connsiteY18" fmla="*/ 437393 h 617016"/>
            <a:gd name="connsiteX19" fmla="*/ 201385 w 212271"/>
            <a:gd name="connsiteY19" fmla="*/ 421064 h 617016"/>
            <a:gd name="connsiteX20" fmla="*/ 212271 w 212271"/>
            <a:gd name="connsiteY20" fmla="*/ 393850 h 617016"/>
            <a:gd name="connsiteX21" fmla="*/ 206828 w 212271"/>
            <a:gd name="connsiteY21" fmla="*/ 284993 h 617016"/>
            <a:gd name="connsiteX22" fmla="*/ 195942 w 212271"/>
            <a:gd name="connsiteY22" fmla="*/ 268664 h 617016"/>
            <a:gd name="connsiteX23" fmla="*/ 190500 w 212271"/>
            <a:gd name="connsiteY23" fmla="*/ 219679 h 617016"/>
            <a:gd name="connsiteX24" fmla="*/ 185057 w 212271"/>
            <a:gd name="connsiteY24" fmla="*/ 176136 h 617016"/>
            <a:gd name="connsiteX25" fmla="*/ 155034 w 212271"/>
            <a:gd name="connsiteY25" fmla="*/ 127262 h 617016"/>
            <a:gd name="connsiteX26" fmla="*/ 140110 w 212271"/>
            <a:gd name="connsiteY26" fmla="*/ 80121 h 617016"/>
            <a:gd name="connsiteX27" fmla="*/ 114300 w 212271"/>
            <a:gd name="connsiteY27" fmla="*/ 18293 h 617016"/>
            <a:gd name="connsiteX28" fmla="*/ 97971 w 212271"/>
            <a:gd name="connsiteY28" fmla="*/ 12850 h 617016"/>
            <a:gd name="connsiteX29" fmla="*/ 76200 w 212271"/>
            <a:gd name="connsiteY29" fmla="*/ 1964 h 617016"/>
            <a:gd name="connsiteX0" fmla="*/ 76200 w 212271"/>
            <a:gd name="connsiteY0" fmla="*/ 1964 h 600850"/>
            <a:gd name="connsiteX1" fmla="*/ 48985 w 212271"/>
            <a:gd name="connsiteY1" fmla="*/ 56393 h 600850"/>
            <a:gd name="connsiteX2" fmla="*/ 32657 w 212271"/>
            <a:gd name="connsiteY2" fmla="*/ 99936 h 600850"/>
            <a:gd name="connsiteX3" fmla="*/ 21771 w 212271"/>
            <a:gd name="connsiteY3" fmla="*/ 154364 h 600850"/>
            <a:gd name="connsiteX4" fmla="*/ 10885 w 212271"/>
            <a:gd name="connsiteY4" fmla="*/ 197907 h 600850"/>
            <a:gd name="connsiteX5" fmla="*/ 5442 w 212271"/>
            <a:gd name="connsiteY5" fmla="*/ 219679 h 600850"/>
            <a:gd name="connsiteX6" fmla="*/ 0 w 212271"/>
            <a:gd name="connsiteY6" fmla="*/ 257779 h 600850"/>
            <a:gd name="connsiteX7" fmla="*/ 5442 w 212271"/>
            <a:gd name="connsiteY7" fmla="*/ 421064 h 600850"/>
            <a:gd name="connsiteX8" fmla="*/ 10885 w 212271"/>
            <a:gd name="connsiteY8" fmla="*/ 437393 h 600850"/>
            <a:gd name="connsiteX9" fmla="*/ 27214 w 212271"/>
            <a:gd name="connsiteY9" fmla="*/ 491821 h 600850"/>
            <a:gd name="connsiteX10" fmla="*/ 43542 w 212271"/>
            <a:gd name="connsiteY10" fmla="*/ 546250 h 600850"/>
            <a:gd name="connsiteX11" fmla="*/ 54428 w 212271"/>
            <a:gd name="connsiteY11" fmla="*/ 562579 h 600850"/>
            <a:gd name="connsiteX12" fmla="*/ 79941 w 212271"/>
            <a:gd name="connsiteY12" fmla="*/ 597151 h 600850"/>
            <a:gd name="connsiteX13" fmla="*/ 120423 w 212271"/>
            <a:gd name="connsiteY13" fmla="*/ 598428 h 600850"/>
            <a:gd name="connsiteX14" fmla="*/ 147638 w 212271"/>
            <a:gd name="connsiteY14" fmla="*/ 568962 h 600850"/>
            <a:gd name="connsiteX15" fmla="*/ 163285 w 212271"/>
            <a:gd name="connsiteY15" fmla="*/ 600679 h 600850"/>
            <a:gd name="connsiteX16" fmla="*/ 185057 w 212271"/>
            <a:gd name="connsiteY16" fmla="*/ 551693 h 600850"/>
            <a:gd name="connsiteX17" fmla="*/ 190500 w 212271"/>
            <a:gd name="connsiteY17" fmla="*/ 535364 h 600850"/>
            <a:gd name="connsiteX18" fmla="*/ 195942 w 212271"/>
            <a:gd name="connsiteY18" fmla="*/ 437393 h 600850"/>
            <a:gd name="connsiteX19" fmla="*/ 201385 w 212271"/>
            <a:gd name="connsiteY19" fmla="*/ 421064 h 600850"/>
            <a:gd name="connsiteX20" fmla="*/ 212271 w 212271"/>
            <a:gd name="connsiteY20" fmla="*/ 393850 h 600850"/>
            <a:gd name="connsiteX21" fmla="*/ 206828 w 212271"/>
            <a:gd name="connsiteY21" fmla="*/ 284993 h 600850"/>
            <a:gd name="connsiteX22" fmla="*/ 195942 w 212271"/>
            <a:gd name="connsiteY22" fmla="*/ 268664 h 600850"/>
            <a:gd name="connsiteX23" fmla="*/ 190500 w 212271"/>
            <a:gd name="connsiteY23" fmla="*/ 219679 h 600850"/>
            <a:gd name="connsiteX24" fmla="*/ 185057 w 212271"/>
            <a:gd name="connsiteY24" fmla="*/ 176136 h 600850"/>
            <a:gd name="connsiteX25" fmla="*/ 155034 w 212271"/>
            <a:gd name="connsiteY25" fmla="*/ 127262 h 600850"/>
            <a:gd name="connsiteX26" fmla="*/ 140110 w 212271"/>
            <a:gd name="connsiteY26" fmla="*/ 80121 h 600850"/>
            <a:gd name="connsiteX27" fmla="*/ 114300 w 212271"/>
            <a:gd name="connsiteY27" fmla="*/ 18293 h 600850"/>
            <a:gd name="connsiteX28" fmla="*/ 97971 w 212271"/>
            <a:gd name="connsiteY28" fmla="*/ 12850 h 600850"/>
            <a:gd name="connsiteX29" fmla="*/ 76200 w 212271"/>
            <a:gd name="connsiteY29" fmla="*/ 1964 h 600850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85057 w 212271"/>
            <a:gd name="connsiteY16" fmla="*/ 551693 h 600124"/>
            <a:gd name="connsiteX17" fmla="*/ 190500 w 212271"/>
            <a:gd name="connsiteY17" fmla="*/ 535364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90500 w 212271"/>
            <a:gd name="connsiteY17" fmla="*/ 535364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69069 w 212271"/>
            <a:gd name="connsiteY17" fmla="*/ 484917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69069 w 212271"/>
            <a:gd name="connsiteY17" fmla="*/ 484917 h 600124"/>
            <a:gd name="connsiteX18" fmla="*/ 195942 w 212271"/>
            <a:gd name="connsiteY18" fmla="*/ 437393 h 600124"/>
            <a:gd name="connsiteX19" fmla="*/ 187097 w 212271"/>
            <a:gd name="connsiteY19" fmla="*/ 418661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06878"/>
            <a:gd name="connsiteY0" fmla="*/ 1964 h 600124"/>
            <a:gd name="connsiteX1" fmla="*/ 48985 w 206878"/>
            <a:gd name="connsiteY1" fmla="*/ 56393 h 600124"/>
            <a:gd name="connsiteX2" fmla="*/ 32657 w 206878"/>
            <a:gd name="connsiteY2" fmla="*/ 99936 h 600124"/>
            <a:gd name="connsiteX3" fmla="*/ 21771 w 206878"/>
            <a:gd name="connsiteY3" fmla="*/ 154364 h 600124"/>
            <a:gd name="connsiteX4" fmla="*/ 10885 w 206878"/>
            <a:gd name="connsiteY4" fmla="*/ 197907 h 600124"/>
            <a:gd name="connsiteX5" fmla="*/ 5442 w 206878"/>
            <a:gd name="connsiteY5" fmla="*/ 219679 h 600124"/>
            <a:gd name="connsiteX6" fmla="*/ 0 w 206878"/>
            <a:gd name="connsiteY6" fmla="*/ 257779 h 600124"/>
            <a:gd name="connsiteX7" fmla="*/ 5442 w 206878"/>
            <a:gd name="connsiteY7" fmla="*/ 421064 h 600124"/>
            <a:gd name="connsiteX8" fmla="*/ 10885 w 206878"/>
            <a:gd name="connsiteY8" fmla="*/ 437393 h 600124"/>
            <a:gd name="connsiteX9" fmla="*/ 27214 w 206878"/>
            <a:gd name="connsiteY9" fmla="*/ 491821 h 600124"/>
            <a:gd name="connsiteX10" fmla="*/ 43542 w 206878"/>
            <a:gd name="connsiteY10" fmla="*/ 546250 h 600124"/>
            <a:gd name="connsiteX11" fmla="*/ 54428 w 206878"/>
            <a:gd name="connsiteY11" fmla="*/ 562579 h 600124"/>
            <a:gd name="connsiteX12" fmla="*/ 79941 w 206878"/>
            <a:gd name="connsiteY12" fmla="*/ 597151 h 600124"/>
            <a:gd name="connsiteX13" fmla="*/ 120423 w 206878"/>
            <a:gd name="connsiteY13" fmla="*/ 598428 h 600124"/>
            <a:gd name="connsiteX14" fmla="*/ 147638 w 206878"/>
            <a:gd name="connsiteY14" fmla="*/ 568962 h 600124"/>
            <a:gd name="connsiteX15" fmla="*/ 156142 w 206878"/>
            <a:gd name="connsiteY15" fmla="*/ 547829 h 600124"/>
            <a:gd name="connsiteX16" fmla="*/ 168389 w 206878"/>
            <a:gd name="connsiteY16" fmla="*/ 520464 h 600124"/>
            <a:gd name="connsiteX17" fmla="*/ 169069 w 206878"/>
            <a:gd name="connsiteY17" fmla="*/ 484917 h 600124"/>
            <a:gd name="connsiteX18" fmla="*/ 195942 w 206878"/>
            <a:gd name="connsiteY18" fmla="*/ 437393 h 600124"/>
            <a:gd name="connsiteX19" fmla="*/ 187097 w 206878"/>
            <a:gd name="connsiteY19" fmla="*/ 418661 h 600124"/>
            <a:gd name="connsiteX20" fmla="*/ 190840 w 206878"/>
            <a:gd name="connsiteY20" fmla="*/ 367425 h 600124"/>
            <a:gd name="connsiteX21" fmla="*/ 206828 w 206878"/>
            <a:gd name="connsiteY21" fmla="*/ 284993 h 600124"/>
            <a:gd name="connsiteX22" fmla="*/ 195942 w 206878"/>
            <a:gd name="connsiteY22" fmla="*/ 268664 h 600124"/>
            <a:gd name="connsiteX23" fmla="*/ 190500 w 206878"/>
            <a:gd name="connsiteY23" fmla="*/ 219679 h 600124"/>
            <a:gd name="connsiteX24" fmla="*/ 185057 w 206878"/>
            <a:gd name="connsiteY24" fmla="*/ 176136 h 600124"/>
            <a:gd name="connsiteX25" fmla="*/ 155034 w 206878"/>
            <a:gd name="connsiteY25" fmla="*/ 127262 h 600124"/>
            <a:gd name="connsiteX26" fmla="*/ 140110 w 206878"/>
            <a:gd name="connsiteY26" fmla="*/ 80121 h 600124"/>
            <a:gd name="connsiteX27" fmla="*/ 114300 w 206878"/>
            <a:gd name="connsiteY27" fmla="*/ 18293 h 600124"/>
            <a:gd name="connsiteX28" fmla="*/ 97971 w 206878"/>
            <a:gd name="connsiteY28" fmla="*/ 12850 h 600124"/>
            <a:gd name="connsiteX29" fmla="*/ 76200 w 206878"/>
            <a:gd name="connsiteY29" fmla="*/ 1964 h 600124"/>
            <a:gd name="connsiteX0" fmla="*/ 76200 w 206878"/>
            <a:gd name="connsiteY0" fmla="*/ 1964 h 600124"/>
            <a:gd name="connsiteX1" fmla="*/ 48985 w 206878"/>
            <a:gd name="connsiteY1" fmla="*/ 56393 h 600124"/>
            <a:gd name="connsiteX2" fmla="*/ 32657 w 206878"/>
            <a:gd name="connsiteY2" fmla="*/ 99936 h 600124"/>
            <a:gd name="connsiteX3" fmla="*/ 21771 w 206878"/>
            <a:gd name="connsiteY3" fmla="*/ 154364 h 600124"/>
            <a:gd name="connsiteX4" fmla="*/ 10885 w 206878"/>
            <a:gd name="connsiteY4" fmla="*/ 197907 h 600124"/>
            <a:gd name="connsiteX5" fmla="*/ 5442 w 206878"/>
            <a:gd name="connsiteY5" fmla="*/ 219679 h 600124"/>
            <a:gd name="connsiteX6" fmla="*/ 0 w 206878"/>
            <a:gd name="connsiteY6" fmla="*/ 257779 h 600124"/>
            <a:gd name="connsiteX7" fmla="*/ 5442 w 206878"/>
            <a:gd name="connsiteY7" fmla="*/ 421064 h 600124"/>
            <a:gd name="connsiteX8" fmla="*/ 10885 w 206878"/>
            <a:gd name="connsiteY8" fmla="*/ 437393 h 600124"/>
            <a:gd name="connsiteX9" fmla="*/ 27214 w 206878"/>
            <a:gd name="connsiteY9" fmla="*/ 491821 h 600124"/>
            <a:gd name="connsiteX10" fmla="*/ 43542 w 206878"/>
            <a:gd name="connsiteY10" fmla="*/ 546250 h 600124"/>
            <a:gd name="connsiteX11" fmla="*/ 54428 w 206878"/>
            <a:gd name="connsiteY11" fmla="*/ 562579 h 600124"/>
            <a:gd name="connsiteX12" fmla="*/ 79941 w 206878"/>
            <a:gd name="connsiteY12" fmla="*/ 597151 h 600124"/>
            <a:gd name="connsiteX13" fmla="*/ 120423 w 206878"/>
            <a:gd name="connsiteY13" fmla="*/ 598428 h 600124"/>
            <a:gd name="connsiteX14" fmla="*/ 147638 w 206878"/>
            <a:gd name="connsiteY14" fmla="*/ 568962 h 600124"/>
            <a:gd name="connsiteX15" fmla="*/ 156142 w 206878"/>
            <a:gd name="connsiteY15" fmla="*/ 547829 h 600124"/>
            <a:gd name="connsiteX16" fmla="*/ 168389 w 206878"/>
            <a:gd name="connsiteY16" fmla="*/ 520464 h 600124"/>
            <a:gd name="connsiteX17" fmla="*/ 169069 w 206878"/>
            <a:gd name="connsiteY17" fmla="*/ 484917 h 600124"/>
            <a:gd name="connsiteX18" fmla="*/ 179274 w 206878"/>
            <a:gd name="connsiteY18" fmla="*/ 439796 h 600124"/>
            <a:gd name="connsiteX19" fmla="*/ 187097 w 206878"/>
            <a:gd name="connsiteY19" fmla="*/ 418661 h 600124"/>
            <a:gd name="connsiteX20" fmla="*/ 190840 w 206878"/>
            <a:gd name="connsiteY20" fmla="*/ 367425 h 600124"/>
            <a:gd name="connsiteX21" fmla="*/ 206828 w 206878"/>
            <a:gd name="connsiteY21" fmla="*/ 284993 h 600124"/>
            <a:gd name="connsiteX22" fmla="*/ 195942 w 206878"/>
            <a:gd name="connsiteY22" fmla="*/ 268664 h 600124"/>
            <a:gd name="connsiteX23" fmla="*/ 190500 w 206878"/>
            <a:gd name="connsiteY23" fmla="*/ 219679 h 600124"/>
            <a:gd name="connsiteX24" fmla="*/ 185057 w 206878"/>
            <a:gd name="connsiteY24" fmla="*/ 176136 h 600124"/>
            <a:gd name="connsiteX25" fmla="*/ 155034 w 206878"/>
            <a:gd name="connsiteY25" fmla="*/ 127262 h 600124"/>
            <a:gd name="connsiteX26" fmla="*/ 140110 w 206878"/>
            <a:gd name="connsiteY26" fmla="*/ 80121 h 600124"/>
            <a:gd name="connsiteX27" fmla="*/ 114300 w 206878"/>
            <a:gd name="connsiteY27" fmla="*/ 18293 h 600124"/>
            <a:gd name="connsiteX28" fmla="*/ 97971 w 206878"/>
            <a:gd name="connsiteY28" fmla="*/ 12850 h 600124"/>
            <a:gd name="connsiteX29" fmla="*/ 76200 w 206878"/>
            <a:gd name="connsiteY29" fmla="*/ 1964 h 600124"/>
            <a:gd name="connsiteX0" fmla="*/ 76200 w 195942"/>
            <a:gd name="connsiteY0" fmla="*/ 1964 h 600124"/>
            <a:gd name="connsiteX1" fmla="*/ 48985 w 195942"/>
            <a:gd name="connsiteY1" fmla="*/ 56393 h 600124"/>
            <a:gd name="connsiteX2" fmla="*/ 32657 w 195942"/>
            <a:gd name="connsiteY2" fmla="*/ 99936 h 600124"/>
            <a:gd name="connsiteX3" fmla="*/ 21771 w 195942"/>
            <a:gd name="connsiteY3" fmla="*/ 154364 h 600124"/>
            <a:gd name="connsiteX4" fmla="*/ 10885 w 195942"/>
            <a:gd name="connsiteY4" fmla="*/ 197907 h 600124"/>
            <a:gd name="connsiteX5" fmla="*/ 5442 w 195942"/>
            <a:gd name="connsiteY5" fmla="*/ 219679 h 600124"/>
            <a:gd name="connsiteX6" fmla="*/ 0 w 195942"/>
            <a:gd name="connsiteY6" fmla="*/ 257779 h 600124"/>
            <a:gd name="connsiteX7" fmla="*/ 5442 w 195942"/>
            <a:gd name="connsiteY7" fmla="*/ 421064 h 600124"/>
            <a:gd name="connsiteX8" fmla="*/ 10885 w 195942"/>
            <a:gd name="connsiteY8" fmla="*/ 437393 h 600124"/>
            <a:gd name="connsiteX9" fmla="*/ 27214 w 195942"/>
            <a:gd name="connsiteY9" fmla="*/ 491821 h 600124"/>
            <a:gd name="connsiteX10" fmla="*/ 43542 w 195942"/>
            <a:gd name="connsiteY10" fmla="*/ 546250 h 600124"/>
            <a:gd name="connsiteX11" fmla="*/ 54428 w 195942"/>
            <a:gd name="connsiteY11" fmla="*/ 562579 h 600124"/>
            <a:gd name="connsiteX12" fmla="*/ 79941 w 195942"/>
            <a:gd name="connsiteY12" fmla="*/ 597151 h 600124"/>
            <a:gd name="connsiteX13" fmla="*/ 120423 w 195942"/>
            <a:gd name="connsiteY13" fmla="*/ 598428 h 600124"/>
            <a:gd name="connsiteX14" fmla="*/ 147638 w 195942"/>
            <a:gd name="connsiteY14" fmla="*/ 568962 h 600124"/>
            <a:gd name="connsiteX15" fmla="*/ 156142 w 195942"/>
            <a:gd name="connsiteY15" fmla="*/ 547829 h 600124"/>
            <a:gd name="connsiteX16" fmla="*/ 168389 w 195942"/>
            <a:gd name="connsiteY16" fmla="*/ 520464 h 600124"/>
            <a:gd name="connsiteX17" fmla="*/ 169069 w 195942"/>
            <a:gd name="connsiteY17" fmla="*/ 484917 h 600124"/>
            <a:gd name="connsiteX18" fmla="*/ 179274 w 195942"/>
            <a:gd name="connsiteY18" fmla="*/ 439796 h 600124"/>
            <a:gd name="connsiteX19" fmla="*/ 187097 w 195942"/>
            <a:gd name="connsiteY19" fmla="*/ 418661 h 600124"/>
            <a:gd name="connsiteX20" fmla="*/ 190840 w 195942"/>
            <a:gd name="connsiteY20" fmla="*/ 367425 h 600124"/>
            <a:gd name="connsiteX21" fmla="*/ 190159 w 195942"/>
            <a:gd name="connsiteY21" fmla="*/ 311418 h 600124"/>
            <a:gd name="connsiteX22" fmla="*/ 195942 w 195942"/>
            <a:gd name="connsiteY22" fmla="*/ 268664 h 600124"/>
            <a:gd name="connsiteX23" fmla="*/ 190500 w 195942"/>
            <a:gd name="connsiteY23" fmla="*/ 219679 h 600124"/>
            <a:gd name="connsiteX24" fmla="*/ 185057 w 195942"/>
            <a:gd name="connsiteY24" fmla="*/ 176136 h 600124"/>
            <a:gd name="connsiteX25" fmla="*/ 155034 w 195942"/>
            <a:gd name="connsiteY25" fmla="*/ 127262 h 600124"/>
            <a:gd name="connsiteX26" fmla="*/ 140110 w 195942"/>
            <a:gd name="connsiteY26" fmla="*/ 80121 h 600124"/>
            <a:gd name="connsiteX27" fmla="*/ 114300 w 195942"/>
            <a:gd name="connsiteY27" fmla="*/ 18293 h 600124"/>
            <a:gd name="connsiteX28" fmla="*/ 97971 w 195942"/>
            <a:gd name="connsiteY28" fmla="*/ 12850 h 600124"/>
            <a:gd name="connsiteX29" fmla="*/ 76200 w 195942"/>
            <a:gd name="connsiteY29" fmla="*/ 1964 h 600124"/>
            <a:gd name="connsiteX0" fmla="*/ 76200 w 196398"/>
            <a:gd name="connsiteY0" fmla="*/ 1964 h 600124"/>
            <a:gd name="connsiteX1" fmla="*/ 48985 w 196398"/>
            <a:gd name="connsiteY1" fmla="*/ 56393 h 600124"/>
            <a:gd name="connsiteX2" fmla="*/ 32657 w 196398"/>
            <a:gd name="connsiteY2" fmla="*/ 99936 h 600124"/>
            <a:gd name="connsiteX3" fmla="*/ 21771 w 196398"/>
            <a:gd name="connsiteY3" fmla="*/ 154364 h 600124"/>
            <a:gd name="connsiteX4" fmla="*/ 10885 w 196398"/>
            <a:gd name="connsiteY4" fmla="*/ 197907 h 600124"/>
            <a:gd name="connsiteX5" fmla="*/ 5442 w 196398"/>
            <a:gd name="connsiteY5" fmla="*/ 219679 h 600124"/>
            <a:gd name="connsiteX6" fmla="*/ 0 w 196398"/>
            <a:gd name="connsiteY6" fmla="*/ 257779 h 600124"/>
            <a:gd name="connsiteX7" fmla="*/ 5442 w 196398"/>
            <a:gd name="connsiteY7" fmla="*/ 421064 h 600124"/>
            <a:gd name="connsiteX8" fmla="*/ 10885 w 196398"/>
            <a:gd name="connsiteY8" fmla="*/ 437393 h 600124"/>
            <a:gd name="connsiteX9" fmla="*/ 27214 w 196398"/>
            <a:gd name="connsiteY9" fmla="*/ 491821 h 600124"/>
            <a:gd name="connsiteX10" fmla="*/ 43542 w 196398"/>
            <a:gd name="connsiteY10" fmla="*/ 546250 h 600124"/>
            <a:gd name="connsiteX11" fmla="*/ 54428 w 196398"/>
            <a:gd name="connsiteY11" fmla="*/ 562579 h 600124"/>
            <a:gd name="connsiteX12" fmla="*/ 79941 w 196398"/>
            <a:gd name="connsiteY12" fmla="*/ 597151 h 600124"/>
            <a:gd name="connsiteX13" fmla="*/ 120423 w 196398"/>
            <a:gd name="connsiteY13" fmla="*/ 598428 h 600124"/>
            <a:gd name="connsiteX14" fmla="*/ 147638 w 196398"/>
            <a:gd name="connsiteY14" fmla="*/ 568962 h 600124"/>
            <a:gd name="connsiteX15" fmla="*/ 156142 w 196398"/>
            <a:gd name="connsiteY15" fmla="*/ 547829 h 600124"/>
            <a:gd name="connsiteX16" fmla="*/ 168389 w 196398"/>
            <a:gd name="connsiteY16" fmla="*/ 520464 h 600124"/>
            <a:gd name="connsiteX17" fmla="*/ 169069 w 196398"/>
            <a:gd name="connsiteY17" fmla="*/ 484917 h 600124"/>
            <a:gd name="connsiteX18" fmla="*/ 179274 w 196398"/>
            <a:gd name="connsiteY18" fmla="*/ 439796 h 600124"/>
            <a:gd name="connsiteX19" fmla="*/ 187097 w 196398"/>
            <a:gd name="connsiteY19" fmla="*/ 418661 h 600124"/>
            <a:gd name="connsiteX20" fmla="*/ 190840 w 196398"/>
            <a:gd name="connsiteY20" fmla="*/ 367425 h 600124"/>
            <a:gd name="connsiteX21" fmla="*/ 190159 w 196398"/>
            <a:gd name="connsiteY21" fmla="*/ 311418 h 600124"/>
            <a:gd name="connsiteX22" fmla="*/ 195942 w 196398"/>
            <a:gd name="connsiteY22" fmla="*/ 268664 h 600124"/>
            <a:gd name="connsiteX23" fmla="*/ 176212 w 196398"/>
            <a:gd name="connsiteY23" fmla="*/ 222082 h 600124"/>
            <a:gd name="connsiteX24" fmla="*/ 185057 w 196398"/>
            <a:gd name="connsiteY24" fmla="*/ 176136 h 600124"/>
            <a:gd name="connsiteX25" fmla="*/ 155034 w 196398"/>
            <a:gd name="connsiteY25" fmla="*/ 127262 h 600124"/>
            <a:gd name="connsiteX26" fmla="*/ 140110 w 196398"/>
            <a:gd name="connsiteY26" fmla="*/ 80121 h 600124"/>
            <a:gd name="connsiteX27" fmla="*/ 114300 w 196398"/>
            <a:gd name="connsiteY27" fmla="*/ 18293 h 600124"/>
            <a:gd name="connsiteX28" fmla="*/ 97971 w 196398"/>
            <a:gd name="connsiteY28" fmla="*/ 12850 h 600124"/>
            <a:gd name="connsiteX29" fmla="*/ 76200 w 196398"/>
            <a:gd name="connsiteY29" fmla="*/ 1964 h 600124"/>
            <a:gd name="connsiteX0" fmla="*/ 76200 w 196398"/>
            <a:gd name="connsiteY0" fmla="*/ 1964 h 600124"/>
            <a:gd name="connsiteX1" fmla="*/ 48985 w 196398"/>
            <a:gd name="connsiteY1" fmla="*/ 56393 h 600124"/>
            <a:gd name="connsiteX2" fmla="*/ 32657 w 196398"/>
            <a:gd name="connsiteY2" fmla="*/ 99936 h 600124"/>
            <a:gd name="connsiteX3" fmla="*/ 21771 w 196398"/>
            <a:gd name="connsiteY3" fmla="*/ 154364 h 600124"/>
            <a:gd name="connsiteX4" fmla="*/ 10885 w 196398"/>
            <a:gd name="connsiteY4" fmla="*/ 197907 h 600124"/>
            <a:gd name="connsiteX5" fmla="*/ 5442 w 196398"/>
            <a:gd name="connsiteY5" fmla="*/ 219679 h 600124"/>
            <a:gd name="connsiteX6" fmla="*/ 0 w 196398"/>
            <a:gd name="connsiteY6" fmla="*/ 257779 h 600124"/>
            <a:gd name="connsiteX7" fmla="*/ 5442 w 196398"/>
            <a:gd name="connsiteY7" fmla="*/ 421064 h 600124"/>
            <a:gd name="connsiteX8" fmla="*/ 10885 w 196398"/>
            <a:gd name="connsiteY8" fmla="*/ 437393 h 600124"/>
            <a:gd name="connsiteX9" fmla="*/ 27214 w 196398"/>
            <a:gd name="connsiteY9" fmla="*/ 491821 h 600124"/>
            <a:gd name="connsiteX10" fmla="*/ 43542 w 196398"/>
            <a:gd name="connsiteY10" fmla="*/ 546250 h 600124"/>
            <a:gd name="connsiteX11" fmla="*/ 54428 w 196398"/>
            <a:gd name="connsiteY11" fmla="*/ 562579 h 600124"/>
            <a:gd name="connsiteX12" fmla="*/ 79941 w 196398"/>
            <a:gd name="connsiteY12" fmla="*/ 597151 h 600124"/>
            <a:gd name="connsiteX13" fmla="*/ 120423 w 196398"/>
            <a:gd name="connsiteY13" fmla="*/ 598428 h 600124"/>
            <a:gd name="connsiteX14" fmla="*/ 147638 w 196398"/>
            <a:gd name="connsiteY14" fmla="*/ 568962 h 600124"/>
            <a:gd name="connsiteX15" fmla="*/ 156142 w 196398"/>
            <a:gd name="connsiteY15" fmla="*/ 547829 h 600124"/>
            <a:gd name="connsiteX16" fmla="*/ 168389 w 196398"/>
            <a:gd name="connsiteY16" fmla="*/ 520464 h 600124"/>
            <a:gd name="connsiteX17" fmla="*/ 169069 w 196398"/>
            <a:gd name="connsiteY17" fmla="*/ 484917 h 600124"/>
            <a:gd name="connsiteX18" fmla="*/ 179274 w 196398"/>
            <a:gd name="connsiteY18" fmla="*/ 439796 h 600124"/>
            <a:gd name="connsiteX19" fmla="*/ 187097 w 196398"/>
            <a:gd name="connsiteY19" fmla="*/ 418661 h 600124"/>
            <a:gd name="connsiteX20" fmla="*/ 190840 w 196398"/>
            <a:gd name="connsiteY20" fmla="*/ 367425 h 600124"/>
            <a:gd name="connsiteX21" fmla="*/ 190159 w 196398"/>
            <a:gd name="connsiteY21" fmla="*/ 311418 h 600124"/>
            <a:gd name="connsiteX22" fmla="*/ 195942 w 196398"/>
            <a:gd name="connsiteY22" fmla="*/ 268664 h 600124"/>
            <a:gd name="connsiteX23" fmla="*/ 176212 w 196398"/>
            <a:gd name="connsiteY23" fmla="*/ 222082 h 600124"/>
            <a:gd name="connsiteX24" fmla="*/ 163626 w 196398"/>
            <a:gd name="connsiteY24" fmla="*/ 171331 h 600124"/>
            <a:gd name="connsiteX25" fmla="*/ 155034 w 196398"/>
            <a:gd name="connsiteY25" fmla="*/ 127262 h 600124"/>
            <a:gd name="connsiteX26" fmla="*/ 140110 w 196398"/>
            <a:gd name="connsiteY26" fmla="*/ 80121 h 600124"/>
            <a:gd name="connsiteX27" fmla="*/ 114300 w 196398"/>
            <a:gd name="connsiteY27" fmla="*/ 18293 h 600124"/>
            <a:gd name="connsiteX28" fmla="*/ 97971 w 196398"/>
            <a:gd name="connsiteY28" fmla="*/ 12850 h 600124"/>
            <a:gd name="connsiteX29" fmla="*/ 76200 w 196398"/>
            <a:gd name="connsiteY29" fmla="*/ 1964 h 600124"/>
            <a:gd name="connsiteX0" fmla="*/ 76200 w 190840"/>
            <a:gd name="connsiteY0" fmla="*/ 1964 h 600124"/>
            <a:gd name="connsiteX1" fmla="*/ 48985 w 190840"/>
            <a:gd name="connsiteY1" fmla="*/ 56393 h 600124"/>
            <a:gd name="connsiteX2" fmla="*/ 32657 w 190840"/>
            <a:gd name="connsiteY2" fmla="*/ 99936 h 600124"/>
            <a:gd name="connsiteX3" fmla="*/ 21771 w 190840"/>
            <a:gd name="connsiteY3" fmla="*/ 154364 h 600124"/>
            <a:gd name="connsiteX4" fmla="*/ 10885 w 190840"/>
            <a:gd name="connsiteY4" fmla="*/ 197907 h 600124"/>
            <a:gd name="connsiteX5" fmla="*/ 5442 w 190840"/>
            <a:gd name="connsiteY5" fmla="*/ 219679 h 600124"/>
            <a:gd name="connsiteX6" fmla="*/ 0 w 190840"/>
            <a:gd name="connsiteY6" fmla="*/ 257779 h 600124"/>
            <a:gd name="connsiteX7" fmla="*/ 5442 w 190840"/>
            <a:gd name="connsiteY7" fmla="*/ 421064 h 600124"/>
            <a:gd name="connsiteX8" fmla="*/ 10885 w 190840"/>
            <a:gd name="connsiteY8" fmla="*/ 437393 h 600124"/>
            <a:gd name="connsiteX9" fmla="*/ 27214 w 190840"/>
            <a:gd name="connsiteY9" fmla="*/ 491821 h 600124"/>
            <a:gd name="connsiteX10" fmla="*/ 43542 w 190840"/>
            <a:gd name="connsiteY10" fmla="*/ 546250 h 600124"/>
            <a:gd name="connsiteX11" fmla="*/ 54428 w 190840"/>
            <a:gd name="connsiteY11" fmla="*/ 562579 h 600124"/>
            <a:gd name="connsiteX12" fmla="*/ 79941 w 190840"/>
            <a:gd name="connsiteY12" fmla="*/ 597151 h 600124"/>
            <a:gd name="connsiteX13" fmla="*/ 120423 w 190840"/>
            <a:gd name="connsiteY13" fmla="*/ 598428 h 600124"/>
            <a:gd name="connsiteX14" fmla="*/ 147638 w 190840"/>
            <a:gd name="connsiteY14" fmla="*/ 568962 h 600124"/>
            <a:gd name="connsiteX15" fmla="*/ 156142 w 190840"/>
            <a:gd name="connsiteY15" fmla="*/ 547829 h 600124"/>
            <a:gd name="connsiteX16" fmla="*/ 168389 w 190840"/>
            <a:gd name="connsiteY16" fmla="*/ 520464 h 600124"/>
            <a:gd name="connsiteX17" fmla="*/ 169069 w 190840"/>
            <a:gd name="connsiteY17" fmla="*/ 484917 h 600124"/>
            <a:gd name="connsiteX18" fmla="*/ 179274 w 190840"/>
            <a:gd name="connsiteY18" fmla="*/ 439796 h 600124"/>
            <a:gd name="connsiteX19" fmla="*/ 187097 w 190840"/>
            <a:gd name="connsiteY19" fmla="*/ 418661 h 600124"/>
            <a:gd name="connsiteX20" fmla="*/ 190840 w 190840"/>
            <a:gd name="connsiteY20" fmla="*/ 367425 h 600124"/>
            <a:gd name="connsiteX21" fmla="*/ 190159 w 190840"/>
            <a:gd name="connsiteY21" fmla="*/ 311418 h 600124"/>
            <a:gd name="connsiteX22" fmla="*/ 186417 w 190840"/>
            <a:gd name="connsiteY22" fmla="*/ 268664 h 600124"/>
            <a:gd name="connsiteX23" fmla="*/ 176212 w 190840"/>
            <a:gd name="connsiteY23" fmla="*/ 222082 h 600124"/>
            <a:gd name="connsiteX24" fmla="*/ 163626 w 190840"/>
            <a:gd name="connsiteY24" fmla="*/ 171331 h 600124"/>
            <a:gd name="connsiteX25" fmla="*/ 155034 w 190840"/>
            <a:gd name="connsiteY25" fmla="*/ 127262 h 600124"/>
            <a:gd name="connsiteX26" fmla="*/ 140110 w 190840"/>
            <a:gd name="connsiteY26" fmla="*/ 80121 h 600124"/>
            <a:gd name="connsiteX27" fmla="*/ 114300 w 190840"/>
            <a:gd name="connsiteY27" fmla="*/ 18293 h 600124"/>
            <a:gd name="connsiteX28" fmla="*/ 97971 w 190840"/>
            <a:gd name="connsiteY28" fmla="*/ 12850 h 600124"/>
            <a:gd name="connsiteX29" fmla="*/ 76200 w 190840"/>
            <a:gd name="connsiteY29" fmla="*/ 1964 h 6001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</a:cxnLst>
          <a:rect l="l" t="t" r="r" b="b"/>
          <a:pathLst>
            <a:path w="190840" h="600124">
              <a:moveTo>
                <a:pt x="76200" y="1964"/>
              </a:moveTo>
              <a:cubicBezTo>
                <a:pt x="68036" y="9221"/>
                <a:pt x="56392" y="31703"/>
                <a:pt x="48985" y="56393"/>
              </a:cubicBezTo>
              <a:cubicBezTo>
                <a:pt x="36144" y="99195"/>
                <a:pt x="52997" y="69423"/>
                <a:pt x="32657" y="99936"/>
              </a:cubicBezTo>
              <a:cubicBezTo>
                <a:pt x="29028" y="118079"/>
                <a:pt x="26258" y="136414"/>
                <a:pt x="21771" y="154364"/>
              </a:cubicBezTo>
              <a:lnTo>
                <a:pt x="10885" y="197907"/>
              </a:lnTo>
              <a:cubicBezTo>
                <a:pt x="9071" y="205164"/>
                <a:pt x="6500" y="212273"/>
                <a:pt x="5442" y="219679"/>
              </a:cubicBezTo>
              <a:lnTo>
                <a:pt x="0" y="257779"/>
              </a:lnTo>
              <a:cubicBezTo>
                <a:pt x="1814" y="312207"/>
                <a:pt x="2148" y="366705"/>
                <a:pt x="5442" y="421064"/>
              </a:cubicBezTo>
              <a:cubicBezTo>
                <a:pt x="5789" y="426791"/>
                <a:pt x="9493" y="431827"/>
                <a:pt x="10885" y="437393"/>
              </a:cubicBezTo>
              <a:cubicBezTo>
                <a:pt x="32384" y="523387"/>
                <a:pt x="-2041" y="404057"/>
                <a:pt x="27214" y="491821"/>
              </a:cubicBezTo>
              <a:cubicBezTo>
                <a:pt x="37769" y="523485"/>
                <a:pt x="26719" y="508398"/>
                <a:pt x="43542" y="546250"/>
              </a:cubicBezTo>
              <a:cubicBezTo>
                <a:pt x="46199" y="552228"/>
                <a:pt x="48362" y="554096"/>
                <a:pt x="54428" y="562579"/>
              </a:cubicBezTo>
              <a:cubicBezTo>
                <a:pt x="60494" y="571062"/>
                <a:pt x="68942" y="591176"/>
                <a:pt x="79941" y="597151"/>
              </a:cubicBezTo>
              <a:cubicBezTo>
                <a:pt x="90940" y="603126"/>
                <a:pt x="119556" y="598211"/>
                <a:pt x="120423" y="598428"/>
              </a:cubicBezTo>
              <a:cubicBezTo>
                <a:pt x="129495" y="596614"/>
                <a:pt x="141685" y="577395"/>
                <a:pt x="147638" y="568962"/>
              </a:cubicBezTo>
              <a:cubicBezTo>
                <a:pt x="153591" y="560529"/>
                <a:pt x="152684" y="555912"/>
                <a:pt x="156142" y="547829"/>
              </a:cubicBezTo>
              <a:cubicBezTo>
                <a:pt x="159600" y="539746"/>
                <a:pt x="166235" y="530949"/>
                <a:pt x="168389" y="520464"/>
              </a:cubicBezTo>
              <a:cubicBezTo>
                <a:pt x="170543" y="509979"/>
                <a:pt x="167255" y="490360"/>
                <a:pt x="169069" y="484917"/>
              </a:cubicBezTo>
              <a:cubicBezTo>
                <a:pt x="170883" y="452260"/>
                <a:pt x="176269" y="450839"/>
                <a:pt x="179274" y="439796"/>
              </a:cubicBezTo>
              <a:cubicBezTo>
                <a:pt x="182279" y="428753"/>
                <a:pt x="185169" y="430723"/>
                <a:pt x="187097" y="418661"/>
              </a:cubicBezTo>
              <a:cubicBezTo>
                <a:pt x="189025" y="406599"/>
                <a:pt x="187211" y="376496"/>
                <a:pt x="190840" y="367425"/>
              </a:cubicBezTo>
              <a:cubicBezTo>
                <a:pt x="189026" y="331139"/>
                <a:pt x="190896" y="327878"/>
                <a:pt x="190159" y="311418"/>
              </a:cubicBezTo>
              <a:cubicBezTo>
                <a:pt x="189422" y="294958"/>
                <a:pt x="188741" y="283553"/>
                <a:pt x="186417" y="268664"/>
              </a:cubicBezTo>
              <a:cubicBezTo>
                <a:pt x="184093" y="253775"/>
                <a:pt x="180010" y="238304"/>
                <a:pt x="176212" y="222082"/>
              </a:cubicBezTo>
              <a:cubicBezTo>
                <a:pt x="172414" y="205860"/>
                <a:pt x="165440" y="185845"/>
                <a:pt x="163626" y="171331"/>
              </a:cubicBezTo>
              <a:cubicBezTo>
                <a:pt x="161812" y="131417"/>
                <a:pt x="158953" y="142464"/>
                <a:pt x="155034" y="127262"/>
              </a:cubicBezTo>
              <a:cubicBezTo>
                <a:pt x="151115" y="112060"/>
                <a:pt x="146899" y="98283"/>
                <a:pt x="140110" y="80121"/>
              </a:cubicBezTo>
              <a:cubicBezTo>
                <a:pt x="133321" y="61960"/>
                <a:pt x="137940" y="28425"/>
                <a:pt x="114300" y="18293"/>
              </a:cubicBezTo>
              <a:cubicBezTo>
                <a:pt x="109026" y="16033"/>
                <a:pt x="103245" y="15110"/>
                <a:pt x="97971" y="12850"/>
              </a:cubicBezTo>
              <a:cubicBezTo>
                <a:pt x="90513" y="9654"/>
                <a:pt x="84364" y="-5293"/>
                <a:pt x="76200" y="1964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0.24776</cdr:x>
      <cdr:y>0.37815</cdr:y>
    </cdr:from>
    <cdr:to>
      <cdr:x>0.34544</cdr:x>
      <cdr:y>0.68649</cdr:y>
    </cdr:to>
    <cdr:sp macro="" textlink="">
      <cdr:nvSpPr>
        <cdr:cNvPr id="12" name="Freeform: Shape 11">
          <a:extLst xmlns:a="http://schemas.openxmlformats.org/drawingml/2006/main">
            <a:ext uri="{FF2B5EF4-FFF2-40B4-BE49-F238E27FC236}">
              <a16:creationId xmlns:a16="http://schemas.microsoft.com/office/drawing/2014/main" id="{0B3ED95F-A3A7-4C5E-A793-9067FEB07BB1}"/>
            </a:ext>
          </a:extLst>
        </cdr:cNvPr>
        <cdr:cNvSpPr/>
      </cdr:nvSpPr>
      <cdr:spPr>
        <a:xfrm xmlns:a="http://schemas.openxmlformats.org/drawingml/2006/main" flipH="1">
          <a:off x="1165225" y="1346549"/>
          <a:ext cx="459380" cy="1097952"/>
        </a:xfrm>
        <a:custGeom xmlns:a="http://schemas.openxmlformats.org/drawingml/2006/main">
          <a:avLst/>
          <a:gdLst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79614 w 212271"/>
            <a:gd name="connsiteY25" fmla="*/ 56393 h 622450"/>
            <a:gd name="connsiteX26" fmla="*/ 152400 w 212271"/>
            <a:gd name="connsiteY26" fmla="*/ 40064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79614 w 212271"/>
            <a:gd name="connsiteY25" fmla="*/ 56393 h 622450"/>
            <a:gd name="connsiteX26" fmla="*/ 140110 w 212271"/>
            <a:gd name="connsiteY26" fmla="*/ 80121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55034 w 212271"/>
            <a:gd name="connsiteY25" fmla="*/ 127262 h 622450"/>
            <a:gd name="connsiteX26" fmla="*/ 140110 w 212271"/>
            <a:gd name="connsiteY26" fmla="*/ 80121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17016"/>
            <a:gd name="connsiteX1" fmla="*/ 48985 w 212271"/>
            <a:gd name="connsiteY1" fmla="*/ 56393 h 617016"/>
            <a:gd name="connsiteX2" fmla="*/ 32657 w 212271"/>
            <a:gd name="connsiteY2" fmla="*/ 99936 h 617016"/>
            <a:gd name="connsiteX3" fmla="*/ 21771 w 212271"/>
            <a:gd name="connsiteY3" fmla="*/ 154364 h 617016"/>
            <a:gd name="connsiteX4" fmla="*/ 10885 w 212271"/>
            <a:gd name="connsiteY4" fmla="*/ 197907 h 617016"/>
            <a:gd name="connsiteX5" fmla="*/ 5442 w 212271"/>
            <a:gd name="connsiteY5" fmla="*/ 219679 h 617016"/>
            <a:gd name="connsiteX6" fmla="*/ 0 w 212271"/>
            <a:gd name="connsiteY6" fmla="*/ 257779 h 617016"/>
            <a:gd name="connsiteX7" fmla="*/ 5442 w 212271"/>
            <a:gd name="connsiteY7" fmla="*/ 421064 h 617016"/>
            <a:gd name="connsiteX8" fmla="*/ 10885 w 212271"/>
            <a:gd name="connsiteY8" fmla="*/ 437393 h 617016"/>
            <a:gd name="connsiteX9" fmla="*/ 27214 w 212271"/>
            <a:gd name="connsiteY9" fmla="*/ 491821 h 617016"/>
            <a:gd name="connsiteX10" fmla="*/ 43542 w 212271"/>
            <a:gd name="connsiteY10" fmla="*/ 546250 h 617016"/>
            <a:gd name="connsiteX11" fmla="*/ 54428 w 212271"/>
            <a:gd name="connsiteY11" fmla="*/ 562579 h 617016"/>
            <a:gd name="connsiteX12" fmla="*/ 87085 w 212271"/>
            <a:gd name="connsiteY12" fmla="*/ 611564 h 617016"/>
            <a:gd name="connsiteX13" fmla="*/ 120423 w 212271"/>
            <a:gd name="connsiteY13" fmla="*/ 598428 h 617016"/>
            <a:gd name="connsiteX14" fmla="*/ 152400 w 212271"/>
            <a:gd name="connsiteY14" fmla="*/ 617007 h 617016"/>
            <a:gd name="connsiteX15" fmla="*/ 163285 w 212271"/>
            <a:gd name="connsiteY15" fmla="*/ 600679 h 617016"/>
            <a:gd name="connsiteX16" fmla="*/ 185057 w 212271"/>
            <a:gd name="connsiteY16" fmla="*/ 551693 h 617016"/>
            <a:gd name="connsiteX17" fmla="*/ 190500 w 212271"/>
            <a:gd name="connsiteY17" fmla="*/ 535364 h 617016"/>
            <a:gd name="connsiteX18" fmla="*/ 195942 w 212271"/>
            <a:gd name="connsiteY18" fmla="*/ 437393 h 617016"/>
            <a:gd name="connsiteX19" fmla="*/ 201385 w 212271"/>
            <a:gd name="connsiteY19" fmla="*/ 421064 h 617016"/>
            <a:gd name="connsiteX20" fmla="*/ 212271 w 212271"/>
            <a:gd name="connsiteY20" fmla="*/ 393850 h 617016"/>
            <a:gd name="connsiteX21" fmla="*/ 206828 w 212271"/>
            <a:gd name="connsiteY21" fmla="*/ 284993 h 617016"/>
            <a:gd name="connsiteX22" fmla="*/ 195942 w 212271"/>
            <a:gd name="connsiteY22" fmla="*/ 268664 h 617016"/>
            <a:gd name="connsiteX23" fmla="*/ 190500 w 212271"/>
            <a:gd name="connsiteY23" fmla="*/ 219679 h 617016"/>
            <a:gd name="connsiteX24" fmla="*/ 185057 w 212271"/>
            <a:gd name="connsiteY24" fmla="*/ 176136 h 617016"/>
            <a:gd name="connsiteX25" fmla="*/ 155034 w 212271"/>
            <a:gd name="connsiteY25" fmla="*/ 127262 h 617016"/>
            <a:gd name="connsiteX26" fmla="*/ 140110 w 212271"/>
            <a:gd name="connsiteY26" fmla="*/ 80121 h 617016"/>
            <a:gd name="connsiteX27" fmla="*/ 114300 w 212271"/>
            <a:gd name="connsiteY27" fmla="*/ 18293 h 617016"/>
            <a:gd name="connsiteX28" fmla="*/ 97971 w 212271"/>
            <a:gd name="connsiteY28" fmla="*/ 12850 h 617016"/>
            <a:gd name="connsiteX29" fmla="*/ 76200 w 212271"/>
            <a:gd name="connsiteY29" fmla="*/ 1964 h 617016"/>
            <a:gd name="connsiteX0" fmla="*/ 76200 w 212271"/>
            <a:gd name="connsiteY0" fmla="*/ 1964 h 617016"/>
            <a:gd name="connsiteX1" fmla="*/ 48985 w 212271"/>
            <a:gd name="connsiteY1" fmla="*/ 56393 h 617016"/>
            <a:gd name="connsiteX2" fmla="*/ 32657 w 212271"/>
            <a:gd name="connsiteY2" fmla="*/ 99936 h 617016"/>
            <a:gd name="connsiteX3" fmla="*/ 21771 w 212271"/>
            <a:gd name="connsiteY3" fmla="*/ 154364 h 617016"/>
            <a:gd name="connsiteX4" fmla="*/ 10885 w 212271"/>
            <a:gd name="connsiteY4" fmla="*/ 197907 h 617016"/>
            <a:gd name="connsiteX5" fmla="*/ 5442 w 212271"/>
            <a:gd name="connsiteY5" fmla="*/ 219679 h 617016"/>
            <a:gd name="connsiteX6" fmla="*/ 0 w 212271"/>
            <a:gd name="connsiteY6" fmla="*/ 257779 h 617016"/>
            <a:gd name="connsiteX7" fmla="*/ 5442 w 212271"/>
            <a:gd name="connsiteY7" fmla="*/ 421064 h 617016"/>
            <a:gd name="connsiteX8" fmla="*/ 10885 w 212271"/>
            <a:gd name="connsiteY8" fmla="*/ 437393 h 617016"/>
            <a:gd name="connsiteX9" fmla="*/ 27214 w 212271"/>
            <a:gd name="connsiteY9" fmla="*/ 491821 h 617016"/>
            <a:gd name="connsiteX10" fmla="*/ 43542 w 212271"/>
            <a:gd name="connsiteY10" fmla="*/ 546250 h 617016"/>
            <a:gd name="connsiteX11" fmla="*/ 54428 w 212271"/>
            <a:gd name="connsiteY11" fmla="*/ 562579 h 617016"/>
            <a:gd name="connsiteX12" fmla="*/ 79941 w 212271"/>
            <a:gd name="connsiteY12" fmla="*/ 597151 h 617016"/>
            <a:gd name="connsiteX13" fmla="*/ 120423 w 212271"/>
            <a:gd name="connsiteY13" fmla="*/ 598428 h 617016"/>
            <a:gd name="connsiteX14" fmla="*/ 152400 w 212271"/>
            <a:gd name="connsiteY14" fmla="*/ 617007 h 617016"/>
            <a:gd name="connsiteX15" fmla="*/ 163285 w 212271"/>
            <a:gd name="connsiteY15" fmla="*/ 600679 h 617016"/>
            <a:gd name="connsiteX16" fmla="*/ 185057 w 212271"/>
            <a:gd name="connsiteY16" fmla="*/ 551693 h 617016"/>
            <a:gd name="connsiteX17" fmla="*/ 190500 w 212271"/>
            <a:gd name="connsiteY17" fmla="*/ 535364 h 617016"/>
            <a:gd name="connsiteX18" fmla="*/ 195942 w 212271"/>
            <a:gd name="connsiteY18" fmla="*/ 437393 h 617016"/>
            <a:gd name="connsiteX19" fmla="*/ 201385 w 212271"/>
            <a:gd name="connsiteY19" fmla="*/ 421064 h 617016"/>
            <a:gd name="connsiteX20" fmla="*/ 212271 w 212271"/>
            <a:gd name="connsiteY20" fmla="*/ 393850 h 617016"/>
            <a:gd name="connsiteX21" fmla="*/ 206828 w 212271"/>
            <a:gd name="connsiteY21" fmla="*/ 284993 h 617016"/>
            <a:gd name="connsiteX22" fmla="*/ 195942 w 212271"/>
            <a:gd name="connsiteY22" fmla="*/ 268664 h 617016"/>
            <a:gd name="connsiteX23" fmla="*/ 190500 w 212271"/>
            <a:gd name="connsiteY23" fmla="*/ 219679 h 617016"/>
            <a:gd name="connsiteX24" fmla="*/ 185057 w 212271"/>
            <a:gd name="connsiteY24" fmla="*/ 176136 h 617016"/>
            <a:gd name="connsiteX25" fmla="*/ 155034 w 212271"/>
            <a:gd name="connsiteY25" fmla="*/ 127262 h 617016"/>
            <a:gd name="connsiteX26" fmla="*/ 140110 w 212271"/>
            <a:gd name="connsiteY26" fmla="*/ 80121 h 617016"/>
            <a:gd name="connsiteX27" fmla="*/ 114300 w 212271"/>
            <a:gd name="connsiteY27" fmla="*/ 18293 h 617016"/>
            <a:gd name="connsiteX28" fmla="*/ 97971 w 212271"/>
            <a:gd name="connsiteY28" fmla="*/ 12850 h 617016"/>
            <a:gd name="connsiteX29" fmla="*/ 76200 w 212271"/>
            <a:gd name="connsiteY29" fmla="*/ 1964 h 617016"/>
            <a:gd name="connsiteX0" fmla="*/ 76200 w 212271"/>
            <a:gd name="connsiteY0" fmla="*/ 1964 h 600850"/>
            <a:gd name="connsiteX1" fmla="*/ 48985 w 212271"/>
            <a:gd name="connsiteY1" fmla="*/ 56393 h 600850"/>
            <a:gd name="connsiteX2" fmla="*/ 32657 w 212271"/>
            <a:gd name="connsiteY2" fmla="*/ 99936 h 600850"/>
            <a:gd name="connsiteX3" fmla="*/ 21771 w 212271"/>
            <a:gd name="connsiteY3" fmla="*/ 154364 h 600850"/>
            <a:gd name="connsiteX4" fmla="*/ 10885 w 212271"/>
            <a:gd name="connsiteY4" fmla="*/ 197907 h 600850"/>
            <a:gd name="connsiteX5" fmla="*/ 5442 w 212271"/>
            <a:gd name="connsiteY5" fmla="*/ 219679 h 600850"/>
            <a:gd name="connsiteX6" fmla="*/ 0 w 212271"/>
            <a:gd name="connsiteY6" fmla="*/ 257779 h 600850"/>
            <a:gd name="connsiteX7" fmla="*/ 5442 w 212271"/>
            <a:gd name="connsiteY7" fmla="*/ 421064 h 600850"/>
            <a:gd name="connsiteX8" fmla="*/ 10885 w 212271"/>
            <a:gd name="connsiteY8" fmla="*/ 437393 h 600850"/>
            <a:gd name="connsiteX9" fmla="*/ 27214 w 212271"/>
            <a:gd name="connsiteY9" fmla="*/ 491821 h 600850"/>
            <a:gd name="connsiteX10" fmla="*/ 43542 w 212271"/>
            <a:gd name="connsiteY10" fmla="*/ 546250 h 600850"/>
            <a:gd name="connsiteX11" fmla="*/ 54428 w 212271"/>
            <a:gd name="connsiteY11" fmla="*/ 562579 h 600850"/>
            <a:gd name="connsiteX12" fmla="*/ 79941 w 212271"/>
            <a:gd name="connsiteY12" fmla="*/ 597151 h 600850"/>
            <a:gd name="connsiteX13" fmla="*/ 120423 w 212271"/>
            <a:gd name="connsiteY13" fmla="*/ 598428 h 600850"/>
            <a:gd name="connsiteX14" fmla="*/ 147638 w 212271"/>
            <a:gd name="connsiteY14" fmla="*/ 568962 h 600850"/>
            <a:gd name="connsiteX15" fmla="*/ 163285 w 212271"/>
            <a:gd name="connsiteY15" fmla="*/ 600679 h 600850"/>
            <a:gd name="connsiteX16" fmla="*/ 185057 w 212271"/>
            <a:gd name="connsiteY16" fmla="*/ 551693 h 600850"/>
            <a:gd name="connsiteX17" fmla="*/ 190500 w 212271"/>
            <a:gd name="connsiteY17" fmla="*/ 535364 h 600850"/>
            <a:gd name="connsiteX18" fmla="*/ 195942 w 212271"/>
            <a:gd name="connsiteY18" fmla="*/ 437393 h 600850"/>
            <a:gd name="connsiteX19" fmla="*/ 201385 w 212271"/>
            <a:gd name="connsiteY19" fmla="*/ 421064 h 600850"/>
            <a:gd name="connsiteX20" fmla="*/ 212271 w 212271"/>
            <a:gd name="connsiteY20" fmla="*/ 393850 h 600850"/>
            <a:gd name="connsiteX21" fmla="*/ 206828 w 212271"/>
            <a:gd name="connsiteY21" fmla="*/ 284993 h 600850"/>
            <a:gd name="connsiteX22" fmla="*/ 195942 w 212271"/>
            <a:gd name="connsiteY22" fmla="*/ 268664 h 600850"/>
            <a:gd name="connsiteX23" fmla="*/ 190500 w 212271"/>
            <a:gd name="connsiteY23" fmla="*/ 219679 h 600850"/>
            <a:gd name="connsiteX24" fmla="*/ 185057 w 212271"/>
            <a:gd name="connsiteY24" fmla="*/ 176136 h 600850"/>
            <a:gd name="connsiteX25" fmla="*/ 155034 w 212271"/>
            <a:gd name="connsiteY25" fmla="*/ 127262 h 600850"/>
            <a:gd name="connsiteX26" fmla="*/ 140110 w 212271"/>
            <a:gd name="connsiteY26" fmla="*/ 80121 h 600850"/>
            <a:gd name="connsiteX27" fmla="*/ 114300 w 212271"/>
            <a:gd name="connsiteY27" fmla="*/ 18293 h 600850"/>
            <a:gd name="connsiteX28" fmla="*/ 97971 w 212271"/>
            <a:gd name="connsiteY28" fmla="*/ 12850 h 600850"/>
            <a:gd name="connsiteX29" fmla="*/ 76200 w 212271"/>
            <a:gd name="connsiteY29" fmla="*/ 1964 h 600850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85057 w 212271"/>
            <a:gd name="connsiteY16" fmla="*/ 551693 h 600124"/>
            <a:gd name="connsiteX17" fmla="*/ 190500 w 212271"/>
            <a:gd name="connsiteY17" fmla="*/ 535364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90500 w 212271"/>
            <a:gd name="connsiteY17" fmla="*/ 535364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69069 w 212271"/>
            <a:gd name="connsiteY17" fmla="*/ 484917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69069 w 212271"/>
            <a:gd name="connsiteY17" fmla="*/ 484917 h 600124"/>
            <a:gd name="connsiteX18" fmla="*/ 195942 w 212271"/>
            <a:gd name="connsiteY18" fmla="*/ 437393 h 600124"/>
            <a:gd name="connsiteX19" fmla="*/ 187097 w 212271"/>
            <a:gd name="connsiteY19" fmla="*/ 418661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06878"/>
            <a:gd name="connsiteY0" fmla="*/ 1964 h 600124"/>
            <a:gd name="connsiteX1" fmla="*/ 48985 w 206878"/>
            <a:gd name="connsiteY1" fmla="*/ 56393 h 600124"/>
            <a:gd name="connsiteX2" fmla="*/ 32657 w 206878"/>
            <a:gd name="connsiteY2" fmla="*/ 99936 h 600124"/>
            <a:gd name="connsiteX3" fmla="*/ 21771 w 206878"/>
            <a:gd name="connsiteY3" fmla="*/ 154364 h 600124"/>
            <a:gd name="connsiteX4" fmla="*/ 10885 w 206878"/>
            <a:gd name="connsiteY4" fmla="*/ 197907 h 600124"/>
            <a:gd name="connsiteX5" fmla="*/ 5442 w 206878"/>
            <a:gd name="connsiteY5" fmla="*/ 219679 h 600124"/>
            <a:gd name="connsiteX6" fmla="*/ 0 w 206878"/>
            <a:gd name="connsiteY6" fmla="*/ 257779 h 600124"/>
            <a:gd name="connsiteX7" fmla="*/ 5442 w 206878"/>
            <a:gd name="connsiteY7" fmla="*/ 421064 h 600124"/>
            <a:gd name="connsiteX8" fmla="*/ 10885 w 206878"/>
            <a:gd name="connsiteY8" fmla="*/ 437393 h 600124"/>
            <a:gd name="connsiteX9" fmla="*/ 27214 w 206878"/>
            <a:gd name="connsiteY9" fmla="*/ 491821 h 600124"/>
            <a:gd name="connsiteX10" fmla="*/ 43542 w 206878"/>
            <a:gd name="connsiteY10" fmla="*/ 546250 h 600124"/>
            <a:gd name="connsiteX11" fmla="*/ 54428 w 206878"/>
            <a:gd name="connsiteY11" fmla="*/ 562579 h 600124"/>
            <a:gd name="connsiteX12" fmla="*/ 79941 w 206878"/>
            <a:gd name="connsiteY12" fmla="*/ 597151 h 600124"/>
            <a:gd name="connsiteX13" fmla="*/ 120423 w 206878"/>
            <a:gd name="connsiteY13" fmla="*/ 598428 h 600124"/>
            <a:gd name="connsiteX14" fmla="*/ 147638 w 206878"/>
            <a:gd name="connsiteY14" fmla="*/ 568962 h 600124"/>
            <a:gd name="connsiteX15" fmla="*/ 156142 w 206878"/>
            <a:gd name="connsiteY15" fmla="*/ 547829 h 600124"/>
            <a:gd name="connsiteX16" fmla="*/ 168389 w 206878"/>
            <a:gd name="connsiteY16" fmla="*/ 520464 h 600124"/>
            <a:gd name="connsiteX17" fmla="*/ 169069 w 206878"/>
            <a:gd name="connsiteY17" fmla="*/ 484917 h 600124"/>
            <a:gd name="connsiteX18" fmla="*/ 195942 w 206878"/>
            <a:gd name="connsiteY18" fmla="*/ 437393 h 600124"/>
            <a:gd name="connsiteX19" fmla="*/ 187097 w 206878"/>
            <a:gd name="connsiteY19" fmla="*/ 418661 h 600124"/>
            <a:gd name="connsiteX20" fmla="*/ 190840 w 206878"/>
            <a:gd name="connsiteY20" fmla="*/ 367425 h 600124"/>
            <a:gd name="connsiteX21" fmla="*/ 206828 w 206878"/>
            <a:gd name="connsiteY21" fmla="*/ 284993 h 600124"/>
            <a:gd name="connsiteX22" fmla="*/ 195942 w 206878"/>
            <a:gd name="connsiteY22" fmla="*/ 268664 h 600124"/>
            <a:gd name="connsiteX23" fmla="*/ 190500 w 206878"/>
            <a:gd name="connsiteY23" fmla="*/ 219679 h 600124"/>
            <a:gd name="connsiteX24" fmla="*/ 185057 w 206878"/>
            <a:gd name="connsiteY24" fmla="*/ 176136 h 600124"/>
            <a:gd name="connsiteX25" fmla="*/ 155034 w 206878"/>
            <a:gd name="connsiteY25" fmla="*/ 127262 h 600124"/>
            <a:gd name="connsiteX26" fmla="*/ 140110 w 206878"/>
            <a:gd name="connsiteY26" fmla="*/ 80121 h 600124"/>
            <a:gd name="connsiteX27" fmla="*/ 114300 w 206878"/>
            <a:gd name="connsiteY27" fmla="*/ 18293 h 600124"/>
            <a:gd name="connsiteX28" fmla="*/ 97971 w 206878"/>
            <a:gd name="connsiteY28" fmla="*/ 12850 h 600124"/>
            <a:gd name="connsiteX29" fmla="*/ 76200 w 206878"/>
            <a:gd name="connsiteY29" fmla="*/ 1964 h 600124"/>
            <a:gd name="connsiteX0" fmla="*/ 76200 w 206878"/>
            <a:gd name="connsiteY0" fmla="*/ 1964 h 600124"/>
            <a:gd name="connsiteX1" fmla="*/ 48985 w 206878"/>
            <a:gd name="connsiteY1" fmla="*/ 56393 h 600124"/>
            <a:gd name="connsiteX2" fmla="*/ 32657 w 206878"/>
            <a:gd name="connsiteY2" fmla="*/ 99936 h 600124"/>
            <a:gd name="connsiteX3" fmla="*/ 21771 w 206878"/>
            <a:gd name="connsiteY3" fmla="*/ 154364 h 600124"/>
            <a:gd name="connsiteX4" fmla="*/ 10885 w 206878"/>
            <a:gd name="connsiteY4" fmla="*/ 197907 h 600124"/>
            <a:gd name="connsiteX5" fmla="*/ 5442 w 206878"/>
            <a:gd name="connsiteY5" fmla="*/ 219679 h 600124"/>
            <a:gd name="connsiteX6" fmla="*/ 0 w 206878"/>
            <a:gd name="connsiteY6" fmla="*/ 257779 h 600124"/>
            <a:gd name="connsiteX7" fmla="*/ 5442 w 206878"/>
            <a:gd name="connsiteY7" fmla="*/ 421064 h 600124"/>
            <a:gd name="connsiteX8" fmla="*/ 10885 w 206878"/>
            <a:gd name="connsiteY8" fmla="*/ 437393 h 600124"/>
            <a:gd name="connsiteX9" fmla="*/ 27214 w 206878"/>
            <a:gd name="connsiteY9" fmla="*/ 491821 h 600124"/>
            <a:gd name="connsiteX10" fmla="*/ 43542 w 206878"/>
            <a:gd name="connsiteY10" fmla="*/ 546250 h 600124"/>
            <a:gd name="connsiteX11" fmla="*/ 54428 w 206878"/>
            <a:gd name="connsiteY11" fmla="*/ 562579 h 600124"/>
            <a:gd name="connsiteX12" fmla="*/ 79941 w 206878"/>
            <a:gd name="connsiteY12" fmla="*/ 597151 h 600124"/>
            <a:gd name="connsiteX13" fmla="*/ 120423 w 206878"/>
            <a:gd name="connsiteY13" fmla="*/ 598428 h 600124"/>
            <a:gd name="connsiteX14" fmla="*/ 147638 w 206878"/>
            <a:gd name="connsiteY14" fmla="*/ 568962 h 600124"/>
            <a:gd name="connsiteX15" fmla="*/ 156142 w 206878"/>
            <a:gd name="connsiteY15" fmla="*/ 547829 h 600124"/>
            <a:gd name="connsiteX16" fmla="*/ 168389 w 206878"/>
            <a:gd name="connsiteY16" fmla="*/ 520464 h 600124"/>
            <a:gd name="connsiteX17" fmla="*/ 169069 w 206878"/>
            <a:gd name="connsiteY17" fmla="*/ 484917 h 600124"/>
            <a:gd name="connsiteX18" fmla="*/ 179274 w 206878"/>
            <a:gd name="connsiteY18" fmla="*/ 439796 h 600124"/>
            <a:gd name="connsiteX19" fmla="*/ 187097 w 206878"/>
            <a:gd name="connsiteY19" fmla="*/ 418661 h 600124"/>
            <a:gd name="connsiteX20" fmla="*/ 190840 w 206878"/>
            <a:gd name="connsiteY20" fmla="*/ 367425 h 600124"/>
            <a:gd name="connsiteX21" fmla="*/ 206828 w 206878"/>
            <a:gd name="connsiteY21" fmla="*/ 284993 h 600124"/>
            <a:gd name="connsiteX22" fmla="*/ 195942 w 206878"/>
            <a:gd name="connsiteY22" fmla="*/ 268664 h 600124"/>
            <a:gd name="connsiteX23" fmla="*/ 190500 w 206878"/>
            <a:gd name="connsiteY23" fmla="*/ 219679 h 600124"/>
            <a:gd name="connsiteX24" fmla="*/ 185057 w 206878"/>
            <a:gd name="connsiteY24" fmla="*/ 176136 h 600124"/>
            <a:gd name="connsiteX25" fmla="*/ 155034 w 206878"/>
            <a:gd name="connsiteY25" fmla="*/ 127262 h 600124"/>
            <a:gd name="connsiteX26" fmla="*/ 140110 w 206878"/>
            <a:gd name="connsiteY26" fmla="*/ 80121 h 600124"/>
            <a:gd name="connsiteX27" fmla="*/ 114300 w 206878"/>
            <a:gd name="connsiteY27" fmla="*/ 18293 h 600124"/>
            <a:gd name="connsiteX28" fmla="*/ 97971 w 206878"/>
            <a:gd name="connsiteY28" fmla="*/ 12850 h 600124"/>
            <a:gd name="connsiteX29" fmla="*/ 76200 w 206878"/>
            <a:gd name="connsiteY29" fmla="*/ 1964 h 600124"/>
            <a:gd name="connsiteX0" fmla="*/ 76200 w 195942"/>
            <a:gd name="connsiteY0" fmla="*/ 1964 h 600124"/>
            <a:gd name="connsiteX1" fmla="*/ 48985 w 195942"/>
            <a:gd name="connsiteY1" fmla="*/ 56393 h 600124"/>
            <a:gd name="connsiteX2" fmla="*/ 32657 w 195942"/>
            <a:gd name="connsiteY2" fmla="*/ 99936 h 600124"/>
            <a:gd name="connsiteX3" fmla="*/ 21771 w 195942"/>
            <a:gd name="connsiteY3" fmla="*/ 154364 h 600124"/>
            <a:gd name="connsiteX4" fmla="*/ 10885 w 195942"/>
            <a:gd name="connsiteY4" fmla="*/ 197907 h 600124"/>
            <a:gd name="connsiteX5" fmla="*/ 5442 w 195942"/>
            <a:gd name="connsiteY5" fmla="*/ 219679 h 600124"/>
            <a:gd name="connsiteX6" fmla="*/ 0 w 195942"/>
            <a:gd name="connsiteY6" fmla="*/ 257779 h 600124"/>
            <a:gd name="connsiteX7" fmla="*/ 5442 w 195942"/>
            <a:gd name="connsiteY7" fmla="*/ 421064 h 600124"/>
            <a:gd name="connsiteX8" fmla="*/ 10885 w 195942"/>
            <a:gd name="connsiteY8" fmla="*/ 437393 h 600124"/>
            <a:gd name="connsiteX9" fmla="*/ 27214 w 195942"/>
            <a:gd name="connsiteY9" fmla="*/ 491821 h 600124"/>
            <a:gd name="connsiteX10" fmla="*/ 43542 w 195942"/>
            <a:gd name="connsiteY10" fmla="*/ 546250 h 600124"/>
            <a:gd name="connsiteX11" fmla="*/ 54428 w 195942"/>
            <a:gd name="connsiteY11" fmla="*/ 562579 h 600124"/>
            <a:gd name="connsiteX12" fmla="*/ 79941 w 195942"/>
            <a:gd name="connsiteY12" fmla="*/ 597151 h 600124"/>
            <a:gd name="connsiteX13" fmla="*/ 120423 w 195942"/>
            <a:gd name="connsiteY13" fmla="*/ 598428 h 600124"/>
            <a:gd name="connsiteX14" fmla="*/ 147638 w 195942"/>
            <a:gd name="connsiteY14" fmla="*/ 568962 h 600124"/>
            <a:gd name="connsiteX15" fmla="*/ 156142 w 195942"/>
            <a:gd name="connsiteY15" fmla="*/ 547829 h 600124"/>
            <a:gd name="connsiteX16" fmla="*/ 168389 w 195942"/>
            <a:gd name="connsiteY16" fmla="*/ 520464 h 600124"/>
            <a:gd name="connsiteX17" fmla="*/ 169069 w 195942"/>
            <a:gd name="connsiteY17" fmla="*/ 484917 h 600124"/>
            <a:gd name="connsiteX18" fmla="*/ 179274 w 195942"/>
            <a:gd name="connsiteY18" fmla="*/ 439796 h 600124"/>
            <a:gd name="connsiteX19" fmla="*/ 187097 w 195942"/>
            <a:gd name="connsiteY19" fmla="*/ 418661 h 600124"/>
            <a:gd name="connsiteX20" fmla="*/ 190840 w 195942"/>
            <a:gd name="connsiteY20" fmla="*/ 367425 h 600124"/>
            <a:gd name="connsiteX21" fmla="*/ 190159 w 195942"/>
            <a:gd name="connsiteY21" fmla="*/ 311418 h 600124"/>
            <a:gd name="connsiteX22" fmla="*/ 195942 w 195942"/>
            <a:gd name="connsiteY22" fmla="*/ 268664 h 600124"/>
            <a:gd name="connsiteX23" fmla="*/ 190500 w 195942"/>
            <a:gd name="connsiteY23" fmla="*/ 219679 h 600124"/>
            <a:gd name="connsiteX24" fmla="*/ 185057 w 195942"/>
            <a:gd name="connsiteY24" fmla="*/ 176136 h 600124"/>
            <a:gd name="connsiteX25" fmla="*/ 155034 w 195942"/>
            <a:gd name="connsiteY25" fmla="*/ 127262 h 600124"/>
            <a:gd name="connsiteX26" fmla="*/ 140110 w 195942"/>
            <a:gd name="connsiteY26" fmla="*/ 80121 h 600124"/>
            <a:gd name="connsiteX27" fmla="*/ 114300 w 195942"/>
            <a:gd name="connsiteY27" fmla="*/ 18293 h 600124"/>
            <a:gd name="connsiteX28" fmla="*/ 97971 w 195942"/>
            <a:gd name="connsiteY28" fmla="*/ 12850 h 600124"/>
            <a:gd name="connsiteX29" fmla="*/ 76200 w 195942"/>
            <a:gd name="connsiteY29" fmla="*/ 1964 h 600124"/>
            <a:gd name="connsiteX0" fmla="*/ 76200 w 196398"/>
            <a:gd name="connsiteY0" fmla="*/ 1964 h 600124"/>
            <a:gd name="connsiteX1" fmla="*/ 48985 w 196398"/>
            <a:gd name="connsiteY1" fmla="*/ 56393 h 600124"/>
            <a:gd name="connsiteX2" fmla="*/ 32657 w 196398"/>
            <a:gd name="connsiteY2" fmla="*/ 99936 h 600124"/>
            <a:gd name="connsiteX3" fmla="*/ 21771 w 196398"/>
            <a:gd name="connsiteY3" fmla="*/ 154364 h 600124"/>
            <a:gd name="connsiteX4" fmla="*/ 10885 w 196398"/>
            <a:gd name="connsiteY4" fmla="*/ 197907 h 600124"/>
            <a:gd name="connsiteX5" fmla="*/ 5442 w 196398"/>
            <a:gd name="connsiteY5" fmla="*/ 219679 h 600124"/>
            <a:gd name="connsiteX6" fmla="*/ 0 w 196398"/>
            <a:gd name="connsiteY6" fmla="*/ 257779 h 600124"/>
            <a:gd name="connsiteX7" fmla="*/ 5442 w 196398"/>
            <a:gd name="connsiteY7" fmla="*/ 421064 h 600124"/>
            <a:gd name="connsiteX8" fmla="*/ 10885 w 196398"/>
            <a:gd name="connsiteY8" fmla="*/ 437393 h 600124"/>
            <a:gd name="connsiteX9" fmla="*/ 27214 w 196398"/>
            <a:gd name="connsiteY9" fmla="*/ 491821 h 600124"/>
            <a:gd name="connsiteX10" fmla="*/ 43542 w 196398"/>
            <a:gd name="connsiteY10" fmla="*/ 546250 h 600124"/>
            <a:gd name="connsiteX11" fmla="*/ 54428 w 196398"/>
            <a:gd name="connsiteY11" fmla="*/ 562579 h 600124"/>
            <a:gd name="connsiteX12" fmla="*/ 79941 w 196398"/>
            <a:gd name="connsiteY12" fmla="*/ 597151 h 600124"/>
            <a:gd name="connsiteX13" fmla="*/ 120423 w 196398"/>
            <a:gd name="connsiteY13" fmla="*/ 598428 h 600124"/>
            <a:gd name="connsiteX14" fmla="*/ 147638 w 196398"/>
            <a:gd name="connsiteY14" fmla="*/ 568962 h 600124"/>
            <a:gd name="connsiteX15" fmla="*/ 156142 w 196398"/>
            <a:gd name="connsiteY15" fmla="*/ 547829 h 600124"/>
            <a:gd name="connsiteX16" fmla="*/ 168389 w 196398"/>
            <a:gd name="connsiteY16" fmla="*/ 520464 h 600124"/>
            <a:gd name="connsiteX17" fmla="*/ 169069 w 196398"/>
            <a:gd name="connsiteY17" fmla="*/ 484917 h 600124"/>
            <a:gd name="connsiteX18" fmla="*/ 179274 w 196398"/>
            <a:gd name="connsiteY18" fmla="*/ 439796 h 600124"/>
            <a:gd name="connsiteX19" fmla="*/ 187097 w 196398"/>
            <a:gd name="connsiteY19" fmla="*/ 418661 h 600124"/>
            <a:gd name="connsiteX20" fmla="*/ 190840 w 196398"/>
            <a:gd name="connsiteY20" fmla="*/ 367425 h 600124"/>
            <a:gd name="connsiteX21" fmla="*/ 190159 w 196398"/>
            <a:gd name="connsiteY21" fmla="*/ 311418 h 600124"/>
            <a:gd name="connsiteX22" fmla="*/ 195942 w 196398"/>
            <a:gd name="connsiteY22" fmla="*/ 268664 h 600124"/>
            <a:gd name="connsiteX23" fmla="*/ 176212 w 196398"/>
            <a:gd name="connsiteY23" fmla="*/ 222082 h 600124"/>
            <a:gd name="connsiteX24" fmla="*/ 185057 w 196398"/>
            <a:gd name="connsiteY24" fmla="*/ 176136 h 600124"/>
            <a:gd name="connsiteX25" fmla="*/ 155034 w 196398"/>
            <a:gd name="connsiteY25" fmla="*/ 127262 h 600124"/>
            <a:gd name="connsiteX26" fmla="*/ 140110 w 196398"/>
            <a:gd name="connsiteY26" fmla="*/ 80121 h 600124"/>
            <a:gd name="connsiteX27" fmla="*/ 114300 w 196398"/>
            <a:gd name="connsiteY27" fmla="*/ 18293 h 600124"/>
            <a:gd name="connsiteX28" fmla="*/ 97971 w 196398"/>
            <a:gd name="connsiteY28" fmla="*/ 12850 h 600124"/>
            <a:gd name="connsiteX29" fmla="*/ 76200 w 196398"/>
            <a:gd name="connsiteY29" fmla="*/ 1964 h 600124"/>
            <a:gd name="connsiteX0" fmla="*/ 76200 w 196398"/>
            <a:gd name="connsiteY0" fmla="*/ 1964 h 600124"/>
            <a:gd name="connsiteX1" fmla="*/ 48985 w 196398"/>
            <a:gd name="connsiteY1" fmla="*/ 56393 h 600124"/>
            <a:gd name="connsiteX2" fmla="*/ 32657 w 196398"/>
            <a:gd name="connsiteY2" fmla="*/ 99936 h 600124"/>
            <a:gd name="connsiteX3" fmla="*/ 21771 w 196398"/>
            <a:gd name="connsiteY3" fmla="*/ 154364 h 600124"/>
            <a:gd name="connsiteX4" fmla="*/ 10885 w 196398"/>
            <a:gd name="connsiteY4" fmla="*/ 197907 h 600124"/>
            <a:gd name="connsiteX5" fmla="*/ 5442 w 196398"/>
            <a:gd name="connsiteY5" fmla="*/ 219679 h 600124"/>
            <a:gd name="connsiteX6" fmla="*/ 0 w 196398"/>
            <a:gd name="connsiteY6" fmla="*/ 257779 h 600124"/>
            <a:gd name="connsiteX7" fmla="*/ 5442 w 196398"/>
            <a:gd name="connsiteY7" fmla="*/ 421064 h 600124"/>
            <a:gd name="connsiteX8" fmla="*/ 10885 w 196398"/>
            <a:gd name="connsiteY8" fmla="*/ 437393 h 600124"/>
            <a:gd name="connsiteX9" fmla="*/ 27214 w 196398"/>
            <a:gd name="connsiteY9" fmla="*/ 491821 h 600124"/>
            <a:gd name="connsiteX10" fmla="*/ 43542 w 196398"/>
            <a:gd name="connsiteY10" fmla="*/ 546250 h 600124"/>
            <a:gd name="connsiteX11" fmla="*/ 54428 w 196398"/>
            <a:gd name="connsiteY11" fmla="*/ 562579 h 600124"/>
            <a:gd name="connsiteX12" fmla="*/ 79941 w 196398"/>
            <a:gd name="connsiteY12" fmla="*/ 597151 h 600124"/>
            <a:gd name="connsiteX13" fmla="*/ 120423 w 196398"/>
            <a:gd name="connsiteY13" fmla="*/ 598428 h 600124"/>
            <a:gd name="connsiteX14" fmla="*/ 147638 w 196398"/>
            <a:gd name="connsiteY14" fmla="*/ 568962 h 600124"/>
            <a:gd name="connsiteX15" fmla="*/ 156142 w 196398"/>
            <a:gd name="connsiteY15" fmla="*/ 547829 h 600124"/>
            <a:gd name="connsiteX16" fmla="*/ 168389 w 196398"/>
            <a:gd name="connsiteY16" fmla="*/ 520464 h 600124"/>
            <a:gd name="connsiteX17" fmla="*/ 169069 w 196398"/>
            <a:gd name="connsiteY17" fmla="*/ 484917 h 600124"/>
            <a:gd name="connsiteX18" fmla="*/ 179274 w 196398"/>
            <a:gd name="connsiteY18" fmla="*/ 439796 h 600124"/>
            <a:gd name="connsiteX19" fmla="*/ 187097 w 196398"/>
            <a:gd name="connsiteY19" fmla="*/ 418661 h 600124"/>
            <a:gd name="connsiteX20" fmla="*/ 190840 w 196398"/>
            <a:gd name="connsiteY20" fmla="*/ 367425 h 600124"/>
            <a:gd name="connsiteX21" fmla="*/ 190159 w 196398"/>
            <a:gd name="connsiteY21" fmla="*/ 311418 h 600124"/>
            <a:gd name="connsiteX22" fmla="*/ 195942 w 196398"/>
            <a:gd name="connsiteY22" fmla="*/ 268664 h 600124"/>
            <a:gd name="connsiteX23" fmla="*/ 176212 w 196398"/>
            <a:gd name="connsiteY23" fmla="*/ 222082 h 600124"/>
            <a:gd name="connsiteX24" fmla="*/ 163626 w 196398"/>
            <a:gd name="connsiteY24" fmla="*/ 171331 h 600124"/>
            <a:gd name="connsiteX25" fmla="*/ 155034 w 196398"/>
            <a:gd name="connsiteY25" fmla="*/ 127262 h 600124"/>
            <a:gd name="connsiteX26" fmla="*/ 140110 w 196398"/>
            <a:gd name="connsiteY26" fmla="*/ 80121 h 600124"/>
            <a:gd name="connsiteX27" fmla="*/ 114300 w 196398"/>
            <a:gd name="connsiteY27" fmla="*/ 18293 h 600124"/>
            <a:gd name="connsiteX28" fmla="*/ 97971 w 196398"/>
            <a:gd name="connsiteY28" fmla="*/ 12850 h 600124"/>
            <a:gd name="connsiteX29" fmla="*/ 76200 w 196398"/>
            <a:gd name="connsiteY29" fmla="*/ 1964 h 600124"/>
            <a:gd name="connsiteX0" fmla="*/ 76200 w 190840"/>
            <a:gd name="connsiteY0" fmla="*/ 1964 h 600124"/>
            <a:gd name="connsiteX1" fmla="*/ 48985 w 190840"/>
            <a:gd name="connsiteY1" fmla="*/ 56393 h 600124"/>
            <a:gd name="connsiteX2" fmla="*/ 32657 w 190840"/>
            <a:gd name="connsiteY2" fmla="*/ 99936 h 600124"/>
            <a:gd name="connsiteX3" fmla="*/ 21771 w 190840"/>
            <a:gd name="connsiteY3" fmla="*/ 154364 h 600124"/>
            <a:gd name="connsiteX4" fmla="*/ 10885 w 190840"/>
            <a:gd name="connsiteY4" fmla="*/ 197907 h 600124"/>
            <a:gd name="connsiteX5" fmla="*/ 5442 w 190840"/>
            <a:gd name="connsiteY5" fmla="*/ 219679 h 600124"/>
            <a:gd name="connsiteX6" fmla="*/ 0 w 190840"/>
            <a:gd name="connsiteY6" fmla="*/ 257779 h 600124"/>
            <a:gd name="connsiteX7" fmla="*/ 5442 w 190840"/>
            <a:gd name="connsiteY7" fmla="*/ 421064 h 600124"/>
            <a:gd name="connsiteX8" fmla="*/ 10885 w 190840"/>
            <a:gd name="connsiteY8" fmla="*/ 437393 h 600124"/>
            <a:gd name="connsiteX9" fmla="*/ 27214 w 190840"/>
            <a:gd name="connsiteY9" fmla="*/ 491821 h 600124"/>
            <a:gd name="connsiteX10" fmla="*/ 43542 w 190840"/>
            <a:gd name="connsiteY10" fmla="*/ 546250 h 600124"/>
            <a:gd name="connsiteX11" fmla="*/ 54428 w 190840"/>
            <a:gd name="connsiteY11" fmla="*/ 562579 h 600124"/>
            <a:gd name="connsiteX12" fmla="*/ 79941 w 190840"/>
            <a:gd name="connsiteY12" fmla="*/ 597151 h 600124"/>
            <a:gd name="connsiteX13" fmla="*/ 120423 w 190840"/>
            <a:gd name="connsiteY13" fmla="*/ 598428 h 600124"/>
            <a:gd name="connsiteX14" fmla="*/ 147638 w 190840"/>
            <a:gd name="connsiteY14" fmla="*/ 568962 h 600124"/>
            <a:gd name="connsiteX15" fmla="*/ 156142 w 190840"/>
            <a:gd name="connsiteY15" fmla="*/ 547829 h 600124"/>
            <a:gd name="connsiteX16" fmla="*/ 168389 w 190840"/>
            <a:gd name="connsiteY16" fmla="*/ 520464 h 600124"/>
            <a:gd name="connsiteX17" fmla="*/ 169069 w 190840"/>
            <a:gd name="connsiteY17" fmla="*/ 484917 h 600124"/>
            <a:gd name="connsiteX18" fmla="*/ 179274 w 190840"/>
            <a:gd name="connsiteY18" fmla="*/ 439796 h 600124"/>
            <a:gd name="connsiteX19" fmla="*/ 187097 w 190840"/>
            <a:gd name="connsiteY19" fmla="*/ 418661 h 600124"/>
            <a:gd name="connsiteX20" fmla="*/ 190840 w 190840"/>
            <a:gd name="connsiteY20" fmla="*/ 367425 h 600124"/>
            <a:gd name="connsiteX21" fmla="*/ 190159 w 190840"/>
            <a:gd name="connsiteY21" fmla="*/ 311418 h 600124"/>
            <a:gd name="connsiteX22" fmla="*/ 186417 w 190840"/>
            <a:gd name="connsiteY22" fmla="*/ 268664 h 600124"/>
            <a:gd name="connsiteX23" fmla="*/ 176212 w 190840"/>
            <a:gd name="connsiteY23" fmla="*/ 222082 h 600124"/>
            <a:gd name="connsiteX24" fmla="*/ 163626 w 190840"/>
            <a:gd name="connsiteY24" fmla="*/ 171331 h 600124"/>
            <a:gd name="connsiteX25" fmla="*/ 155034 w 190840"/>
            <a:gd name="connsiteY25" fmla="*/ 127262 h 600124"/>
            <a:gd name="connsiteX26" fmla="*/ 140110 w 190840"/>
            <a:gd name="connsiteY26" fmla="*/ 80121 h 600124"/>
            <a:gd name="connsiteX27" fmla="*/ 114300 w 190840"/>
            <a:gd name="connsiteY27" fmla="*/ 18293 h 600124"/>
            <a:gd name="connsiteX28" fmla="*/ 97971 w 190840"/>
            <a:gd name="connsiteY28" fmla="*/ 12850 h 600124"/>
            <a:gd name="connsiteX29" fmla="*/ 76200 w 190840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76212 w 192344"/>
            <a:gd name="connsiteY23" fmla="*/ 222082 h 600124"/>
            <a:gd name="connsiteX24" fmla="*/ 163626 w 192344"/>
            <a:gd name="connsiteY24" fmla="*/ 171331 h 600124"/>
            <a:gd name="connsiteX25" fmla="*/ 155034 w 192344"/>
            <a:gd name="connsiteY25" fmla="*/ 127262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63626 w 192344"/>
            <a:gd name="connsiteY24" fmla="*/ 171331 h 600124"/>
            <a:gd name="connsiteX25" fmla="*/ 155034 w 192344"/>
            <a:gd name="connsiteY25" fmla="*/ 127262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55034 w 192344"/>
            <a:gd name="connsiteY25" fmla="*/ 127262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39405 w 192344"/>
            <a:gd name="connsiteY25" fmla="*/ 110431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39405 w 192344"/>
            <a:gd name="connsiteY25" fmla="*/ 110431 h 600124"/>
            <a:gd name="connsiteX26" fmla="*/ 131062 w 192344"/>
            <a:gd name="connsiteY26" fmla="*/ 67174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39405 w 192344"/>
            <a:gd name="connsiteY25" fmla="*/ 110431 h 600124"/>
            <a:gd name="connsiteX26" fmla="*/ 131062 w 192344"/>
            <a:gd name="connsiteY26" fmla="*/ 67174 h 600124"/>
            <a:gd name="connsiteX27" fmla="*/ 112655 w 192344"/>
            <a:gd name="connsiteY27" fmla="*/ 23472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4623 h 602783"/>
            <a:gd name="connsiteX1" fmla="*/ 48985 w 192344"/>
            <a:gd name="connsiteY1" fmla="*/ 59052 h 602783"/>
            <a:gd name="connsiteX2" fmla="*/ 32657 w 192344"/>
            <a:gd name="connsiteY2" fmla="*/ 102595 h 602783"/>
            <a:gd name="connsiteX3" fmla="*/ 21771 w 192344"/>
            <a:gd name="connsiteY3" fmla="*/ 157023 h 602783"/>
            <a:gd name="connsiteX4" fmla="*/ 10885 w 192344"/>
            <a:gd name="connsiteY4" fmla="*/ 200566 h 602783"/>
            <a:gd name="connsiteX5" fmla="*/ 5442 w 192344"/>
            <a:gd name="connsiteY5" fmla="*/ 222338 h 602783"/>
            <a:gd name="connsiteX6" fmla="*/ 0 w 192344"/>
            <a:gd name="connsiteY6" fmla="*/ 260438 h 602783"/>
            <a:gd name="connsiteX7" fmla="*/ 5442 w 192344"/>
            <a:gd name="connsiteY7" fmla="*/ 423723 h 602783"/>
            <a:gd name="connsiteX8" fmla="*/ 10885 w 192344"/>
            <a:gd name="connsiteY8" fmla="*/ 440052 h 602783"/>
            <a:gd name="connsiteX9" fmla="*/ 27214 w 192344"/>
            <a:gd name="connsiteY9" fmla="*/ 494480 h 602783"/>
            <a:gd name="connsiteX10" fmla="*/ 43542 w 192344"/>
            <a:gd name="connsiteY10" fmla="*/ 548909 h 602783"/>
            <a:gd name="connsiteX11" fmla="*/ 54428 w 192344"/>
            <a:gd name="connsiteY11" fmla="*/ 565238 h 602783"/>
            <a:gd name="connsiteX12" fmla="*/ 79941 w 192344"/>
            <a:gd name="connsiteY12" fmla="*/ 599810 h 602783"/>
            <a:gd name="connsiteX13" fmla="*/ 120423 w 192344"/>
            <a:gd name="connsiteY13" fmla="*/ 601087 h 602783"/>
            <a:gd name="connsiteX14" fmla="*/ 147638 w 192344"/>
            <a:gd name="connsiteY14" fmla="*/ 571621 h 602783"/>
            <a:gd name="connsiteX15" fmla="*/ 156142 w 192344"/>
            <a:gd name="connsiteY15" fmla="*/ 550488 h 602783"/>
            <a:gd name="connsiteX16" fmla="*/ 168389 w 192344"/>
            <a:gd name="connsiteY16" fmla="*/ 523123 h 602783"/>
            <a:gd name="connsiteX17" fmla="*/ 169069 w 192344"/>
            <a:gd name="connsiteY17" fmla="*/ 487576 h 602783"/>
            <a:gd name="connsiteX18" fmla="*/ 179274 w 192344"/>
            <a:gd name="connsiteY18" fmla="*/ 442455 h 602783"/>
            <a:gd name="connsiteX19" fmla="*/ 187097 w 192344"/>
            <a:gd name="connsiteY19" fmla="*/ 421320 h 602783"/>
            <a:gd name="connsiteX20" fmla="*/ 190840 w 192344"/>
            <a:gd name="connsiteY20" fmla="*/ 370084 h 602783"/>
            <a:gd name="connsiteX21" fmla="*/ 190159 w 192344"/>
            <a:gd name="connsiteY21" fmla="*/ 314077 h 602783"/>
            <a:gd name="connsiteX22" fmla="*/ 158449 w 192344"/>
            <a:gd name="connsiteY22" fmla="*/ 277796 h 602783"/>
            <a:gd name="connsiteX23" fmla="*/ 151535 w 192344"/>
            <a:gd name="connsiteY23" fmla="*/ 215678 h 602783"/>
            <a:gd name="connsiteX24" fmla="*/ 143061 w 192344"/>
            <a:gd name="connsiteY24" fmla="*/ 162337 h 602783"/>
            <a:gd name="connsiteX25" fmla="*/ 139405 w 192344"/>
            <a:gd name="connsiteY25" fmla="*/ 113090 h 602783"/>
            <a:gd name="connsiteX26" fmla="*/ 131062 w 192344"/>
            <a:gd name="connsiteY26" fmla="*/ 69833 h 602783"/>
            <a:gd name="connsiteX27" fmla="*/ 112655 w 192344"/>
            <a:gd name="connsiteY27" fmla="*/ 26131 h 602783"/>
            <a:gd name="connsiteX28" fmla="*/ 100439 w 192344"/>
            <a:gd name="connsiteY28" fmla="*/ 5152 h 602783"/>
            <a:gd name="connsiteX29" fmla="*/ 76200 w 192344"/>
            <a:gd name="connsiteY29" fmla="*/ 4623 h 602783"/>
            <a:gd name="connsiteX0" fmla="*/ 76200 w 192344"/>
            <a:gd name="connsiteY0" fmla="*/ 4623 h 602783"/>
            <a:gd name="connsiteX1" fmla="*/ 48985 w 192344"/>
            <a:gd name="connsiteY1" fmla="*/ 59052 h 602783"/>
            <a:gd name="connsiteX2" fmla="*/ 32657 w 192344"/>
            <a:gd name="connsiteY2" fmla="*/ 102595 h 602783"/>
            <a:gd name="connsiteX3" fmla="*/ 21771 w 192344"/>
            <a:gd name="connsiteY3" fmla="*/ 157023 h 602783"/>
            <a:gd name="connsiteX4" fmla="*/ 10885 w 192344"/>
            <a:gd name="connsiteY4" fmla="*/ 200566 h 602783"/>
            <a:gd name="connsiteX5" fmla="*/ 5442 w 192344"/>
            <a:gd name="connsiteY5" fmla="*/ 222338 h 602783"/>
            <a:gd name="connsiteX6" fmla="*/ 0 w 192344"/>
            <a:gd name="connsiteY6" fmla="*/ 260438 h 602783"/>
            <a:gd name="connsiteX7" fmla="*/ 5442 w 192344"/>
            <a:gd name="connsiteY7" fmla="*/ 423723 h 602783"/>
            <a:gd name="connsiteX8" fmla="*/ 10885 w 192344"/>
            <a:gd name="connsiteY8" fmla="*/ 440052 h 602783"/>
            <a:gd name="connsiteX9" fmla="*/ 27214 w 192344"/>
            <a:gd name="connsiteY9" fmla="*/ 494480 h 602783"/>
            <a:gd name="connsiteX10" fmla="*/ 43542 w 192344"/>
            <a:gd name="connsiteY10" fmla="*/ 548909 h 602783"/>
            <a:gd name="connsiteX11" fmla="*/ 54428 w 192344"/>
            <a:gd name="connsiteY11" fmla="*/ 565238 h 602783"/>
            <a:gd name="connsiteX12" fmla="*/ 79941 w 192344"/>
            <a:gd name="connsiteY12" fmla="*/ 599810 h 602783"/>
            <a:gd name="connsiteX13" fmla="*/ 120423 w 192344"/>
            <a:gd name="connsiteY13" fmla="*/ 601087 h 602783"/>
            <a:gd name="connsiteX14" fmla="*/ 147638 w 192344"/>
            <a:gd name="connsiteY14" fmla="*/ 571621 h 602783"/>
            <a:gd name="connsiteX15" fmla="*/ 156142 w 192344"/>
            <a:gd name="connsiteY15" fmla="*/ 550488 h 602783"/>
            <a:gd name="connsiteX16" fmla="*/ 168389 w 192344"/>
            <a:gd name="connsiteY16" fmla="*/ 523123 h 602783"/>
            <a:gd name="connsiteX17" fmla="*/ 169069 w 192344"/>
            <a:gd name="connsiteY17" fmla="*/ 487576 h 602783"/>
            <a:gd name="connsiteX18" fmla="*/ 179274 w 192344"/>
            <a:gd name="connsiteY18" fmla="*/ 442455 h 602783"/>
            <a:gd name="connsiteX19" fmla="*/ 187097 w 192344"/>
            <a:gd name="connsiteY19" fmla="*/ 421320 h 602783"/>
            <a:gd name="connsiteX20" fmla="*/ 190840 w 192344"/>
            <a:gd name="connsiteY20" fmla="*/ 370084 h 602783"/>
            <a:gd name="connsiteX21" fmla="*/ 190159 w 192344"/>
            <a:gd name="connsiteY21" fmla="*/ 314077 h 602783"/>
            <a:gd name="connsiteX22" fmla="*/ 158449 w 192344"/>
            <a:gd name="connsiteY22" fmla="*/ 277796 h 602783"/>
            <a:gd name="connsiteX23" fmla="*/ 151535 w 192344"/>
            <a:gd name="connsiteY23" fmla="*/ 215678 h 602783"/>
            <a:gd name="connsiteX24" fmla="*/ 143061 w 192344"/>
            <a:gd name="connsiteY24" fmla="*/ 162337 h 602783"/>
            <a:gd name="connsiteX25" fmla="*/ 139405 w 192344"/>
            <a:gd name="connsiteY25" fmla="*/ 113090 h 602783"/>
            <a:gd name="connsiteX26" fmla="*/ 131062 w 192344"/>
            <a:gd name="connsiteY26" fmla="*/ 69833 h 602783"/>
            <a:gd name="connsiteX27" fmla="*/ 112655 w 192344"/>
            <a:gd name="connsiteY27" fmla="*/ 26131 h 602783"/>
            <a:gd name="connsiteX28" fmla="*/ 100439 w 192344"/>
            <a:gd name="connsiteY28" fmla="*/ 5152 h 602783"/>
            <a:gd name="connsiteX29" fmla="*/ 76200 w 192344"/>
            <a:gd name="connsiteY29" fmla="*/ 4623 h 602783"/>
            <a:gd name="connsiteX0" fmla="*/ 70442 w 192344"/>
            <a:gd name="connsiteY0" fmla="*/ 13233 h 598447"/>
            <a:gd name="connsiteX1" fmla="*/ 48985 w 192344"/>
            <a:gd name="connsiteY1" fmla="*/ 54716 h 598447"/>
            <a:gd name="connsiteX2" fmla="*/ 32657 w 192344"/>
            <a:gd name="connsiteY2" fmla="*/ 98259 h 598447"/>
            <a:gd name="connsiteX3" fmla="*/ 21771 w 192344"/>
            <a:gd name="connsiteY3" fmla="*/ 152687 h 598447"/>
            <a:gd name="connsiteX4" fmla="*/ 10885 w 192344"/>
            <a:gd name="connsiteY4" fmla="*/ 196230 h 598447"/>
            <a:gd name="connsiteX5" fmla="*/ 5442 w 192344"/>
            <a:gd name="connsiteY5" fmla="*/ 218002 h 598447"/>
            <a:gd name="connsiteX6" fmla="*/ 0 w 192344"/>
            <a:gd name="connsiteY6" fmla="*/ 256102 h 598447"/>
            <a:gd name="connsiteX7" fmla="*/ 5442 w 192344"/>
            <a:gd name="connsiteY7" fmla="*/ 419387 h 598447"/>
            <a:gd name="connsiteX8" fmla="*/ 10885 w 192344"/>
            <a:gd name="connsiteY8" fmla="*/ 435716 h 598447"/>
            <a:gd name="connsiteX9" fmla="*/ 27214 w 192344"/>
            <a:gd name="connsiteY9" fmla="*/ 490144 h 598447"/>
            <a:gd name="connsiteX10" fmla="*/ 43542 w 192344"/>
            <a:gd name="connsiteY10" fmla="*/ 544573 h 598447"/>
            <a:gd name="connsiteX11" fmla="*/ 54428 w 192344"/>
            <a:gd name="connsiteY11" fmla="*/ 560902 h 598447"/>
            <a:gd name="connsiteX12" fmla="*/ 79941 w 192344"/>
            <a:gd name="connsiteY12" fmla="*/ 595474 h 598447"/>
            <a:gd name="connsiteX13" fmla="*/ 120423 w 192344"/>
            <a:gd name="connsiteY13" fmla="*/ 596751 h 598447"/>
            <a:gd name="connsiteX14" fmla="*/ 147638 w 192344"/>
            <a:gd name="connsiteY14" fmla="*/ 567285 h 598447"/>
            <a:gd name="connsiteX15" fmla="*/ 156142 w 192344"/>
            <a:gd name="connsiteY15" fmla="*/ 546152 h 598447"/>
            <a:gd name="connsiteX16" fmla="*/ 168389 w 192344"/>
            <a:gd name="connsiteY16" fmla="*/ 518787 h 598447"/>
            <a:gd name="connsiteX17" fmla="*/ 169069 w 192344"/>
            <a:gd name="connsiteY17" fmla="*/ 483240 h 598447"/>
            <a:gd name="connsiteX18" fmla="*/ 179274 w 192344"/>
            <a:gd name="connsiteY18" fmla="*/ 438119 h 598447"/>
            <a:gd name="connsiteX19" fmla="*/ 187097 w 192344"/>
            <a:gd name="connsiteY19" fmla="*/ 416984 h 598447"/>
            <a:gd name="connsiteX20" fmla="*/ 190840 w 192344"/>
            <a:gd name="connsiteY20" fmla="*/ 365748 h 598447"/>
            <a:gd name="connsiteX21" fmla="*/ 190159 w 192344"/>
            <a:gd name="connsiteY21" fmla="*/ 309741 h 598447"/>
            <a:gd name="connsiteX22" fmla="*/ 158449 w 192344"/>
            <a:gd name="connsiteY22" fmla="*/ 273460 h 598447"/>
            <a:gd name="connsiteX23" fmla="*/ 151535 w 192344"/>
            <a:gd name="connsiteY23" fmla="*/ 211342 h 598447"/>
            <a:gd name="connsiteX24" fmla="*/ 143061 w 192344"/>
            <a:gd name="connsiteY24" fmla="*/ 158001 h 598447"/>
            <a:gd name="connsiteX25" fmla="*/ 139405 w 192344"/>
            <a:gd name="connsiteY25" fmla="*/ 108754 h 598447"/>
            <a:gd name="connsiteX26" fmla="*/ 131062 w 192344"/>
            <a:gd name="connsiteY26" fmla="*/ 65497 h 598447"/>
            <a:gd name="connsiteX27" fmla="*/ 112655 w 192344"/>
            <a:gd name="connsiteY27" fmla="*/ 21795 h 598447"/>
            <a:gd name="connsiteX28" fmla="*/ 100439 w 192344"/>
            <a:gd name="connsiteY28" fmla="*/ 816 h 598447"/>
            <a:gd name="connsiteX29" fmla="*/ 70442 w 192344"/>
            <a:gd name="connsiteY29" fmla="*/ 13233 h 598447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32657 w 192344"/>
            <a:gd name="connsiteY2" fmla="*/ 98451 h 598639"/>
            <a:gd name="connsiteX3" fmla="*/ 21771 w 192344"/>
            <a:gd name="connsiteY3" fmla="*/ 152879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21771 w 192344"/>
            <a:gd name="connsiteY3" fmla="*/ 152879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21771 w 192344"/>
            <a:gd name="connsiteY3" fmla="*/ 152879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31642 w 192344"/>
            <a:gd name="connsiteY3" fmla="*/ 177478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31642 w 192344"/>
            <a:gd name="connsiteY3" fmla="*/ 177478 h 598639"/>
            <a:gd name="connsiteX4" fmla="*/ 23224 w 192344"/>
            <a:gd name="connsiteY4" fmla="*/ 223610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31642 w 192344"/>
            <a:gd name="connsiteY3" fmla="*/ 177478 h 598639"/>
            <a:gd name="connsiteX4" fmla="*/ 23224 w 192344"/>
            <a:gd name="connsiteY4" fmla="*/ 223610 h 598639"/>
            <a:gd name="connsiteX5" fmla="*/ 16136 w 192344"/>
            <a:gd name="connsiteY5" fmla="*/ 269980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65054 w 186956"/>
            <a:gd name="connsiteY0" fmla="*/ 13425 h 598639"/>
            <a:gd name="connsiteX1" fmla="*/ 51000 w 186956"/>
            <a:gd name="connsiteY1" fmla="*/ 67855 h 598639"/>
            <a:gd name="connsiteX2" fmla="*/ 35495 w 186956"/>
            <a:gd name="connsiteY2" fmla="*/ 115282 h 598639"/>
            <a:gd name="connsiteX3" fmla="*/ 26254 w 186956"/>
            <a:gd name="connsiteY3" fmla="*/ 177478 h 598639"/>
            <a:gd name="connsiteX4" fmla="*/ 17836 w 186956"/>
            <a:gd name="connsiteY4" fmla="*/ 223610 h 598639"/>
            <a:gd name="connsiteX5" fmla="*/ 10748 w 186956"/>
            <a:gd name="connsiteY5" fmla="*/ 269980 h 598639"/>
            <a:gd name="connsiteX6" fmla="*/ 2015 w 186956"/>
            <a:gd name="connsiteY6" fmla="*/ 341741 h 598639"/>
            <a:gd name="connsiteX7" fmla="*/ 54 w 186956"/>
            <a:gd name="connsiteY7" fmla="*/ 419579 h 598639"/>
            <a:gd name="connsiteX8" fmla="*/ 5497 w 186956"/>
            <a:gd name="connsiteY8" fmla="*/ 435908 h 598639"/>
            <a:gd name="connsiteX9" fmla="*/ 21826 w 186956"/>
            <a:gd name="connsiteY9" fmla="*/ 490336 h 598639"/>
            <a:gd name="connsiteX10" fmla="*/ 38154 w 186956"/>
            <a:gd name="connsiteY10" fmla="*/ 544765 h 598639"/>
            <a:gd name="connsiteX11" fmla="*/ 49040 w 186956"/>
            <a:gd name="connsiteY11" fmla="*/ 561094 h 598639"/>
            <a:gd name="connsiteX12" fmla="*/ 74553 w 186956"/>
            <a:gd name="connsiteY12" fmla="*/ 595666 h 598639"/>
            <a:gd name="connsiteX13" fmla="*/ 115035 w 186956"/>
            <a:gd name="connsiteY13" fmla="*/ 596943 h 598639"/>
            <a:gd name="connsiteX14" fmla="*/ 142250 w 186956"/>
            <a:gd name="connsiteY14" fmla="*/ 567477 h 598639"/>
            <a:gd name="connsiteX15" fmla="*/ 150754 w 186956"/>
            <a:gd name="connsiteY15" fmla="*/ 546344 h 598639"/>
            <a:gd name="connsiteX16" fmla="*/ 163001 w 186956"/>
            <a:gd name="connsiteY16" fmla="*/ 518979 h 598639"/>
            <a:gd name="connsiteX17" fmla="*/ 163681 w 186956"/>
            <a:gd name="connsiteY17" fmla="*/ 483432 h 598639"/>
            <a:gd name="connsiteX18" fmla="*/ 173886 w 186956"/>
            <a:gd name="connsiteY18" fmla="*/ 438311 h 598639"/>
            <a:gd name="connsiteX19" fmla="*/ 181709 w 186956"/>
            <a:gd name="connsiteY19" fmla="*/ 417176 h 598639"/>
            <a:gd name="connsiteX20" fmla="*/ 185452 w 186956"/>
            <a:gd name="connsiteY20" fmla="*/ 365940 h 598639"/>
            <a:gd name="connsiteX21" fmla="*/ 184771 w 186956"/>
            <a:gd name="connsiteY21" fmla="*/ 309933 h 598639"/>
            <a:gd name="connsiteX22" fmla="*/ 153061 w 186956"/>
            <a:gd name="connsiteY22" fmla="*/ 273652 h 598639"/>
            <a:gd name="connsiteX23" fmla="*/ 146147 w 186956"/>
            <a:gd name="connsiteY23" fmla="*/ 211534 h 598639"/>
            <a:gd name="connsiteX24" fmla="*/ 137673 w 186956"/>
            <a:gd name="connsiteY24" fmla="*/ 158193 h 598639"/>
            <a:gd name="connsiteX25" fmla="*/ 134017 w 186956"/>
            <a:gd name="connsiteY25" fmla="*/ 108946 h 598639"/>
            <a:gd name="connsiteX26" fmla="*/ 125674 w 186956"/>
            <a:gd name="connsiteY26" fmla="*/ 65689 h 598639"/>
            <a:gd name="connsiteX27" fmla="*/ 107267 w 186956"/>
            <a:gd name="connsiteY27" fmla="*/ 21987 h 598639"/>
            <a:gd name="connsiteX28" fmla="*/ 95051 w 186956"/>
            <a:gd name="connsiteY28" fmla="*/ 1008 h 598639"/>
            <a:gd name="connsiteX29" fmla="*/ 65054 w 186956"/>
            <a:gd name="connsiteY29" fmla="*/ 13425 h 598639"/>
            <a:gd name="connsiteX0" fmla="*/ 65721 w 187623"/>
            <a:gd name="connsiteY0" fmla="*/ 13425 h 598639"/>
            <a:gd name="connsiteX1" fmla="*/ 51667 w 187623"/>
            <a:gd name="connsiteY1" fmla="*/ 67855 h 598639"/>
            <a:gd name="connsiteX2" fmla="*/ 36162 w 187623"/>
            <a:gd name="connsiteY2" fmla="*/ 115282 h 598639"/>
            <a:gd name="connsiteX3" fmla="*/ 26921 w 187623"/>
            <a:gd name="connsiteY3" fmla="*/ 177478 h 598639"/>
            <a:gd name="connsiteX4" fmla="*/ 18503 w 187623"/>
            <a:gd name="connsiteY4" fmla="*/ 223610 h 598639"/>
            <a:gd name="connsiteX5" fmla="*/ 11415 w 187623"/>
            <a:gd name="connsiteY5" fmla="*/ 269980 h 598639"/>
            <a:gd name="connsiteX6" fmla="*/ 2682 w 187623"/>
            <a:gd name="connsiteY6" fmla="*/ 341741 h 598639"/>
            <a:gd name="connsiteX7" fmla="*/ 721 w 187623"/>
            <a:gd name="connsiteY7" fmla="*/ 419579 h 598639"/>
            <a:gd name="connsiteX8" fmla="*/ 6164 w 187623"/>
            <a:gd name="connsiteY8" fmla="*/ 435908 h 598639"/>
            <a:gd name="connsiteX9" fmla="*/ 15090 w 187623"/>
            <a:gd name="connsiteY9" fmla="*/ 489041 h 598639"/>
            <a:gd name="connsiteX10" fmla="*/ 38821 w 187623"/>
            <a:gd name="connsiteY10" fmla="*/ 544765 h 598639"/>
            <a:gd name="connsiteX11" fmla="*/ 49707 w 187623"/>
            <a:gd name="connsiteY11" fmla="*/ 561094 h 598639"/>
            <a:gd name="connsiteX12" fmla="*/ 75220 w 187623"/>
            <a:gd name="connsiteY12" fmla="*/ 595666 h 598639"/>
            <a:gd name="connsiteX13" fmla="*/ 115702 w 187623"/>
            <a:gd name="connsiteY13" fmla="*/ 596943 h 598639"/>
            <a:gd name="connsiteX14" fmla="*/ 142917 w 187623"/>
            <a:gd name="connsiteY14" fmla="*/ 567477 h 598639"/>
            <a:gd name="connsiteX15" fmla="*/ 151421 w 187623"/>
            <a:gd name="connsiteY15" fmla="*/ 546344 h 598639"/>
            <a:gd name="connsiteX16" fmla="*/ 163668 w 187623"/>
            <a:gd name="connsiteY16" fmla="*/ 518979 h 598639"/>
            <a:gd name="connsiteX17" fmla="*/ 164348 w 187623"/>
            <a:gd name="connsiteY17" fmla="*/ 483432 h 598639"/>
            <a:gd name="connsiteX18" fmla="*/ 174553 w 187623"/>
            <a:gd name="connsiteY18" fmla="*/ 438311 h 598639"/>
            <a:gd name="connsiteX19" fmla="*/ 182376 w 187623"/>
            <a:gd name="connsiteY19" fmla="*/ 417176 h 598639"/>
            <a:gd name="connsiteX20" fmla="*/ 186119 w 187623"/>
            <a:gd name="connsiteY20" fmla="*/ 365940 h 598639"/>
            <a:gd name="connsiteX21" fmla="*/ 185438 w 187623"/>
            <a:gd name="connsiteY21" fmla="*/ 309933 h 598639"/>
            <a:gd name="connsiteX22" fmla="*/ 153728 w 187623"/>
            <a:gd name="connsiteY22" fmla="*/ 273652 h 598639"/>
            <a:gd name="connsiteX23" fmla="*/ 146814 w 187623"/>
            <a:gd name="connsiteY23" fmla="*/ 211534 h 598639"/>
            <a:gd name="connsiteX24" fmla="*/ 138340 w 187623"/>
            <a:gd name="connsiteY24" fmla="*/ 158193 h 598639"/>
            <a:gd name="connsiteX25" fmla="*/ 134684 w 187623"/>
            <a:gd name="connsiteY25" fmla="*/ 108946 h 598639"/>
            <a:gd name="connsiteX26" fmla="*/ 126341 w 187623"/>
            <a:gd name="connsiteY26" fmla="*/ 65689 h 598639"/>
            <a:gd name="connsiteX27" fmla="*/ 107934 w 187623"/>
            <a:gd name="connsiteY27" fmla="*/ 21987 h 598639"/>
            <a:gd name="connsiteX28" fmla="*/ 95718 w 187623"/>
            <a:gd name="connsiteY28" fmla="*/ 1008 h 598639"/>
            <a:gd name="connsiteX29" fmla="*/ 65721 w 187623"/>
            <a:gd name="connsiteY29" fmla="*/ 13425 h 598639"/>
            <a:gd name="connsiteX0" fmla="*/ 65054 w 186956"/>
            <a:gd name="connsiteY0" fmla="*/ 13425 h 598639"/>
            <a:gd name="connsiteX1" fmla="*/ 51000 w 186956"/>
            <a:gd name="connsiteY1" fmla="*/ 67855 h 598639"/>
            <a:gd name="connsiteX2" fmla="*/ 35495 w 186956"/>
            <a:gd name="connsiteY2" fmla="*/ 115282 h 598639"/>
            <a:gd name="connsiteX3" fmla="*/ 26254 w 186956"/>
            <a:gd name="connsiteY3" fmla="*/ 177478 h 598639"/>
            <a:gd name="connsiteX4" fmla="*/ 17836 w 186956"/>
            <a:gd name="connsiteY4" fmla="*/ 223610 h 598639"/>
            <a:gd name="connsiteX5" fmla="*/ 10748 w 186956"/>
            <a:gd name="connsiteY5" fmla="*/ 269980 h 598639"/>
            <a:gd name="connsiteX6" fmla="*/ 2015 w 186956"/>
            <a:gd name="connsiteY6" fmla="*/ 341741 h 598639"/>
            <a:gd name="connsiteX7" fmla="*/ 54 w 186956"/>
            <a:gd name="connsiteY7" fmla="*/ 419579 h 598639"/>
            <a:gd name="connsiteX8" fmla="*/ 5497 w 186956"/>
            <a:gd name="connsiteY8" fmla="*/ 435908 h 598639"/>
            <a:gd name="connsiteX9" fmla="*/ 14423 w 186956"/>
            <a:gd name="connsiteY9" fmla="*/ 489041 h 598639"/>
            <a:gd name="connsiteX10" fmla="*/ 38154 w 186956"/>
            <a:gd name="connsiteY10" fmla="*/ 544765 h 598639"/>
            <a:gd name="connsiteX11" fmla="*/ 49040 w 186956"/>
            <a:gd name="connsiteY11" fmla="*/ 561094 h 598639"/>
            <a:gd name="connsiteX12" fmla="*/ 74553 w 186956"/>
            <a:gd name="connsiteY12" fmla="*/ 595666 h 598639"/>
            <a:gd name="connsiteX13" fmla="*/ 115035 w 186956"/>
            <a:gd name="connsiteY13" fmla="*/ 596943 h 598639"/>
            <a:gd name="connsiteX14" fmla="*/ 142250 w 186956"/>
            <a:gd name="connsiteY14" fmla="*/ 567477 h 598639"/>
            <a:gd name="connsiteX15" fmla="*/ 150754 w 186956"/>
            <a:gd name="connsiteY15" fmla="*/ 546344 h 598639"/>
            <a:gd name="connsiteX16" fmla="*/ 163001 w 186956"/>
            <a:gd name="connsiteY16" fmla="*/ 518979 h 598639"/>
            <a:gd name="connsiteX17" fmla="*/ 163681 w 186956"/>
            <a:gd name="connsiteY17" fmla="*/ 483432 h 598639"/>
            <a:gd name="connsiteX18" fmla="*/ 173886 w 186956"/>
            <a:gd name="connsiteY18" fmla="*/ 438311 h 598639"/>
            <a:gd name="connsiteX19" fmla="*/ 181709 w 186956"/>
            <a:gd name="connsiteY19" fmla="*/ 417176 h 598639"/>
            <a:gd name="connsiteX20" fmla="*/ 185452 w 186956"/>
            <a:gd name="connsiteY20" fmla="*/ 365940 h 598639"/>
            <a:gd name="connsiteX21" fmla="*/ 184771 w 186956"/>
            <a:gd name="connsiteY21" fmla="*/ 309933 h 598639"/>
            <a:gd name="connsiteX22" fmla="*/ 153061 w 186956"/>
            <a:gd name="connsiteY22" fmla="*/ 273652 h 598639"/>
            <a:gd name="connsiteX23" fmla="*/ 146147 w 186956"/>
            <a:gd name="connsiteY23" fmla="*/ 211534 h 598639"/>
            <a:gd name="connsiteX24" fmla="*/ 137673 w 186956"/>
            <a:gd name="connsiteY24" fmla="*/ 158193 h 598639"/>
            <a:gd name="connsiteX25" fmla="*/ 134017 w 186956"/>
            <a:gd name="connsiteY25" fmla="*/ 108946 h 598639"/>
            <a:gd name="connsiteX26" fmla="*/ 125674 w 186956"/>
            <a:gd name="connsiteY26" fmla="*/ 65689 h 598639"/>
            <a:gd name="connsiteX27" fmla="*/ 107267 w 186956"/>
            <a:gd name="connsiteY27" fmla="*/ 21987 h 598639"/>
            <a:gd name="connsiteX28" fmla="*/ 95051 w 186956"/>
            <a:gd name="connsiteY28" fmla="*/ 1008 h 598639"/>
            <a:gd name="connsiteX29" fmla="*/ 65054 w 186956"/>
            <a:gd name="connsiteY29" fmla="*/ 13425 h 598639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15035 w 186956"/>
            <a:gd name="connsiteY13" fmla="*/ 596943 h 596943"/>
            <a:gd name="connsiteX14" fmla="*/ 142250 w 186956"/>
            <a:gd name="connsiteY14" fmla="*/ 567477 h 596943"/>
            <a:gd name="connsiteX15" fmla="*/ 150754 w 186956"/>
            <a:gd name="connsiteY15" fmla="*/ 546344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42250 w 186956"/>
            <a:gd name="connsiteY14" fmla="*/ 567477 h 596943"/>
            <a:gd name="connsiteX15" fmla="*/ 150754 w 186956"/>
            <a:gd name="connsiteY15" fmla="*/ 546344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50754 w 186956"/>
            <a:gd name="connsiteY15" fmla="*/ 546344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56278 w 186956"/>
            <a:gd name="connsiteY17" fmla="*/ 46401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56278 w 186956"/>
            <a:gd name="connsiteY17" fmla="*/ 464012 h 596943"/>
            <a:gd name="connsiteX18" fmla="*/ 156612 w 186956"/>
            <a:gd name="connsiteY18" fmla="*/ 409829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56278 w 186956"/>
            <a:gd name="connsiteY17" fmla="*/ 464012 h 596943"/>
            <a:gd name="connsiteX18" fmla="*/ 156612 w 186956"/>
            <a:gd name="connsiteY18" fmla="*/ 409829 h 596943"/>
            <a:gd name="connsiteX19" fmla="*/ 158677 w 186956"/>
            <a:gd name="connsiteY19" fmla="*/ 37833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4776"/>
            <a:gd name="connsiteY0" fmla="*/ 13425 h 596943"/>
            <a:gd name="connsiteX1" fmla="*/ 51000 w 184776"/>
            <a:gd name="connsiteY1" fmla="*/ 67855 h 596943"/>
            <a:gd name="connsiteX2" fmla="*/ 35495 w 184776"/>
            <a:gd name="connsiteY2" fmla="*/ 115282 h 596943"/>
            <a:gd name="connsiteX3" fmla="*/ 26254 w 184776"/>
            <a:gd name="connsiteY3" fmla="*/ 177478 h 596943"/>
            <a:gd name="connsiteX4" fmla="*/ 17836 w 184776"/>
            <a:gd name="connsiteY4" fmla="*/ 223610 h 596943"/>
            <a:gd name="connsiteX5" fmla="*/ 10748 w 184776"/>
            <a:gd name="connsiteY5" fmla="*/ 269980 h 596943"/>
            <a:gd name="connsiteX6" fmla="*/ 2015 w 184776"/>
            <a:gd name="connsiteY6" fmla="*/ 341741 h 596943"/>
            <a:gd name="connsiteX7" fmla="*/ 54 w 184776"/>
            <a:gd name="connsiteY7" fmla="*/ 419579 h 596943"/>
            <a:gd name="connsiteX8" fmla="*/ 5497 w 184776"/>
            <a:gd name="connsiteY8" fmla="*/ 435908 h 596943"/>
            <a:gd name="connsiteX9" fmla="*/ 14423 w 184776"/>
            <a:gd name="connsiteY9" fmla="*/ 489041 h 596943"/>
            <a:gd name="connsiteX10" fmla="*/ 38154 w 184776"/>
            <a:gd name="connsiteY10" fmla="*/ 544765 h 596943"/>
            <a:gd name="connsiteX11" fmla="*/ 49040 w 184776"/>
            <a:gd name="connsiteY11" fmla="*/ 561094 h 596943"/>
            <a:gd name="connsiteX12" fmla="*/ 75375 w 184776"/>
            <a:gd name="connsiteY12" fmla="*/ 589193 h 596943"/>
            <a:gd name="connsiteX13" fmla="*/ 104341 w 184776"/>
            <a:gd name="connsiteY13" fmla="*/ 596943 h 596943"/>
            <a:gd name="connsiteX14" fmla="*/ 128266 w 184776"/>
            <a:gd name="connsiteY14" fmla="*/ 570066 h 596943"/>
            <a:gd name="connsiteX15" fmla="*/ 142528 w 184776"/>
            <a:gd name="connsiteY15" fmla="*/ 535987 h 596943"/>
            <a:gd name="connsiteX16" fmla="*/ 155597 w 184776"/>
            <a:gd name="connsiteY16" fmla="*/ 503443 h 596943"/>
            <a:gd name="connsiteX17" fmla="*/ 156278 w 184776"/>
            <a:gd name="connsiteY17" fmla="*/ 464012 h 596943"/>
            <a:gd name="connsiteX18" fmla="*/ 156612 w 184776"/>
            <a:gd name="connsiteY18" fmla="*/ 409829 h 596943"/>
            <a:gd name="connsiteX19" fmla="*/ 158677 w 184776"/>
            <a:gd name="connsiteY19" fmla="*/ 378336 h 596943"/>
            <a:gd name="connsiteX20" fmla="*/ 155839 w 184776"/>
            <a:gd name="connsiteY20" fmla="*/ 347814 h 596943"/>
            <a:gd name="connsiteX21" fmla="*/ 184771 w 184776"/>
            <a:gd name="connsiteY21" fmla="*/ 309933 h 596943"/>
            <a:gd name="connsiteX22" fmla="*/ 153061 w 184776"/>
            <a:gd name="connsiteY22" fmla="*/ 273652 h 596943"/>
            <a:gd name="connsiteX23" fmla="*/ 146147 w 184776"/>
            <a:gd name="connsiteY23" fmla="*/ 211534 h 596943"/>
            <a:gd name="connsiteX24" fmla="*/ 137673 w 184776"/>
            <a:gd name="connsiteY24" fmla="*/ 158193 h 596943"/>
            <a:gd name="connsiteX25" fmla="*/ 134017 w 184776"/>
            <a:gd name="connsiteY25" fmla="*/ 108946 h 596943"/>
            <a:gd name="connsiteX26" fmla="*/ 125674 w 184776"/>
            <a:gd name="connsiteY26" fmla="*/ 65689 h 596943"/>
            <a:gd name="connsiteX27" fmla="*/ 107267 w 184776"/>
            <a:gd name="connsiteY27" fmla="*/ 21987 h 596943"/>
            <a:gd name="connsiteX28" fmla="*/ 95051 w 184776"/>
            <a:gd name="connsiteY28" fmla="*/ 1008 h 596943"/>
            <a:gd name="connsiteX29" fmla="*/ 65054 w 184776"/>
            <a:gd name="connsiteY29" fmla="*/ 13425 h 596943"/>
            <a:gd name="connsiteX0" fmla="*/ 65054 w 158683"/>
            <a:gd name="connsiteY0" fmla="*/ 13425 h 596943"/>
            <a:gd name="connsiteX1" fmla="*/ 51000 w 158683"/>
            <a:gd name="connsiteY1" fmla="*/ 67855 h 596943"/>
            <a:gd name="connsiteX2" fmla="*/ 35495 w 158683"/>
            <a:gd name="connsiteY2" fmla="*/ 115282 h 596943"/>
            <a:gd name="connsiteX3" fmla="*/ 26254 w 158683"/>
            <a:gd name="connsiteY3" fmla="*/ 177478 h 596943"/>
            <a:gd name="connsiteX4" fmla="*/ 17836 w 158683"/>
            <a:gd name="connsiteY4" fmla="*/ 223610 h 596943"/>
            <a:gd name="connsiteX5" fmla="*/ 10748 w 158683"/>
            <a:gd name="connsiteY5" fmla="*/ 269980 h 596943"/>
            <a:gd name="connsiteX6" fmla="*/ 2015 w 158683"/>
            <a:gd name="connsiteY6" fmla="*/ 341741 h 596943"/>
            <a:gd name="connsiteX7" fmla="*/ 54 w 158683"/>
            <a:gd name="connsiteY7" fmla="*/ 419579 h 596943"/>
            <a:gd name="connsiteX8" fmla="*/ 5497 w 158683"/>
            <a:gd name="connsiteY8" fmla="*/ 435908 h 596943"/>
            <a:gd name="connsiteX9" fmla="*/ 14423 w 158683"/>
            <a:gd name="connsiteY9" fmla="*/ 489041 h 596943"/>
            <a:gd name="connsiteX10" fmla="*/ 38154 w 158683"/>
            <a:gd name="connsiteY10" fmla="*/ 544765 h 596943"/>
            <a:gd name="connsiteX11" fmla="*/ 49040 w 158683"/>
            <a:gd name="connsiteY11" fmla="*/ 561094 h 596943"/>
            <a:gd name="connsiteX12" fmla="*/ 75375 w 158683"/>
            <a:gd name="connsiteY12" fmla="*/ 589193 h 596943"/>
            <a:gd name="connsiteX13" fmla="*/ 104341 w 158683"/>
            <a:gd name="connsiteY13" fmla="*/ 596943 h 596943"/>
            <a:gd name="connsiteX14" fmla="*/ 128266 w 158683"/>
            <a:gd name="connsiteY14" fmla="*/ 570066 h 596943"/>
            <a:gd name="connsiteX15" fmla="*/ 142528 w 158683"/>
            <a:gd name="connsiteY15" fmla="*/ 535987 h 596943"/>
            <a:gd name="connsiteX16" fmla="*/ 155597 w 158683"/>
            <a:gd name="connsiteY16" fmla="*/ 503443 h 596943"/>
            <a:gd name="connsiteX17" fmla="*/ 156278 w 158683"/>
            <a:gd name="connsiteY17" fmla="*/ 464012 h 596943"/>
            <a:gd name="connsiteX18" fmla="*/ 156612 w 158683"/>
            <a:gd name="connsiteY18" fmla="*/ 409829 h 596943"/>
            <a:gd name="connsiteX19" fmla="*/ 158677 w 158683"/>
            <a:gd name="connsiteY19" fmla="*/ 378336 h 596943"/>
            <a:gd name="connsiteX20" fmla="*/ 155839 w 158683"/>
            <a:gd name="connsiteY20" fmla="*/ 347814 h 596943"/>
            <a:gd name="connsiteX21" fmla="*/ 157626 w 158683"/>
            <a:gd name="connsiteY21" fmla="*/ 303459 h 596943"/>
            <a:gd name="connsiteX22" fmla="*/ 153061 w 158683"/>
            <a:gd name="connsiteY22" fmla="*/ 273652 h 596943"/>
            <a:gd name="connsiteX23" fmla="*/ 146147 w 158683"/>
            <a:gd name="connsiteY23" fmla="*/ 211534 h 596943"/>
            <a:gd name="connsiteX24" fmla="*/ 137673 w 158683"/>
            <a:gd name="connsiteY24" fmla="*/ 158193 h 596943"/>
            <a:gd name="connsiteX25" fmla="*/ 134017 w 158683"/>
            <a:gd name="connsiteY25" fmla="*/ 108946 h 596943"/>
            <a:gd name="connsiteX26" fmla="*/ 125674 w 158683"/>
            <a:gd name="connsiteY26" fmla="*/ 65689 h 596943"/>
            <a:gd name="connsiteX27" fmla="*/ 107267 w 158683"/>
            <a:gd name="connsiteY27" fmla="*/ 21987 h 596943"/>
            <a:gd name="connsiteX28" fmla="*/ 95051 w 158683"/>
            <a:gd name="connsiteY28" fmla="*/ 1008 h 596943"/>
            <a:gd name="connsiteX29" fmla="*/ 65054 w 158683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435908 h 596943"/>
            <a:gd name="connsiteX9" fmla="*/ 14423 w 158690"/>
            <a:gd name="connsiteY9" fmla="*/ 489041 h 596943"/>
            <a:gd name="connsiteX10" fmla="*/ 38154 w 158690"/>
            <a:gd name="connsiteY10" fmla="*/ 544765 h 596943"/>
            <a:gd name="connsiteX11" fmla="*/ 49040 w 158690"/>
            <a:gd name="connsiteY11" fmla="*/ 561094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8266 w 158690"/>
            <a:gd name="connsiteY14" fmla="*/ 570066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</a:cxnLst>
          <a:rect l="l" t="t" r="r" b="b"/>
          <a:pathLst>
            <a:path w="158690" h="596943">
              <a:moveTo>
                <a:pt x="65054" y="13425"/>
              </a:moveTo>
              <a:cubicBezTo>
                <a:pt x="57712" y="24566"/>
                <a:pt x="55927" y="50879"/>
                <a:pt x="51000" y="67855"/>
              </a:cubicBezTo>
              <a:cubicBezTo>
                <a:pt x="46074" y="84831"/>
                <a:pt x="45141" y="77001"/>
                <a:pt x="35495" y="115282"/>
              </a:cubicBezTo>
              <a:cubicBezTo>
                <a:pt x="31866" y="133425"/>
                <a:pt x="29197" y="159423"/>
                <a:pt x="26254" y="177478"/>
              </a:cubicBezTo>
              <a:cubicBezTo>
                <a:pt x="23311" y="195533"/>
                <a:pt x="20420" y="208193"/>
                <a:pt x="17836" y="223610"/>
              </a:cubicBezTo>
              <a:cubicBezTo>
                <a:pt x="15252" y="239027"/>
                <a:pt x="13385" y="250292"/>
                <a:pt x="10748" y="269980"/>
              </a:cubicBezTo>
              <a:cubicBezTo>
                <a:pt x="8111" y="289668"/>
                <a:pt x="3829" y="329041"/>
                <a:pt x="2015" y="341741"/>
              </a:cubicBezTo>
              <a:cubicBezTo>
                <a:pt x="3829" y="396169"/>
                <a:pt x="-526" y="403885"/>
                <a:pt x="54" y="419579"/>
              </a:cubicBezTo>
              <a:cubicBezTo>
                <a:pt x="634" y="435273"/>
                <a:pt x="3102" y="424331"/>
                <a:pt x="5497" y="435908"/>
              </a:cubicBezTo>
              <a:cubicBezTo>
                <a:pt x="7892" y="447485"/>
                <a:pt x="797" y="453063"/>
                <a:pt x="14423" y="489041"/>
              </a:cubicBezTo>
              <a:cubicBezTo>
                <a:pt x="26244" y="520254"/>
                <a:pt x="32385" y="532756"/>
                <a:pt x="38154" y="544765"/>
              </a:cubicBezTo>
              <a:cubicBezTo>
                <a:pt x="43923" y="556774"/>
                <a:pt x="42837" y="553689"/>
                <a:pt x="49040" y="561094"/>
              </a:cubicBezTo>
              <a:cubicBezTo>
                <a:pt x="55243" y="568499"/>
                <a:pt x="66158" y="583218"/>
                <a:pt x="75375" y="589193"/>
              </a:cubicBezTo>
              <a:cubicBezTo>
                <a:pt x="84592" y="595168"/>
                <a:pt x="103474" y="596726"/>
                <a:pt x="104341" y="596943"/>
              </a:cubicBezTo>
              <a:cubicBezTo>
                <a:pt x="113413" y="595129"/>
                <a:pt x="121902" y="580225"/>
                <a:pt x="128266" y="570066"/>
              </a:cubicBezTo>
              <a:cubicBezTo>
                <a:pt x="134630" y="559907"/>
                <a:pt x="137973" y="547091"/>
                <a:pt x="142528" y="535987"/>
              </a:cubicBezTo>
              <a:cubicBezTo>
                <a:pt x="147083" y="524883"/>
                <a:pt x="153305" y="515439"/>
                <a:pt x="155597" y="503443"/>
              </a:cubicBezTo>
              <a:cubicBezTo>
                <a:pt x="157889" y="491447"/>
                <a:pt x="154464" y="469455"/>
                <a:pt x="156278" y="464012"/>
              </a:cubicBezTo>
              <a:cubicBezTo>
                <a:pt x="158092" y="431355"/>
                <a:pt x="156212" y="424108"/>
                <a:pt x="156612" y="409829"/>
              </a:cubicBezTo>
              <a:cubicBezTo>
                <a:pt x="157012" y="395550"/>
                <a:pt x="158395" y="388672"/>
                <a:pt x="158677" y="378336"/>
              </a:cubicBezTo>
              <a:cubicBezTo>
                <a:pt x="158959" y="368000"/>
                <a:pt x="154678" y="356885"/>
                <a:pt x="158307" y="347814"/>
              </a:cubicBezTo>
              <a:cubicBezTo>
                <a:pt x="156493" y="311528"/>
                <a:pt x="158500" y="315819"/>
                <a:pt x="157626" y="303459"/>
              </a:cubicBezTo>
              <a:cubicBezTo>
                <a:pt x="156752" y="291099"/>
                <a:pt x="154974" y="288973"/>
                <a:pt x="153061" y="273652"/>
              </a:cubicBezTo>
              <a:cubicBezTo>
                <a:pt x="151148" y="258331"/>
                <a:pt x="148712" y="230777"/>
                <a:pt x="146147" y="211534"/>
              </a:cubicBezTo>
              <a:cubicBezTo>
                <a:pt x="143582" y="192291"/>
                <a:pt x="139487" y="172707"/>
                <a:pt x="137673" y="158193"/>
              </a:cubicBezTo>
              <a:cubicBezTo>
                <a:pt x="135859" y="118279"/>
                <a:pt x="136017" y="124363"/>
                <a:pt x="134017" y="108946"/>
              </a:cubicBezTo>
              <a:cubicBezTo>
                <a:pt x="132017" y="93529"/>
                <a:pt x="130132" y="80182"/>
                <a:pt x="125674" y="65689"/>
              </a:cubicBezTo>
              <a:cubicBezTo>
                <a:pt x="121216" y="51196"/>
                <a:pt x="119391" y="41181"/>
                <a:pt x="107267" y="21987"/>
              </a:cubicBezTo>
              <a:cubicBezTo>
                <a:pt x="101993" y="19727"/>
                <a:pt x="100325" y="3268"/>
                <a:pt x="95051" y="1008"/>
              </a:cubicBezTo>
              <a:cubicBezTo>
                <a:pt x="87593" y="-2188"/>
                <a:pt x="72396" y="2284"/>
                <a:pt x="65054" y="13425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0.37007</cdr:x>
      <cdr:y>0.64541</cdr:y>
    </cdr:from>
    <cdr:to>
      <cdr:x>0.53637</cdr:x>
      <cdr:y>0.77229</cdr:y>
    </cdr:to>
    <cdr:sp macro="" textlink="">
      <cdr:nvSpPr>
        <cdr:cNvPr id="13" name="Freeform: Shape 12">
          <a:extLst xmlns:a="http://schemas.openxmlformats.org/drawingml/2006/main">
            <a:ext uri="{FF2B5EF4-FFF2-40B4-BE49-F238E27FC236}">
              <a16:creationId xmlns:a16="http://schemas.microsoft.com/office/drawing/2014/main" id="{C791B394-9DD0-4246-BDB4-59C369BCCB30}"/>
            </a:ext>
          </a:extLst>
        </cdr:cNvPr>
        <cdr:cNvSpPr/>
      </cdr:nvSpPr>
      <cdr:spPr>
        <a:xfrm xmlns:a="http://schemas.openxmlformats.org/drawingml/2006/main">
          <a:off x="1740417" y="2298237"/>
          <a:ext cx="782113" cy="451802"/>
        </a:xfrm>
        <a:custGeom xmlns:a="http://schemas.openxmlformats.org/drawingml/2006/main">
          <a:avLst/>
          <a:gdLst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79614 w 212271"/>
            <a:gd name="connsiteY25" fmla="*/ 56393 h 622450"/>
            <a:gd name="connsiteX26" fmla="*/ 152400 w 212271"/>
            <a:gd name="connsiteY26" fmla="*/ 40064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79614 w 212271"/>
            <a:gd name="connsiteY25" fmla="*/ 56393 h 622450"/>
            <a:gd name="connsiteX26" fmla="*/ 140110 w 212271"/>
            <a:gd name="connsiteY26" fmla="*/ 80121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22450"/>
            <a:gd name="connsiteX1" fmla="*/ 48985 w 212271"/>
            <a:gd name="connsiteY1" fmla="*/ 56393 h 622450"/>
            <a:gd name="connsiteX2" fmla="*/ 32657 w 212271"/>
            <a:gd name="connsiteY2" fmla="*/ 99936 h 622450"/>
            <a:gd name="connsiteX3" fmla="*/ 21771 w 212271"/>
            <a:gd name="connsiteY3" fmla="*/ 154364 h 622450"/>
            <a:gd name="connsiteX4" fmla="*/ 10885 w 212271"/>
            <a:gd name="connsiteY4" fmla="*/ 197907 h 622450"/>
            <a:gd name="connsiteX5" fmla="*/ 5442 w 212271"/>
            <a:gd name="connsiteY5" fmla="*/ 219679 h 622450"/>
            <a:gd name="connsiteX6" fmla="*/ 0 w 212271"/>
            <a:gd name="connsiteY6" fmla="*/ 257779 h 622450"/>
            <a:gd name="connsiteX7" fmla="*/ 5442 w 212271"/>
            <a:gd name="connsiteY7" fmla="*/ 421064 h 622450"/>
            <a:gd name="connsiteX8" fmla="*/ 10885 w 212271"/>
            <a:gd name="connsiteY8" fmla="*/ 437393 h 622450"/>
            <a:gd name="connsiteX9" fmla="*/ 27214 w 212271"/>
            <a:gd name="connsiteY9" fmla="*/ 491821 h 622450"/>
            <a:gd name="connsiteX10" fmla="*/ 43542 w 212271"/>
            <a:gd name="connsiteY10" fmla="*/ 546250 h 622450"/>
            <a:gd name="connsiteX11" fmla="*/ 54428 w 212271"/>
            <a:gd name="connsiteY11" fmla="*/ 562579 h 622450"/>
            <a:gd name="connsiteX12" fmla="*/ 87085 w 212271"/>
            <a:gd name="connsiteY12" fmla="*/ 611564 h 622450"/>
            <a:gd name="connsiteX13" fmla="*/ 125185 w 212271"/>
            <a:gd name="connsiteY13" fmla="*/ 622450 h 622450"/>
            <a:gd name="connsiteX14" fmla="*/ 152400 w 212271"/>
            <a:gd name="connsiteY14" fmla="*/ 617007 h 622450"/>
            <a:gd name="connsiteX15" fmla="*/ 163285 w 212271"/>
            <a:gd name="connsiteY15" fmla="*/ 600679 h 622450"/>
            <a:gd name="connsiteX16" fmla="*/ 185057 w 212271"/>
            <a:gd name="connsiteY16" fmla="*/ 551693 h 622450"/>
            <a:gd name="connsiteX17" fmla="*/ 190500 w 212271"/>
            <a:gd name="connsiteY17" fmla="*/ 535364 h 622450"/>
            <a:gd name="connsiteX18" fmla="*/ 195942 w 212271"/>
            <a:gd name="connsiteY18" fmla="*/ 437393 h 622450"/>
            <a:gd name="connsiteX19" fmla="*/ 201385 w 212271"/>
            <a:gd name="connsiteY19" fmla="*/ 421064 h 622450"/>
            <a:gd name="connsiteX20" fmla="*/ 212271 w 212271"/>
            <a:gd name="connsiteY20" fmla="*/ 393850 h 622450"/>
            <a:gd name="connsiteX21" fmla="*/ 206828 w 212271"/>
            <a:gd name="connsiteY21" fmla="*/ 284993 h 622450"/>
            <a:gd name="connsiteX22" fmla="*/ 195942 w 212271"/>
            <a:gd name="connsiteY22" fmla="*/ 268664 h 622450"/>
            <a:gd name="connsiteX23" fmla="*/ 190500 w 212271"/>
            <a:gd name="connsiteY23" fmla="*/ 219679 h 622450"/>
            <a:gd name="connsiteX24" fmla="*/ 185057 w 212271"/>
            <a:gd name="connsiteY24" fmla="*/ 176136 h 622450"/>
            <a:gd name="connsiteX25" fmla="*/ 155034 w 212271"/>
            <a:gd name="connsiteY25" fmla="*/ 127262 h 622450"/>
            <a:gd name="connsiteX26" fmla="*/ 140110 w 212271"/>
            <a:gd name="connsiteY26" fmla="*/ 80121 h 622450"/>
            <a:gd name="connsiteX27" fmla="*/ 114300 w 212271"/>
            <a:gd name="connsiteY27" fmla="*/ 18293 h 622450"/>
            <a:gd name="connsiteX28" fmla="*/ 97971 w 212271"/>
            <a:gd name="connsiteY28" fmla="*/ 12850 h 622450"/>
            <a:gd name="connsiteX29" fmla="*/ 76200 w 212271"/>
            <a:gd name="connsiteY29" fmla="*/ 1964 h 622450"/>
            <a:gd name="connsiteX0" fmla="*/ 76200 w 212271"/>
            <a:gd name="connsiteY0" fmla="*/ 1964 h 617016"/>
            <a:gd name="connsiteX1" fmla="*/ 48985 w 212271"/>
            <a:gd name="connsiteY1" fmla="*/ 56393 h 617016"/>
            <a:gd name="connsiteX2" fmla="*/ 32657 w 212271"/>
            <a:gd name="connsiteY2" fmla="*/ 99936 h 617016"/>
            <a:gd name="connsiteX3" fmla="*/ 21771 w 212271"/>
            <a:gd name="connsiteY3" fmla="*/ 154364 h 617016"/>
            <a:gd name="connsiteX4" fmla="*/ 10885 w 212271"/>
            <a:gd name="connsiteY4" fmla="*/ 197907 h 617016"/>
            <a:gd name="connsiteX5" fmla="*/ 5442 w 212271"/>
            <a:gd name="connsiteY5" fmla="*/ 219679 h 617016"/>
            <a:gd name="connsiteX6" fmla="*/ 0 w 212271"/>
            <a:gd name="connsiteY6" fmla="*/ 257779 h 617016"/>
            <a:gd name="connsiteX7" fmla="*/ 5442 w 212271"/>
            <a:gd name="connsiteY7" fmla="*/ 421064 h 617016"/>
            <a:gd name="connsiteX8" fmla="*/ 10885 w 212271"/>
            <a:gd name="connsiteY8" fmla="*/ 437393 h 617016"/>
            <a:gd name="connsiteX9" fmla="*/ 27214 w 212271"/>
            <a:gd name="connsiteY9" fmla="*/ 491821 h 617016"/>
            <a:gd name="connsiteX10" fmla="*/ 43542 w 212271"/>
            <a:gd name="connsiteY10" fmla="*/ 546250 h 617016"/>
            <a:gd name="connsiteX11" fmla="*/ 54428 w 212271"/>
            <a:gd name="connsiteY11" fmla="*/ 562579 h 617016"/>
            <a:gd name="connsiteX12" fmla="*/ 87085 w 212271"/>
            <a:gd name="connsiteY12" fmla="*/ 611564 h 617016"/>
            <a:gd name="connsiteX13" fmla="*/ 120423 w 212271"/>
            <a:gd name="connsiteY13" fmla="*/ 598428 h 617016"/>
            <a:gd name="connsiteX14" fmla="*/ 152400 w 212271"/>
            <a:gd name="connsiteY14" fmla="*/ 617007 h 617016"/>
            <a:gd name="connsiteX15" fmla="*/ 163285 w 212271"/>
            <a:gd name="connsiteY15" fmla="*/ 600679 h 617016"/>
            <a:gd name="connsiteX16" fmla="*/ 185057 w 212271"/>
            <a:gd name="connsiteY16" fmla="*/ 551693 h 617016"/>
            <a:gd name="connsiteX17" fmla="*/ 190500 w 212271"/>
            <a:gd name="connsiteY17" fmla="*/ 535364 h 617016"/>
            <a:gd name="connsiteX18" fmla="*/ 195942 w 212271"/>
            <a:gd name="connsiteY18" fmla="*/ 437393 h 617016"/>
            <a:gd name="connsiteX19" fmla="*/ 201385 w 212271"/>
            <a:gd name="connsiteY19" fmla="*/ 421064 h 617016"/>
            <a:gd name="connsiteX20" fmla="*/ 212271 w 212271"/>
            <a:gd name="connsiteY20" fmla="*/ 393850 h 617016"/>
            <a:gd name="connsiteX21" fmla="*/ 206828 w 212271"/>
            <a:gd name="connsiteY21" fmla="*/ 284993 h 617016"/>
            <a:gd name="connsiteX22" fmla="*/ 195942 w 212271"/>
            <a:gd name="connsiteY22" fmla="*/ 268664 h 617016"/>
            <a:gd name="connsiteX23" fmla="*/ 190500 w 212271"/>
            <a:gd name="connsiteY23" fmla="*/ 219679 h 617016"/>
            <a:gd name="connsiteX24" fmla="*/ 185057 w 212271"/>
            <a:gd name="connsiteY24" fmla="*/ 176136 h 617016"/>
            <a:gd name="connsiteX25" fmla="*/ 155034 w 212271"/>
            <a:gd name="connsiteY25" fmla="*/ 127262 h 617016"/>
            <a:gd name="connsiteX26" fmla="*/ 140110 w 212271"/>
            <a:gd name="connsiteY26" fmla="*/ 80121 h 617016"/>
            <a:gd name="connsiteX27" fmla="*/ 114300 w 212271"/>
            <a:gd name="connsiteY27" fmla="*/ 18293 h 617016"/>
            <a:gd name="connsiteX28" fmla="*/ 97971 w 212271"/>
            <a:gd name="connsiteY28" fmla="*/ 12850 h 617016"/>
            <a:gd name="connsiteX29" fmla="*/ 76200 w 212271"/>
            <a:gd name="connsiteY29" fmla="*/ 1964 h 617016"/>
            <a:gd name="connsiteX0" fmla="*/ 76200 w 212271"/>
            <a:gd name="connsiteY0" fmla="*/ 1964 h 617016"/>
            <a:gd name="connsiteX1" fmla="*/ 48985 w 212271"/>
            <a:gd name="connsiteY1" fmla="*/ 56393 h 617016"/>
            <a:gd name="connsiteX2" fmla="*/ 32657 w 212271"/>
            <a:gd name="connsiteY2" fmla="*/ 99936 h 617016"/>
            <a:gd name="connsiteX3" fmla="*/ 21771 w 212271"/>
            <a:gd name="connsiteY3" fmla="*/ 154364 h 617016"/>
            <a:gd name="connsiteX4" fmla="*/ 10885 w 212271"/>
            <a:gd name="connsiteY4" fmla="*/ 197907 h 617016"/>
            <a:gd name="connsiteX5" fmla="*/ 5442 w 212271"/>
            <a:gd name="connsiteY5" fmla="*/ 219679 h 617016"/>
            <a:gd name="connsiteX6" fmla="*/ 0 w 212271"/>
            <a:gd name="connsiteY6" fmla="*/ 257779 h 617016"/>
            <a:gd name="connsiteX7" fmla="*/ 5442 w 212271"/>
            <a:gd name="connsiteY7" fmla="*/ 421064 h 617016"/>
            <a:gd name="connsiteX8" fmla="*/ 10885 w 212271"/>
            <a:gd name="connsiteY8" fmla="*/ 437393 h 617016"/>
            <a:gd name="connsiteX9" fmla="*/ 27214 w 212271"/>
            <a:gd name="connsiteY9" fmla="*/ 491821 h 617016"/>
            <a:gd name="connsiteX10" fmla="*/ 43542 w 212271"/>
            <a:gd name="connsiteY10" fmla="*/ 546250 h 617016"/>
            <a:gd name="connsiteX11" fmla="*/ 54428 w 212271"/>
            <a:gd name="connsiteY11" fmla="*/ 562579 h 617016"/>
            <a:gd name="connsiteX12" fmla="*/ 79941 w 212271"/>
            <a:gd name="connsiteY12" fmla="*/ 597151 h 617016"/>
            <a:gd name="connsiteX13" fmla="*/ 120423 w 212271"/>
            <a:gd name="connsiteY13" fmla="*/ 598428 h 617016"/>
            <a:gd name="connsiteX14" fmla="*/ 152400 w 212271"/>
            <a:gd name="connsiteY14" fmla="*/ 617007 h 617016"/>
            <a:gd name="connsiteX15" fmla="*/ 163285 w 212271"/>
            <a:gd name="connsiteY15" fmla="*/ 600679 h 617016"/>
            <a:gd name="connsiteX16" fmla="*/ 185057 w 212271"/>
            <a:gd name="connsiteY16" fmla="*/ 551693 h 617016"/>
            <a:gd name="connsiteX17" fmla="*/ 190500 w 212271"/>
            <a:gd name="connsiteY17" fmla="*/ 535364 h 617016"/>
            <a:gd name="connsiteX18" fmla="*/ 195942 w 212271"/>
            <a:gd name="connsiteY18" fmla="*/ 437393 h 617016"/>
            <a:gd name="connsiteX19" fmla="*/ 201385 w 212271"/>
            <a:gd name="connsiteY19" fmla="*/ 421064 h 617016"/>
            <a:gd name="connsiteX20" fmla="*/ 212271 w 212271"/>
            <a:gd name="connsiteY20" fmla="*/ 393850 h 617016"/>
            <a:gd name="connsiteX21" fmla="*/ 206828 w 212271"/>
            <a:gd name="connsiteY21" fmla="*/ 284993 h 617016"/>
            <a:gd name="connsiteX22" fmla="*/ 195942 w 212271"/>
            <a:gd name="connsiteY22" fmla="*/ 268664 h 617016"/>
            <a:gd name="connsiteX23" fmla="*/ 190500 w 212271"/>
            <a:gd name="connsiteY23" fmla="*/ 219679 h 617016"/>
            <a:gd name="connsiteX24" fmla="*/ 185057 w 212271"/>
            <a:gd name="connsiteY24" fmla="*/ 176136 h 617016"/>
            <a:gd name="connsiteX25" fmla="*/ 155034 w 212271"/>
            <a:gd name="connsiteY25" fmla="*/ 127262 h 617016"/>
            <a:gd name="connsiteX26" fmla="*/ 140110 w 212271"/>
            <a:gd name="connsiteY26" fmla="*/ 80121 h 617016"/>
            <a:gd name="connsiteX27" fmla="*/ 114300 w 212271"/>
            <a:gd name="connsiteY27" fmla="*/ 18293 h 617016"/>
            <a:gd name="connsiteX28" fmla="*/ 97971 w 212271"/>
            <a:gd name="connsiteY28" fmla="*/ 12850 h 617016"/>
            <a:gd name="connsiteX29" fmla="*/ 76200 w 212271"/>
            <a:gd name="connsiteY29" fmla="*/ 1964 h 617016"/>
            <a:gd name="connsiteX0" fmla="*/ 76200 w 212271"/>
            <a:gd name="connsiteY0" fmla="*/ 1964 h 600850"/>
            <a:gd name="connsiteX1" fmla="*/ 48985 w 212271"/>
            <a:gd name="connsiteY1" fmla="*/ 56393 h 600850"/>
            <a:gd name="connsiteX2" fmla="*/ 32657 w 212271"/>
            <a:gd name="connsiteY2" fmla="*/ 99936 h 600850"/>
            <a:gd name="connsiteX3" fmla="*/ 21771 w 212271"/>
            <a:gd name="connsiteY3" fmla="*/ 154364 h 600850"/>
            <a:gd name="connsiteX4" fmla="*/ 10885 w 212271"/>
            <a:gd name="connsiteY4" fmla="*/ 197907 h 600850"/>
            <a:gd name="connsiteX5" fmla="*/ 5442 w 212271"/>
            <a:gd name="connsiteY5" fmla="*/ 219679 h 600850"/>
            <a:gd name="connsiteX6" fmla="*/ 0 w 212271"/>
            <a:gd name="connsiteY6" fmla="*/ 257779 h 600850"/>
            <a:gd name="connsiteX7" fmla="*/ 5442 w 212271"/>
            <a:gd name="connsiteY7" fmla="*/ 421064 h 600850"/>
            <a:gd name="connsiteX8" fmla="*/ 10885 w 212271"/>
            <a:gd name="connsiteY8" fmla="*/ 437393 h 600850"/>
            <a:gd name="connsiteX9" fmla="*/ 27214 w 212271"/>
            <a:gd name="connsiteY9" fmla="*/ 491821 h 600850"/>
            <a:gd name="connsiteX10" fmla="*/ 43542 w 212271"/>
            <a:gd name="connsiteY10" fmla="*/ 546250 h 600850"/>
            <a:gd name="connsiteX11" fmla="*/ 54428 w 212271"/>
            <a:gd name="connsiteY11" fmla="*/ 562579 h 600850"/>
            <a:gd name="connsiteX12" fmla="*/ 79941 w 212271"/>
            <a:gd name="connsiteY12" fmla="*/ 597151 h 600850"/>
            <a:gd name="connsiteX13" fmla="*/ 120423 w 212271"/>
            <a:gd name="connsiteY13" fmla="*/ 598428 h 600850"/>
            <a:gd name="connsiteX14" fmla="*/ 147638 w 212271"/>
            <a:gd name="connsiteY14" fmla="*/ 568962 h 600850"/>
            <a:gd name="connsiteX15" fmla="*/ 163285 w 212271"/>
            <a:gd name="connsiteY15" fmla="*/ 600679 h 600850"/>
            <a:gd name="connsiteX16" fmla="*/ 185057 w 212271"/>
            <a:gd name="connsiteY16" fmla="*/ 551693 h 600850"/>
            <a:gd name="connsiteX17" fmla="*/ 190500 w 212271"/>
            <a:gd name="connsiteY17" fmla="*/ 535364 h 600850"/>
            <a:gd name="connsiteX18" fmla="*/ 195942 w 212271"/>
            <a:gd name="connsiteY18" fmla="*/ 437393 h 600850"/>
            <a:gd name="connsiteX19" fmla="*/ 201385 w 212271"/>
            <a:gd name="connsiteY19" fmla="*/ 421064 h 600850"/>
            <a:gd name="connsiteX20" fmla="*/ 212271 w 212271"/>
            <a:gd name="connsiteY20" fmla="*/ 393850 h 600850"/>
            <a:gd name="connsiteX21" fmla="*/ 206828 w 212271"/>
            <a:gd name="connsiteY21" fmla="*/ 284993 h 600850"/>
            <a:gd name="connsiteX22" fmla="*/ 195942 w 212271"/>
            <a:gd name="connsiteY22" fmla="*/ 268664 h 600850"/>
            <a:gd name="connsiteX23" fmla="*/ 190500 w 212271"/>
            <a:gd name="connsiteY23" fmla="*/ 219679 h 600850"/>
            <a:gd name="connsiteX24" fmla="*/ 185057 w 212271"/>
            <a:gd name="connsiteY24" fmla="*/ 176136 h 600850"/>
            <a:gd name="connsiteX25" fmla="*/ 155034 w 212271"/>
            <a:gd name="connsiteY25" fmla="*/ 127262 h 600850"/>
            <a:gd name="connsiteX26" fmla="*/ 140110 w 212271"/>
            <a:gd name="connsiteY26" fmla="*/ 80121 h 600850"/>
            <a:gd name="connsiteX27" fmla="*/ 114300 w 212271"/>
            <a:gd name="connsiteY27" fmla="*/ 18293 h 600850"/>
            <a:gd name="connsiteX28" fmla="*/ 97971 w 212271"/>
            <a:gd name="connsiteY28" fmla="*/ 12850 h 600850"/>
            <a:gd name="connsiteX29" fmla="*/ 76200 w 212271"/>
            <a:gd name="connsiteY29" fmla="*/ 1964 h 600850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85057 w 212271"/>
            <a:gd name="connsiteY16" fmla="*/ 551693 h 600124"/>
            <a:gd name="connsiteX17" fmla="*/ 190500 w 212271"/>
            <a:gd name="connsiteY17" fmla="*/ 535364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90500 w 212271"/>
            <a:gd name="connsiteY17" fmla="*/ 535364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69069 w 212271"/>
            <a:gd name="connsiteY17" fmla="*/ 484917 h 600124"/>
            <a:gd name="connsiteX18" fmla="*/ 195942 w 212271"/>
            <a:gd name="connsiteY18" fmla="*/ 437393 h 600124"/>
            <a:gd name="connsiteX19" fmla="*/ 201385 w 212271"/>
            <a:gd name="connsiteY19" fmla="*/ 421064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12271"/>
            <a:gd name="connsiteY0" fmla="*/ 1964 h 600124"/>
            <a:gd name="connsiteX1" fmla="*/ 48985 w 212271"/>
            <a:gd name="connsiteY1" fmla="*/ 56393 h 600124"/>
            <a:gd name="connsiteX2" fmla="*/ 32657 w 212271"/>
            <a:gd name="connsiteY2" fmla="*/ 99936 h 600124"/>
            <a:gd name="connsiteX3" fmla="*/ 21771 w 212271"/>
            <a:gd name="connsiteY3" fmla="*/ 154364 h 600124"/>
            <a:gd name="connsiteX4" fmla="*/ 10885 w 212271"/>
            <a:gd name="connsiteY4" fmla="*/ 197907 h 600124"/>
            <a:gd name="connsiteX5" fmla="*/ 5442 w 212271"/>
            <a:gd name="connsiteY5" fmla="*/ 219679 h 600124"/>
            <a:gd name="connsiteX6" fmla="*/ 0 w 212271"/>
            <a:gd name="connsiteY6" fmla="*/ 257779 h 600124"/>
            <a:gd name="connsiteX7" fmla="*/ 5442 w 212271"/>
            <a:gd name="connsiteY7" fmla="*/ 421064 h 600124"/>
            <a:gd name="connsiteX8" fmla="*/ 10885 w 212271"/>
            <a:gd name="connsiteY8" fmla="*/ 437393 h 600124"/>
            <a:gd name="connsiteX9" fmla="*/ 27214 w 212271"/>
            <a:gd name="connsiteY9" fmla="*/ 491821 h 600124"/>
            <a:gd name="connsiteX10" fmla="*/ 43542 w 212271"/>
            <a:gd name="connsiteY10" fmla="*/ 546250 h 600124"/>
            <a:gd name="connsiteX11" fmla="*/ 54428 w 212271"/>
            <a:gd name="connsiteY11" fmla="*/ 562579 h 600124"/>
            <a:gd name="connsiteX12" fmla="*/ 79941 w 212271"/>
            <a:gd name="connsiteY12" fmla="*/ 597151 h 600124"/>
            <a:gd name="connsiteX13" fmla="*/ 120423 w 212271"/>
            <a:gd name="connsiteY13" fmla="*/ 598428 h 600124"/>
            <a:gd name="connsiteX14" fmla="*/ 147638 w 212271"/>
            <a:gd name="connsiteY14" fmla="*/ 568962 h 600124"/>
            <a:gd name="connsiteX15" fmla="*/ 156142 w 212271"/>
            <a:gd name="connsiteY15" fmla="*/ 547829 h 600124"/>
            <a:gd name="connsiteX16" fmla="*/ 168389 w 212271"/>
            <a:gd name="connsiteY16" fmla="*/ 520464 h 600124"/>
            <a:gd name="connsiteX17" fmla="*/ 169069 w 212271"/>
            <a:gd name="connsiteY17" fmla="*/ 484917 h 600124"/>
            <a:gd name="connsiteX18" fmla="*/ 195942 w 212271"/>
            <a:gd name="connsiteY18" fmla="*/ 437393 h 600124"/>
            <a:gd name="connsiteX19" fmla="*/ 187097 w 212271"/>
            <a:gd name="connsiteY19" fmla="*/ 418661 h 600124"/>
            <a:gd name="connsiteX20" fmla="*/ 212271 w 212271"/>
            <a:gd name="connsiteY20" fmla="*/ 393850 h 600124"/>
            <a:gd name="connsiteX21" fmla="*/ 206828 w 212271"/>
            <a:gd name="connsiteY21" fmla="*/ 284993 h 600124"/>
            <a:gd name="connsiteX22" fmla="*/ 195942 w 212271"/>
            <a:gd name="connsiteY22" fmla="*/ 268664 h 600124"/>
            <a:gd name="connsiteX23" fmla="*/ 190500 w 212271"/>
            <a:gd name="connsiteY23" fmla="*/ 219679 h 600124"/>
            <a:gd name="connsiteX24" fmla="*/ 185057 w 212271"/>
            <a:gd name="connsiteY24" fmla="*/ 176136 h 600124"/>
            <a:gd name="connsiteX25" fmla="*/ 155034 w 212271"/>
            <a:gd name="connsiteY25" fmla="*/ 127262 h 600124"/>
            <a:gd name="connsiteX26" fmla="*/ 140110 w 212271"/>
            <a:gd name="connsiteY26" fmla="*/ 80121 h 600124"/>
            <a:gd name="connsiteX27" fmla="*/ 114300 w 212271"/>
            <a:gd name="connsiteY27" fmla="*/ 18293 h 600124"/>
            <a:gd name="connsiteX28" fmla="*/ 97971 w 212271"/>
            <a:gd name="connsiteY28" fmla="*/ 12850 h 600124"/>
            <a:gd name="connsiteX29" fmla="*/ 76200 w 212271"/>
            <a:gd name="connsiteY29" fmla="*/ 1964 h 600124"/>
            <a:gd name="connsiteX0" fmla="*/ 76200 w 206878"/>
            <a:gd name="connsiteY0" fmla="*/ 1964 h 600124"/>
            <a:gd name="connsiteX1" fmla="*/ 48985 w 206878"/>
            <a:gd name="connsiteY1" fmla="*/ 56393 h 600124"/>
            <a:gd name="connsiteX2" fmla="*/ 32657 w 206878"/>
            <a:gd name="connsiteY2" fmla="*/ 99936 h 600124"/>
            <a:gd name="connsiteX3" fmla="*/ 21771 w 206878"/>
            <a:gd name="connsiteY3" fmla="*/ 154364 h 600124"/>
            <a:gd name="connsiteX4" fmla="*/ 10885 w 206878"/>
            <a:gd name="connsiteY4" fmla="*/ 197907 h 600124"/>
            <a:gd name="connsiteX5" fmla="*/ 5442 w 206878"/>
            <a:gd name="connsiteY5" fmla="*/ 219679 h 600124"/>
            <a:gd name="connsiteX6" fmla="*/ 0 w 206878"/>
            <a:gd name="connsiteY6" fmla="*/ 257779 h 600124"/>
            <a:gd name="connsiteX7" fmla="*/ 5442 w 206878"/>
            <a:gd name="connsiteY7" fmla="*/ 421064 h 600124"/>
            <a:gd name="connsiteX8" fmla="*/ 10885 w 206878"/>
            <a:gd name="connsiteY8" fmla="*/ 437393 h 600124"/>
            <a:gd name="connsiteX9" fmla="*/ 27214 w 206878"/>
            <a:gd name="connsiteY9" fmla="*/ 491821 h 600124"/>
            <a:gd name="connsiteX10" fmla="*/ 43542 w 206878"/>
            <a:gd name="connsiteY10" fmla="*/ 546250 h 600124"/>
            <a:gd name="connsiteX11" fmla="*/ 54428 w 206878"/>
            <a:gd name="connsiteY11" fmla="*/ 562579 h 600124"/>
            <a:gd name="connsiteX12" fmla="*/ 79941 w 206878"/>
            <a:gd name="connsiteY12" fmla="*/ 597151 h 600124"/>
            <a:gd name="connsiteX13" fmla="*/ 120423 w 206878"/>
            <a:gd name="connsiteY13" fmla="*/ 598428 h 600124"/>
            <a:gd name="connsiteX14" fmla="*/ 147638 w 206878"/>
            <a:gd name="connsiteY14" fmla="*/ 568962 h 600124"/>
            <a:gd name="connsiteX15" fmla="*/ 156142 w 206878"/>
            <a:gd name="connsiteY15" fmla="*/ 547829 h 600124"/>
            <a:gd name="connsiteX16" fmla="*/ 168389 w 206878"/>
            <a:gd name="connsiteY16" fmla="*/ 520464 h 600124"/>
            <a:gd name="connsiteX17" fmla="*/ 169069 w 206878"/>
            <a:gd name="connsiteY17" fmla="*/ 484917 h 600124"/>
            <a:gd name="connsiteX18" fmla="*/ 195942 w 206878"/>
            <a:gd name="connsiteY18" fmla="*/ 437393 h 600124"/>
            <a:gd name="connsiteX19" fmla="*/ 187097 w 206878"/>
            <a:gd name="connsiteY19" fmla="*/ 418661 h 600124"/>
            <a:gd name="connsiteX20" fmla="*/ 190840 w 206878"/>
            <a:gd name="connsiteY20" fmla="*/ 367425 h 600124"/>
            <a:gd name="connsiteX21" fmla="*/ 206828 w 206878"/>
            <a:gd name="connsiteY21" fmla="*/ 284993 h 600124"/>
            <a:gd name="connsiteX22" fmla="*/ 195942 w 206878"/>
            <a:gd name="connsiteY22" fmla="*/ 268664 h 600124"/>
            <a:gd name="connsiteX23" fmla="*/ 190500 w 206878"/>
            <a:gd name="connsiteY23" fmla="*/ 219679 h 600124"/>
            <a:gd name="connsiteX24" fmla="*/ 185057 w 206878"/>
            <a:gd name="connsiteY24" fmla="*/ 176136 h 600124"/>
            <a:gd name="connsiteX25" fmla="*/ 155034 w 206878"/>
            <a:gd name="connsiteY25" fmla="*/ 127262 h 600124"/>
            <a:gd name="connsiteX26" fmla="*/ 140110 w 206878"/>
            <a:gd name="connsiteY26" fmla="*/ 80121 h 600124"/>
            <a:gd name="connsiteX27" fmla="*/ 114300 w 206878"/>
            <a:gd name="connsiteY27" fmla="*/ 18293 h 600124"/>
            <a:gd name="connsiteX28" fmla="*/ 97971 w 206878"/>
            <a:gd name="connsiteY28" fmla="*/ 12850 h 600124"/>
            <a:gd name="connsiteX29" fmla="*/ 76200 w 206878"/>
            <a:gd name="connsiteY29" fmla="*/ 1964 h 600124"/>
            <a:gd name="connsiteX0" fmla="*/ 76200 w 206878"/>
            <a:gd name="connsiteY0" fmla="*/ 1964 h 600124"/>
            <a:gd name="connsiteX1" fmla="*/ 48985 w 206878"/>
            <a:gd name="connsiteY1" fmla="*/ 56393 h 600124"/>
            <a:gd name="connsiteX2" fmla="*/ 32657 w 206878"/>
            <a:gd name="connsiteY2" fmla="*/ 99936 h 600124"/>
            <a:gd name="connsiteX3" fmla="*/ 21771 w 206878"/>
            <a:gd name="connsiteY3" fmla="*/ 154364 h 600124"/>
            <a:gd name="connsiteX4" fmla="*/ 10885 w 206878"/>
            <a:gd name="connsiteY4" fmla="*/ 197907 h 600124"/>
            <a:gd name="connsiteX5" fmla="*/ 5442 w 206878"/>
            <a:gd name="connsiteY5" fmla="*/ 219679 h 600124"/>
            <a:gd name="connsiteX6" fmla="*/ 0 w 206878"/>
            <a:gd name="connsiteY6" fmla="*/ 257779 h 600124"/>
            <a:gd name="connsiteX7" fmla="*/ 5442 w 206878"/>
            <a:gd name="connsiteY7" fmla="*/ 421064 h 600124"/>
            <a:gd name="connsiteX8" fmla="*/ 10885 w 206878"/>
            <a:gd name="connsiteY8" fmla="*/ 437393 h 600124"/>
            <a:gd name="connsiteX9" fmla="*/ 27214 w 206878"/>
            <a:gd name="connsiteY9" fmla="*/ 491821 h 600124"/>
            <a:gd name="connsiteX10" fmla="*/ 43542 w 206878"/>
            <a:gd name="connsiteY10" fmla="*/ 546250 h 600124"/>
            <a:gd name="connsiteX11" fmla="*/ 54428 w 206878"/>
            <a:gd name="connsiteY11" fmla="*/ 562579 h 600124"/>
            <a:gd name="connsiteX12" fmla="*/ 79941 w 206878"/>
            <a:gd name="connsiteY12" fmla="*/ 597151 h 600124"/>
            <a:gd name="connsiteX13" fmla="*/ 120423 w 206878"/>
            <a:gd name="connsiteY13" fmla="*/ 598428 h 600124"/>
            <a:gd name="connsiteX14" fmla="*/ 147638 w 206878"/>
            <a:gd name="connsiteY14" fmla="*/ 568962 h 600124"/>
            <a:gd name="connsiteX15" fmla="*/ 156142 w 206878"/>
            <a:gd name="connsiteY15" fmla="*/ 547829 h 600124"/>
            <a:gd name="connsiteX16" fmla="*/ 168389 w 206878"/>
            <a:gd name="connsiteY16" fmla="*/ 520464 h 600124"/>
            <a:gd name="connsiteX17" fmla="*/ 169069 w 206878"/>
            <a:gd name="connsiteY17" fmla="*/ 484917 h 600124"/>
            <a:gd name="connsiteX18" fmla="*/ 179274 w 206878"/>
            <a:gd name="connsiteY18" fmla="*/ 439796 h 600124"/>
            <a:gd name="connsiteX19" fmla="*/ 187097 w 206878"/>
            <a:gd name="connsiteY19" fmla="*/ 418661 h 600124"/>
            <a:gd name="connsiteX20" fmla="*/ 190840 w 206878"/>
            <a:gd name="connsiteY20" fmla="*/ 367425 h 600124"/>
            <a:gd name="connsiteX21" fmla="*/ 206828 w 206878"/>
            <a:gd name="connsiteY21" fmla="*/ 284993 h 600124"/>
            <a:gd name="connsiteX22" fmla="*/ 195942 w 206878"/>
            <a:gd name="connsiteY22" fmla="*/ 268664 h 600124"/>
            <a:gd name="connsiteX23" fmla="*/ 190500 w 206878"/>
            <a:gd name="connsiteY23" fmla="*/ 219679 h 600124"/>
            <a:gd name="connsiteX24" fmla="*/ 185057 w 206878"/>
            <a:gd name="connsiteY24" fmla="*/ 176136 h 600124"/>
            <a:gd name="connsiteX25" fmla="*/ 155034 w 206878"/>
            <a:gd name="connsiteY25" fmla="*/ 127262 h 600124"/>
            <a:gd name="connsiteX26" fmla="*/ 140110 w 206878"/>
            <a:gd name="connsiteY26" fmla="*/ 80121 h 600124"/>
            <a:gd name="connsiteX27" fmla="*/ 114300 w 206878"/>
            <a:gd name="connsiteY27" fmla="*/ 18293 h 600124"/>
            <a:gd name="connsiteX28" fmla="*/ 97971 w 206878"/>
            <a:gd name="connsiteY28" fmla="*/ 12850 h 600124"/>
            <a:gd name="connsiteX29" fmla="*/ 76200 w 206878"/>
            <a:gd name="connsiteY29" fmla="*/ 1964 h 600124"/>
            <a:gd name="connsiteX0" fmla="*/ 76200 w 195942"/>
            <a:gd name="connsiteY0" fmla="*/ 1964 h 600124"/>
            <a:gd name="connsiteX1" fmla="*/ 48985 w 195942"/>
            <a:gd name="connsiteY1" fmla="*/ 56393 h 600124"/>
            <a:gd name="connsiteX2" fmla="*/ 32657 w 195942"/>
            <a:gd name="connsiteY2" fmla="*/ 99936 h 600124"/>
            <a:gd name="connsiteX3" fmla="*/ 21771 w 195942"/>
            <a:gd name="connsiteY3" fmla="*/ 154364 h 600124"/>
            <a:gd name="connsiteX4" fmla="*/ 10885 w 195942"/>
            <a:gd name="connsiteY4" fmla="*/ 197907 h 600124"/>
            <a:gd name="connsiteX5" fmla="*/ 5442 w 195942"/>
            <a:gd name="connsiteY5" fmla="*/ 219679 h 600124"/>
            <a:gd name="connsiteX6" fmla="*/ 0 w 195942"/>
            <a:gd name="connsiteY6" fmla="*/ 257779 h 600124"/>
            <a:gd name="connsiteX7" fmla="*/ 5442 w 195942"/>
            <a:gd name="connsiteY7" fmla="*/ 421064 h 600124"/>
            <a:gd name="connsiteX8" fmla="*/ 10885 w 195942"/>
            <a:gd name="connsiteY8" fmla="*/ 437393 h 600124"/>
            <a:gd name="connsiteX9" fmla="*/ 27214 w 195942"/>
            <a:gd name="connsiteY9" fmla="*/ 491821 h 600124"/>
            <a:gd name="connsiteX10" fmla="*/ 43542 w 195942"/>
            <a:gd name="connsiteY10" fmla="*/ 546250 h 600124"/>
            <a:gd name="connsiteX11" fmla="*/ 54428 w 195942"/>
            <a:gd name="connsiteY11" fmla="*/ 562579 h 600124"/>
            <a:gd name="connsiteX12" fmla="*/ 79941 w 195942"/>
            <a:gd name="connsiteY12" fmla="*/ 597151 h 600124"/>
            <a:gd name="connsiteX13" fmla="*/ 120423 w 195942"/>
            <a:gd name="connsiteY13" fmla="*/ 598428 h 600124"/>
            <a:gd name="connsiteX14" fmla="*/ 147638 w 195942"/>
            <a:gd name="connsiteY14" fmla="*/ 568962 h 600124"/>
            <a:gd name="connsiteX15" fmla="*/ 156142 w 195942"/>
            <a:gd name="connsiteY15" fmla="*/ 547829 h 600124"/>
            <a:gd name="connsiteX16" fmla="*/ 168389 w 195942"/>
            <a:gd name="connsiteY16" fmla="*/ 520464 h 600124"/>
            <a:gd name="connsiteX17" fmla="*/ 169069 w 195942"/>
            <a:gd name="connsiteY17" fmla="*/ 484917 h 600124"/>
            <a:gd name="connsiteX18" fmla="*/ 179274 w 195942"/>
            <a:gd name="connsiteY18" fmla="*/ 439796 h 600124"/>
            <a:gd name="connsiteX19" fmla="*/ 187097 w 195942"/>
            <a:gd name="connsiteY19" fmla="*/ 418661 h 600124"/>
            <a:gd name="connsiteX20" fmla="*/ 190840 w 195942"/>
            <a:gd name="connsiteY20" fmla="*/ 367425 h 600124"/>
            <a:gd name="connsiteX21" fmla="*/ 190159 w 195942"/>
            <a:gd name="connsiteY21" fmla="*/ 311418 h 600124"/>
            <a:gd name="connsiteX22" fmla="*/ 195942 w 195942"/>
            <a:gd name="connsiteY22" fmla="*/ 268664 h 600124"/>
            <a:gd name="connsiteX23" fmla="*/ 190500 w 195942"/>
            <a:gd name="connsiteY23" fmla="*/ 219679 h 600124"/>
            <a:gd name="connsiteX24" fmla="*/ 185057 w 195942"/>
            <a:gd name="connsiteY24" fmla="*/ 176136 h 600124"/>
            <a:gd name="connsiteX25" fmla="*/ 155034 w 195942"/>
            <a:gd name="connsiteY25" fmla="*/ 127262 h 600124"/>
            <a:gd name="connsiteX26" fmla="*/ 140110 w 195942"/>
            <a:gd name="connsiteY26" fmla="*/ 80121 h 600124"/>
            <a:gd name="connsiteX27" fmla="*/ 114300 w 195942"/>
            <a:gd name="connsiteY27" fmla="*/ 18293 h 600124"/>
            <a:gd name="connsiteX28" fmla="*/ 97971 w 195942"/>
            <a:gd name="connsiteY28" fmla="*/ 12850 h 600124"/>
            <a:gd name="connsiteX29" fmla="*/ 76200 w 195942"/>
            <a:gd name="connsiteY29" fmla="*/ 1964 h 600124"/>
            <a:gd name="connsiteX0" fmla="*/ 76200 w 196398"/>
            <a:gd name="connsiteY0" fmla="*/ 1964 h 600124"/>
            <a:gd name="connsiteX1" fmla="*/ 48985 w 196398"/>
            <a:gd name="connsiteY1" fmla="*/ 56393 h 600124"/>
            <a:gd name="connsiteX2" fmla="*/ 32657 w 196398"/>
            <a:gd name="connsiteY2" fmla="*/ 99936 h 600124"/>
            <a:gd name="connsiteX3" fmla="*/ 21771 w 196398"/>
            <a:gd name="connsiteY3" fmla="*/ 154364 h 600124"/>
            <a:gd name="connsiteX4" fmla="*/ 10885 w 196398"/>
            <a:gd name="connsiteY4" fmla="*/ 197907 h 600124"/>
            <a:gd name="connsiteX5" fmla="*/ 5442 w 196398"/>
            <a:gd name="connsiteY5" fmla="*/ 219679 h 600124"/>
            <a:gd name="connsiteX6" fmla="*/ 0 w 196398"/>
            <a:gd name="connsiteY6" fmla="*/ 257779 h 600124"/>
            <a:gd name="connsiteX7" fmla="*/ 5442 w 196398"/>
            <a:gd name="connsiteY7" fmla="*/ 421064 h 600124"/>
            <a:gd name="connsiteX8" fmla="*/ 10885 w 196398"/>
            <a:gd name="connsiteY8" fmla="*/ 437393 h 600124"/>
            <a:gd name="connsiteX9" fmla="*/ 27214 w 196398"/>
            <a:gd name="connsiteY9" fmla="*/ 491821 h 600124"/>
            <a:gd name="connsiteX10" fmla="*/ 43542 w 196398"/>
            <a:gd name="connsiteY10" fmla="*/ 546250 h 600124"/>
            <a:gd name="connsiteX11" fmla="*/ 54428 w 196398"/>
            <a:gd name="connsiteY11" fmla="*/ 562579 h 600124"/>
            <a:gd name="connsiteX12" fmla="*/ 79941 w 196398"/>
            <a:gd name="connsiteY12" fmla="*/ 597151 h 600124"/>
            <a:gd name="connsiteX13" fmla="*/ 120423 w 196398"/>
            <a:gd name="connsiteY13" fmla="*/ 598428 h 600124"/>
            <a:gd name="connsiteX14" fmla="*/ 147638 w 196398"/>
            <a:gd name="connsiteY14" fmla="*/ 568962 h 600124"/>
            <a:gd name="connsiteX15" fmla="*/ 156142 w 196398"/>
            <a:gd name="connsiteY15" fmla="*/ 547829 h 600124"/>
            <a:gd name="connsiteX16" fmla="*/ 168389 w 196398"/>
            <a:gd name="connsiteY16" fmla="*/ 520464 h 600124"/>
            <a:gd name="connsiteX17" fmla="*/ 169069 w 196398"/>
            <a:gd name="connsiteY17" fmla="*/ 484917 h 600124"/>
            <a:gd name="connsiteX18" fmla="*/ 179274 w 196398"/>
            <a:gd name="connsiteY18" fmla="*/ 439796 h 600124"/>
            <a:gd name="connsiteX19" fmla="*/ 187097 w 196398"/>
            <a:gd name="connsiteY19" fmla="*/ 418661 h 600124"/>
            <a:gd name="connsiteX20" fmla="*/ 190840 w 196398"/>
            <a:gd name="connsiteY20" fmla="*/ 367425 h 600124"/>
            <a:gd name="connsiteX21" fmla="*/ 190159 w 196398"/>
            <a:gd name="connsiteY21" fmla="*/ 311418 h 600124"/>
            <a:gd name="connsiteX22" fmla="*/ 195942 w 196398"/>
            <a:gd name="connsiteY22" fmla="*/ 268664 h 600124"/>
            <a:gd name="connsiteX23" fmla="*/ 176212 w 196398"/>
            <a:gd name="connsiteY23" fmla="*/ 222082 h 600124"/>
            <a:gd name="connsiteX24" fmla="*/ 185057 w 196398"/>
            <a:gd name="connsiteY24" fmla="*/ 176136 h 600124"/>
            <a:gd name="connsiteX25" fmla="*/ 155034 w 196398"/>
            <a:gd name="connsiteY25" fmla="*/ 127262 h 600124"/>
            <a:gd name="connsiteX26" fmla="*/ 140110 w 196398"/>
            <a:gd name="connsiteY26" fmla="*/ 80121 h 600124"/>
            <a:gd name="connsiteX27" fmla="*/ 114300 w 196398"/>
            <a:gd name="connsiteY27" fmla="*/ 18293 h 600124"/>
            <a:gd name="connsiteX28" fmla="*/ 97971 w 196398"/>
            <a:gd name="connsiteY28" fmla="*/ 12850 h 600124"/>
            <a:gd name="connsiteX29" fmla="*/ 76200 w 196398"/>
            <a:gd name="connsiteY29" fmla="*/ 1964 h 600124"/>
            <a:gd name="connsiteX0" fmla="*/ 76200 w 196398"/>
            <a:gd name="connsiteY0" fmla="*/ 1964 h 600124"/>
            <a:gd name="connsiteX1" fmla="*/ 48985 w 196398"/>
            <a:gd name="connsiteY1" fmla="*/ 56393 h 600124"/>
            <a:gd name="connsiteX2" fmla="*/ 32657 w 196398"/>
            <a:gd name="connsiteY2" fmla="*/ 99936 h 600124"/>
            <a:gd name="connsiteX3" fmla="*/ 21771 w 196398"/>
            <a:gd name="connsiteY3" fmla="*/ 154364 h 600124"/>
            <a:gd name="connsiteX4" fmla="*/ 10885 w 196398"/>
            <a:gd name="connsiteY4" fmla="*/ 197907 h 600124"/>
            <a:gd name="connsiteX5" fmla="*/ 5442 w 196398"/>
            <a:gd name="connsiteY5" fmla="*/ 219679 h 600124"/>
            <a:gd name="connsiteX6" fmla="*/ 0 w 196398"/>
            <a:gd name="connsiteY6" fmla="*/ 257779 h 600124"/>
            <a:gd name="connsiteX7" fmla="*/ 5442 w 196398"/>
            <a:gd name="connsiteY7" fmla="*/ 421064 h 600124"/>
            <a:gd name="connsiteX8" fmla="*/ 10885 w 196398"/>
            <a:gd name="connsiteY8" fmla="*/ 437393 h 600124"/>
            <a:gd name="connsiteX9" fmla="*/ 27214 w 196398"/>
            <a:gd name="connsiteY9" fmla="*/ 491821 h 600124"/>
            <a:gd name="connsiteX10" fmla="*/ 43542 w 196398"/>
            <a:gd name="connsiteY10" fmla="*/ 546250 h 600124"/>
            <a:gd name="connsiteX11" fmla="*/ 54428 w 196398"/>
            <a:gd name="connsiteY11" fmla="*/ 562579 h 600124"/>
            <a:gd name="connsiteX12" fmla="*/ 79941 w 196398"/>
            <a:gd name="connsiteY12" fmla="*/ 597151 h 600124"/>
            <a:gd name="connsiteX13" fmla="*/ 120423 w 196398"/>
            <a:gd name="connsiteY13" fmla="*/ 598428 h 600124"/>
            <a:gd name="connsiteX14" fmla="*/ 147638 w 196398"/>
            <a:gd name="connsiteY14" fmla="*/ 568962 h 600124"/>
            <a:gd name="connsiteX15" fmla="*/ 156142 w 196398"/>
            <a:gd name="connsiteY15" fmla="*/ 547829 h 600124"/>
            <a:gd name="connsiteX16" fmla="*/ 168389 w 196398"/>
            <a:gd name="connsiteY16" fmla="*/ 520464 h 600124"/>
            <a:gd name="connsiteX17" fmla="*/ 169069 w 196398"/>
            <a:gd name="connsiteY17" fmla="*/ 484917 h 600124"/>
            <a:gd name="connsiteX18" fmla="*/ 179274 w 196398"/>
            <a:gd name="connsiteY18" fmla="*/ 439796 h 600124"/>
            <a:gd name="connsiteX19" fmla="*/ 187097 w 196398"/>
            <a:gd name="connsiteY19" fmla="*/ 418661 h 600124"/>
            <a:gd name="connsiteX20" fmla="*/ 190840 w 196398"/>
            <a:gd name="connsiteY20" fmla="*/ 367425 h 600124"/>
            <a:gd name="connsiteX21" fmla="*/ 190159 w 196398"/>
            <a:gd name="connsiteY21" fmla="*/ 311418 h 600124"/>
            <a:gd name="connsiteX22" fmla="*/ 195942 w 196398"/>
            <a:gd name="connsiteY22" fmla="*/ 268664 h 600124"/>
            <a:gd name="connsiteX23" fmla="*/ 176212 w 196398"/>
            <a:gd name="connsiteY23" fmla="*/ 222082 h 600124"/>
            <a:gd name="connsiteX24" fmla="*/ 163626 w 196398"/>
            <a:gd name="connsiteY24" fmla="*/ 171331 h 600124"/>
            <a:gd name="connsiteX25" fmla="*/ 155034 w 196398"/>
            <a:gd name="connsiteY25" fmla="*/ 127262 h 600124"/>
            <a:gd name="connsiteX26" fmla="*/ 140110 w 196398"/>
            <a:gd name="connsiteY26" fmla="*/ 80121 h 600124"/>
            <a:gd name="connsiteX27" fmla="*/ 114300 w 196398"/>
            <a:gd name="connsiteY27" fmla="*/ 18293 h 600124"/>
            <a:gd name="connsiteX28" fmla="*/ 97971 w 196398"/>
            <a:gd name="connsiteY28" fmla="*/ 12850 h 600124"/>
            <a:gd name="connsiteX29" fmla="*/ 76200 w 196398"/>
            <a:gd name="connsiteY29" fmla="*/ 1964 h 600124"/>
            <a:gd name="connsiteX0" fmla="*/ 76200 w 190840"/>
            <a:gd name="connsiteY0" fmla="*/ 1964 h 600124"/>
            <a:gd name="connsiteX1" fmla="*/ 48985 w 190840"/>
            <a:gd name="connsiteY1" fmla="*/ 56393 h 600124"/>
            <a:gd name="connsiteX2" fmla="*/ 32657 w 190840"/>
            <a:gd name="connsiteY2" fmla="*/ 99936 h 600124"/>
            <a:gd name="connsiteX3" fmla="*/ 21771 w 190840"/>
            <a:gd name="connsiteY3" fmla="*/ 154364 h 600124"/>
            <a:gd name="connsiteX4" fmla="*/ 10885 w 190840"/>
            <a:gd name="connsiteY4" fmla="*/ 197907 h 600124"/>
            <a:gd name="connsiteX5" fmla="*/ 5442 w 190840"/>
            <a:gd name="connsiteY5" fmla="*/ 219679 h 600124"/>
            <a:gd name="connsiteX6" fmla="*/ 0 w 190840"/>
            <a:gd name="connsiteY6" fmla="*/ 257779 h 600124"/>
            <a:gd name="connsiteX7" fmla="*/ 5442 w 190840"/>
            <a:gd name="connsiteY7" fmla="*/ 421064 h 600124"/>
            <a:gd name="connsiteX8" fmla="*/ 10885 w 190840"/>
            <a:gd name="connsiteY8" fmla="*/ 437393 h 600124"/>
            <a:gd name="connsiteX9" fmla="*/ 27214 w 190840"/>
            <a:gd name="connsiteY9" fmla="*/ 491821 h 600124"/>
            <a:gd name="connsiteX10" fmla="*/ 43542 w 190840"/>
            <a:gd name="connsiteY10" fmla="*/ 546250 h 600124"/>
            <a:gd name="connsiteX11" fmla="*/ 54428 w 190840"/>
            <a:gd name="connsiteY11" fmla="*/ 562579 h 600124"/>
            <a:gd name="connsiteX12" fmla="*/ 79941 w 190840"/>
            <a:gd name="connsiteY12" fmla="*/ 597151 h 600124"/>
            <a:gd name="connsiteX13" fmla="*/ 120423 w 190840"/>
            <a:gd name="connsiteY13" fmla="*/ 598428 h 600124"/>
            <a:gd name="connsiteX14" fmla="*/ 147638 w 190840"/>
            <a:gd name="connsiteY14" fmla="*/ 568962 h 600124"/>
            <a:gd name="connsiteX15" fmla="*/ 156142 w 190840"/>
            <a:gd name="connsiteY15" fmla="*/ 547829 h 600124"/>
            <a:gd name="connsiteX16" fmla="*/ 168389 w 190840"/>
            <a:gd name="connsiteY16" fmla="*/ 520464 h 600124"/>
            <a:gd name="connsiteX17" fmla="*/ 169069 w 190840"/>
            <a:gd name="connsiteY17" fmla="*/ 484917 h 600124"/>
            <a:gd name="connsiteX18" fmla="*/ 179274 w 190840"/>
            <a:gd name="connsiteY18" fmla="*/ 439796 h 600124"/>
            <a:gd name="connsiteX19" fmla="*/ 187097 w 190840"/>
            <a:gd name="connsiteY19" fmla="*/ 418661 h 600124"/>
            <a:gd name="connsiteX20" fmla="*/ 190840 w 190840"/>
            <a:gd name="connsiteY20" fmla="*/ 367425 h 600124"/>
            <a:gd name="connsiteX21" fmla="*/ 190159 w 190840"/>
            <a:gd name="connsiteY21" fmla="*/ 311418 h 600124"/>
            <a:gd name="connsiteX22" fmla="*/ 186417 w 190840"/>
            <a:gd name="connsiteY22" fmla="*/ 268664 h 600124"/>
            <a:gd name="connsiteX23" fmla="*/ 176212 w 190840"/>
            <a:gd name="connsiteY23" fmla="*/ 222082 h 600124"/>
            <a:gd name="connsiteX24" fmla="*/ 163626 w 190840"/>
            <a:gd name="connsiteY24" fmla="*/ 171331 h 600124"/>
            <a:gd name="connsiteX25" fmla="*/ 155034 w 190840"/>
            <a:gd name="connsiteY25" fmla="*/ 127262 h 600124"/>
            <a:gd name="connsiteX26" fmla="*/ 140110 w 190840"/>
            <a:gd name="connsiteY26" fmla="*/ 80121 h 600124"/>
            <a:gd name="connsiteX27" fmla="*/ 114300 w 190840"/>
            <a:gd name="connsiteY27" fmla="*/ 18293 h 600124"/>
            <a:gd name="connsiteX28" fmla="*/ 97971 w 190840"/>
            <a:gd name="connsiteY28" fmla="*/ 12850 h 600124"/>
            <a:gd name="connsiteX29" fmla="*/ 76200 w 190840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76212 w 192344"/>
            <a:gd name="connsiteY23" fmla="*/ 222082 h 600124"/>
            <a:gd name="connsiteX24" fmla="*/ 163626 w 192344"/>
            <a:gd name="connsiteY24" fmla="*/ 171331 h 600124"/>
            <a:gd name="connsiteX25" fmla="*/ 155034 w 192344"/>
            <a:gd name="connsiteY25" fmla="*/ 127262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63626 w 192344"/>
            <a:gd name="connsiteY24" fmla="*/ 171331 h 600124"/>
            <a:gd name="connsiteX25" fmla="*/ 155034 w 192344"/>
            <a:gd name="connsiteY25" fmla="*/ 127262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55034 w 192344"/>
            <a:gd name="connsiteY25" fmla="*/ 127262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39405 w 192344"/>
            <a:gd name="connsiteY25" fmla="*/ 110431 h 600124"/>
            <a:gd name="connsiteX26" fmla="*/ 140110 w 192344"/>
            <a:gd name="connsiteY26" fmla="*/ 80121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39405 w 192344"/>
            <a:gd name="connsiteY25" fmla="*/ 110431 h 600124"/>
            <a:gd name="connsiteX26" fmla="*/ 131062 w 192344"/>
            <a:gd name="connsiteY26" fmla="*/ 67174 h 600124"/>
            <a:gd name="connsiteX27" fmla="*/ 114300 w 192344"/>
            <a:gd name="connsiteY27" fmla="*/ 18293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1964 h 600124"/>
            <a:gd name="connsiteX1" fmla="*/ 48985 w 192344"/>
            <a:gd name="connsiteY1" fmla="*/ 56393 h 600124"/>
            <a:gd name="connsiteX2" fmla="*/ 32657 w 192344"/>
            <a:gd name="connsiteY2" fmla="*/ 99936 h 600124"/>
            <a:gd name="connsiteX3" fmla="*/ 21771 w 192344"/>
            <a:gd name="connsiteY3" fmla="*/ 154364 h 600124"/>
            <a:gd name="connsiteX4" fmla="*/ 10885 w 192344"/>
            <a:gd name="connsiteY4" fmla="*/ 197907 h 600124"/>
            <a:gd name="connsiteX5" fmla="*/ 5442 w 192344"/>
            <a:gd name="connsiteY5" fmla="*/ 219679 h 600124"/>
            <a:gd name="connsiteX6" fmla="*/ 0 w 192344"/>
            <a:gd name="connsiteY6" fmla="*/ 257779 h 600124"/>
            <a:gd name="connsiteX7" fmla="*/ 5442 w 192344"/>
            <a:gd name="connsiteY7" fmla="*/ 421064 h 600124"/>
            <a:gd name="connsiteX8" fmla="*/ 10885 w 192344"/>
            <a:gd name="connsiteY8" fmla="*/ 437393 h 600124"/>
            <a:gd name="connsiteX9" fmla="*/ 27214 w 192344"/>
            <a:gd name="connsiteY9" fmla="*/ 491821 h 600124"/>
            <a:gd name="connsiteX10" fmla="*/ 43542 w 192344"/>
            <a:gd name="connsiteY10" fmla="*/ 546250 h 600124"/>
            <a:gd name="connsiteX11" fmla="*/ 54428 w 192344"/>
            <a:gd name="connsiteY11" fmla="*/ 562579 h 600124"/>
            <a:gd name="connsiteX12" fmla="*/ 79941 w 192344"/>
            <a:gd name="connsiteY12" fmla="*/ 597151 h 600124"/>
            <a:gd name="connsiteX13" fmla="*/ 120423 w 192344"/>
            <a:gd name="connsiteY13" fmla="*/ 598428 h 600124"/>
            <a:gd name="connsiteX14" fmla="*/ 147638 w 192344"/>
            <a:gd name="connsiteY14" fmla="*/ 568962 h 600124"/>
            <a:gd name="connsiteX15" fmla="*/ 156142 w 192344"/>
            <a:gd name="connsiteY15" fmla="*/ 547829 h 600124"/>
            <a:gd name="connsiteX16" fmla="*/ 168389 w 192344"/>
            <a:gd name="connsiteY16" fmla="*/ 520464 h 600124"/>
            <a:gd name="connsiteX17" fmla="*/ 169069 w 192344"/>
            <a:gd name="connsiteY17" fmla="*/ 484917 h 600124"/>
            <a:gd name="connsiteX18" fmla="*/ 179274 w 192344"/>
            <a:gd name="connsiteY18" fmla="*/ 439796 h 600124"/>
            <a:gd name="connsiteX19" fmla="*/ 187097 w 192344"/>
            <a:gd name="connsiteY19" fmla="*/ 418661 h 600124"/>
            <a:gd name="connsiteX20" fmla="*/ 190840 w 192344"/>
            <a:gd name="connsiteY20" fmla="*/ 367425 h 600124"/>
            <a:gd name="connsiteX21" fmla="*/ 190159 w 192344"/>
            <a:gd name="connsiteY21" fmla="*/ 311418 h 600124"/>
            <a:gd name="connsiteX22" fmla="*/ 158449 w 192344"/>
            <a:gd name="connsiteY22" fmla="*/ 275137 h 600124"/>
            <a:gd name="connsiteX23" fmla="*/ 151535 w 192344"/>
            <a:gd name="connsiteY23" fmla="*/ 213019 h 600124"/>
            <a:gd name="connsiteX24" fmla="*/ 143061 w 192344"/>
            <a:gd name="connsiteY24" fmla="*/ 159678 h 600124"/>
            <a:gd name="connsiteX25" fmla="*/ 139405 w 192344"/>
            <a:gd name="connsiteY25" fmla="*/ 110431 h 600124"/>
            <a:gd name="connsiteX26" fmla="*/ 131062 w 192344"/>
            <a:gd name="connsiteY26" fmla="*/ 67174 h 600124"/>
            <a:gd name="connsiteX27" fmla="*/ 112655 w 192344"/>
            <a:gd name="connsiteY27" fmla="*/ 23472 h 600124"/>
            <a:gd name="connsiteX28" fmla="*/ 97971 w 192344"/>
            <a:gd name="connsiteY28" fmla="*/ 12850 h 600124"/>
            <a:gd name="connsiteX29" fmla="*/ 76200 w 192344"/>
            <a:gd name="connsiteY29" fmla="*/ 1964 h 600124"/>
            <a:gd name="connsiteX0" fmla="*/ 76200 w 192344"/>
            <a:gd name="connsiteY0" fmla="*/ 4623 h 602783"/>
            <a:gd name="connsiteX1" fmla="*/ 48985 w 192344"/>
            <a:gd name="connsiteY1" fmla="*/ 59052 h 602783"/>
            <a:gd name="connsiteX2" fmla="*/ 32657 w 192344"/>
            <a:gd name="connsiteY2" fmla="*/ 102595 h 602783"/>
            <a:gd name="connsiteX3" fmla="*/ 21771 w 192344"/>
            <a:gd name="connsiteY3" fmla="*/ 157023 h 602783"/>
            <a:gd name="connsiteX4" fmla="*/ 10885 w 192344"/>
            <a:gd name="connsiteY4" fmla="*/ 200566 h 602783"/>
            <a:gd name="connsiteX5" fmla="*/ 5442 w 192344"/>
            <a:gd name="connsiteY5" fmla="*/ 222338 h 602783"/>
            <a:gd name="connsiteX6" fmla="*/ 0 w 192344"/>
            <a:gd name="connsiteY6" fmla="*/ 260438 h 602783"/>
            <a:gd name="connsiteX7" fmla="*/ 5442 w 192344"/>
            <a:gd name="connsiteY7" fmla="*/ 423723 h 602783"/>
            <a:gd name="connsiteX8" fmla="*/ 10885 w 192344"/>
            <a:gd name="connsiteY8" fmla="*/ 440052 h 602783"/>
            <a:gd name="connsiteX9" fmla="*/ 27214 w 192344"/>
            <a:gd name="connsiteY9" fmla="*/ 494480 h 602783"/>
            <a:gd name="connsiteX10" fmla="*/ 43542 w 192344"/>
            <a:gd name="connsiteY10" fmla="*/ 548909 h 602783"/>
            <a:gd name="connsiteX11" fmla="*/ 54428 w 192344"/>
            <a:gd name="connsiteY11" fmla="*/ 565238 h 602783"/>
            <a:gd name="connsiteX12" fmla="*/ 79941 w 192344"/>
            <a:gd name="connsiteY12" fmla="*/ 599810 h 602783"/>
            <a:gd name="connsiteX13" fmla="*/ 120423 w 192344"/>
            <a:gd name="connsiteY13" fmla="*/ 601087 h 602783"/>
            <a:gd name="connsiteX14" fmla="*/ 147638 w 192344"/>
            <a:gd name="connsiteY14" fmla="*/ 571621 h 602783"/>
            <a:gd name="connsiteX15" fmla="*/ 156142 w 192344"/>
            <a:gd name="connsiteY15" fmla="*/ 550488 h 602783"/>
            <a:gd name="connsiteX16" fmla="*/ 168389 w 192344"/>
            <a:gd name="connsiteY16" fmla="*/ 523123 h 602783"/>
            <a:gd name="connsiteX17" fmla="*/ 169069 w 192344"/>
            <a:gd name="connsiteY17" fmla="*/ 487576 h 602783"/>
            <a:gd name="connsiteX18" fmla="*/ 179274 w 192344"/>
            <a:gd name="connsiteY18" fmla="*/ 442455 h 602783"/>
            <a:gd name="connsiteX19" fmla="*/ 187097 w 192344"/>
            <a:gd name="connsiteY19" fmla="*/ 421320 h 602783"/>
            <a:gd name="connsiteX20" fmla="*/ 190840 w 192344"/>
            <a:gd name="connsiteY20" fmla="*/ 370084 h 602783"/>
            <a:gd name="connsiteX21" fmla="*/ 190159 w 192344"/>
            <a:gd name="connsiteY21" fmla="*/ 314077 h 602783"/>
            <a:gd name="connsiteX22" fmla="*/ 158449 w 192344"/>
            <a:gd name="connsiteY22" fmla="*/ 277796 h 602783"/>
            <a:gd name="connsiteX23" fmla="*/ 151535 w 192344"/>
            <a:gd name="connsiteY23" fmla="*/ 215678 h 602783"/>
            <a:gd name="connsiteX24" fmla="*/ 143061 w 192344"/>
            <a:gd name="connsiteY24" fmla="*/ 162337 h 602783"/>
            <a:gd name="connsiteX25" fmla="*/ 139405 w 192344"/>
            <a:gd name="connsiteY25" fmla="*/ 113090 h 602783"/>
            <a:gd name="connsiteX26" fmla="*/ 131062 w 192344"/>
            <a:gd name="connsiteY26" fmla="*/ 69833 h 602783"/>
            <a:gd name="connsiteX27" fmla="*/ 112655 w 192344"/>
            <a:gd name="connsiteY27" fmla="*/ 26131 h 602783"/>
            <a:gd name="connsiteX28" fmla="*/ 100439 w 192344"/>
            <a:gd name="connsiteY28" fmla="*/ 5152 h 602783"/>
            <a:gd name="connsiteX29" fmla="*/ 76200 w 192344"/>
            <a:gd name="connsiteY29" fmla="*/ 4623 h 602783"/>
            <a:gd name="connsiteX0" fmla="*/ 76200 w 192344"/>
            <a:gd name="connsiteY0" fmla="*/ 4623 h 602783"/>
            <a:gd name="connsiteX1" fmla="*/ 48985 w 192344"/>
            <a:gd name="connsiteY1" fmla="*/ 59052 h 602783"/>
            <a:gd name="connsiteX2" fmla="*/ 32657 w 192344"/>
            <a:gd name="connsiteY2" fmla="*/ 102595 h 602783"/>
            <a:gd name="connsiteX3" fmla="*/ 21771 w 192344"/>
            <a:gd name="connsiteY3" fmla="*/ 157023 h 602783"/>
            <a:gd name="connsiteX4" fmla="*/ 10885 w 192344"/>
            <a:gd name="connsiteY4" fmla="*/ 200566 h 602783"/>
            <a:gd name="connsiteX5" fmla="*/ 5442 w 192344"/>
            <a:gd name="connsiteY5" fmla="*/ 222338 h 602783"/>
            <a:gd name="connsiteX6" fmla="*/ 0 w 192344"/>
            <a:gd name="connsiteY6" fmla="*/ 260438 h 602783"/>
            <a:gd name="connsiteX7" fmla="*/ 5442 w 192344"/>
            <a:gd name="connsiteY7" fmla="*/ 423723 h 602783"/>
            <a:gd name="connsiteX8" fmla="*/ 10885 w 192344"/>
            <a:gd name="connsiteY8" fmla="*/ 440052 h 602783"/>
            <a:gd name="connsiteX9" fmla="*/ 27214 w 192344"/>
            <a:gd name="connsiteY9" fmla="*/ 494480 h 602783"/>
            <a:gd name="connsiteX10" fmla="*/ 43542 w 192344"/>
            <a:gd name="connsiteY10" fmla="*/ 548909 h 602783"/>
            <a:gd name="connsiteX11" fmla="*/ 54428 w 192344"/>
            <a:gd name="connsiteY11" fmla="*/ 565238 h 602783"/>
            <a:gd name="connsiteX12" fmla="*/ 79941 w 192344"/>
            <a:gd name="connsiteY12" fmla="*/ 599810 h 602783"/>
            <a:gd name="connsiteX13" fmla="*/ 120423 w 192344"/>
            <a:gd name="connsiteY13" fmla="*/ 601087 h 602783"/>
            <a:gd name="connsiteX14" fmla="*/ 147638 w 192344"/>
            <a:gd name="connsiteY14" fmla="*/ 571621 h 602783"/>
            <a:gd name="connsiteX15" fmla="*/ 156142 w 192344"/>
            <a:gd name="connsiteY15" fmla="*/ 550488 h 602783"/>
            <a:gd name="connsiteX16" fmla="*/ 168389 w 192344"/>
            <a:gd name="connsiteY16" fmla="*/ 523123 h 602783"/>
            <a:gd name="connsiteX17" fmla="*/ 169069 w 192344"/>
            <a:gd name="connsiteY17" fmla="*/ 487576 h 602783"/>
            <a:gd name="connsiteX18" fmla="*/ 179274 w 192344"/>
            <a:gd name="connsiteY18" fmla="*/ 442455 h 602783"/>
            <a:gd name="connsiteX19" fmla="*/ 187097 w 192344"/>
            <a:gd name="connsiteY19" fmla="*/ 421320 h 602783"/>
            <a:gd name="connsiteX20" fmla="*/ 190840 w 192344"/>
            <a:gd name="connsiteY20" fmla="*/ 370084 h 602783"/>
            <a:gd name="connsiteX21" fmla="*/ 190159 w 192344"/>
            <a:gd name="connsiteY21" fmla="*/ 314077 h 602783"/>
            <a:gd name="connsiteX22" fmla="*/ 158449 w 192344"/>
            <a:gd name="connsiteY22" fmla="*/ 277796 h 602783"/>
            <a:gd name="connsiteX23" fmla="*/ 151535 w 192344"/>
            <a:gd name="connsiteY23" fmla="*/ 215678 h 602783"/>
            <a:gd name="connsiteX24" fmla="*/ 143061 w 192344"/>
            <a:gd name="connsiteY24" fmla="*/ 162337 h 602783"/>
            <a:gd name="connsiteX25" fmla="*/ 139405 w 192344"/>
            <a:gd name="connsiteY25" fmla="*/ 113090 h 602783"/>
            <a:gd name="connsiteX26" fmla="*/ 131062 w 192344"/>
            <a:gd name="connsiteY26" fmla="*/ 69833 h 602783"/>
            <a:gd name="connsiteX27" fmla="*/ 112655 w 192344"/>
            <a:gd name="connsiteY27" fmla="*/ 26131 h 602783"/>
            <a:gd name="connsiteX28" fmla="*/ 100439 w 192344"/>
            <a:gd name="connsiteY28" fmla="*/ 5152 h 602783"/>
            <a:gd name="connsiteX29" fmla="*/ 76200 w 192344"/>
            <a:gd name="connsiteY29" fmla="*/ 4623 h 602783"/>
            <a:gd name="connsiteX0" fmla="*/ 70442 w 192344"/>
            <a:gd name="connsiteY0" fmla="*/ 13233 h 598447"/>
            <a:gd name="connsiteX1" fmla="*/ 48985 w 192344"/>
            <a:gd name="connsiteY1" fmla="*/ 54716 h 598447"/>
            <a:gd name="connsiteX2" fmla="*/ 32657 w 192344"/>
            <a:gd name="connsiteY2" fmla="*/ 98259 h 598447"/>
            <a:gd name="connsiteX3" fmla="*/ 21771 w 192344"/>
            <a:gd name="connsiteY3" fmla="*/ 152687 h 598447"/>
            <a:gd name="connsiteX4" fmla="*/ 10885 w 192344"/>
            <a:gd name="connsiteY4" fmla="*/ 196230 h 598447"/>
            <a:gd name="connsiteX5" fmla="*/ 5442 w 192344"/>
            <a:gd name="connsiteY5" fmla="*/ 218002 h 598447"/>
            <a:gd name="connsiteX6" fmla="*/ 0 w 192344"/>
            <a:gd name="connsiteY6" fmla="*/ 256102 h 598447"/>
            <a:gd name="connsiteX7" fmla="*/ 5442 w 192344"/>
            <a:gd name="connsiteY7" fmla="*/ 419387 h 598447"/>
            <a:gd name="connsiteX8" fmla="*/ 10885 w 192344"/>
            <a:gd name="connsiteY8" fmla="*/ 435716 h 598447"/>
            <a:gd name="connsiteX9" fmla="*/ 27214 w 192344"/>
            <a:gd name="connsiteY9" fmla="*/ 490144 h 598447"/>
            <a:gd name="connsiteX10" fmla="*/ 43542 w 192344"/>
            <a:gd name="connsiteY10" fmla="*/ 544573 h 598447"/>
            <a:gd name="connsiteX11" fmla="*/ 54428 w 192344"/>
            <a:gd name="connsiteY11" fmla="*/ 560902 h 598447"/>
            <a:gd name="connsiteX12" fmla="*/ 79941 w 192344"/>
            <a:gd name="connsiteY12" fmla="*/ 595474 h 598447"/>
            <a:gd name="connsiteX13" fmla="*/ 120423 w 192344"/>
            <a:gd name="connsiteY13" fmla="*/ 596751 h 598447"/>
            <a:gd name="connsiteX14" fmla="*/ 147638 w 192344"/>
            <a:gd name="connsiteY14" fmla="*/ 567285 h 598447"/>
            <a:gd name="connsiteX15" fmla="*/ 156142 w 192344"/>
            <a:gd name="connsiteY15" fmla="*/ 546152 h 598447"/>
            <a:gd name="connsiteX16" fmla="*/ 168389 w 192344"/>
            <a:gd name="connsiteY16" fmla="*/ 518787 h 598447"/>
            <a:gd name="connsiteX17" fmla="*/ 169069 w 192344"/>
            <a:gd name="connsiteY17" fmla="*/ 483240 h 598447"/>
            <a:gd name="connsiteX18" fmla="*/ 179274 w 192344"/>
            <a:gd name="connsiteY18" fmla="*/ 438119 h 598447"/>
            <a:gd name="connsiteX19" fmla="*/ 187097 w 192344"/>
            <a:gd name="connsiteY19" fmla="*/ 416984 h 598447"/>
            <a:gd name="connsiteX20" fmla="*/ 190840 w 192344"/>
            <a:gd name="connsiteY20" fmla="*/ 365748 h 598447"/>
            <a:gd name="connsiteX21" fmla="*/ 190159 w 192344"/>
            <a:gd name="connsiteY21" fmla="*/ 309741 h 598447"/>
            <a:gd name="connsiteX22" fmla="*/ 158449 w 192344"/>
            <a:gd name="connsiteY22" fmla="*/ 273460 h 598447"/>
            <a:gd name="connsiteX23" fmla="*/ 151535 w 192344"/>
            <a:gd name="connsiteY23" fmla="*/ 211342 h 598447"/>
            <a:gd name="connsiteX24" fmla="*/ 143061 w 192344"/>
            <a:gd name="connsiteY24" fmla="*/ 158001 h 598447"/>
            <a:gd name="connsiteX25" fmla="*/ 139405 w 192344"/>
            <a:gd name="connsiteY25" fmla="*/ 108754 h 598447"/>
            <a:gd name="connsiteX26" fmla="*/ 131062 w 192344"/>
            <a:gd name="connsiteY26" fmla="*/ 65497 h 598447"/>
            <a:gd name="connsiteX27" fmla="*/ 112655 w 192344"/>
            <a:gd name="connsiteY27" fmla="*/ 21795 h 598447"/>
            <a:gd name="connsiteX28" fmla="*/ 100439 w 192344"/>
            <a:gd name="connsiteY28" fmla="*/ 816 h 598447"/>
            <a:gd name="connsiteX29" fmla="*/ 70442 w 192344"/>
            <a:gd name="connsiteY29" fmla="*/ 13233 h 598447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32657 w 192344"/>
            <a:gd name="connsiteY2" fmla="*/ 98451 h 598639"/>
            <a:gd name="connsiteX3" fmla="*/ 21771 w 192344"/>
            <a:gd name="connsiteY3" fmla="*/ 152879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21771 w 192344"/>
            <a:gd name="connsiteY3" fmla="*/ 152879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21771 w 192344"/>
            <a:gd name="connsiteY3" fmla="*/ 152879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31642 w 192344"/>
            <a:gd name="connsiteY3" fmla="*/ 177478 h 598639"/>
            <a:gd name="connsiteX4" fmla="*/ 10885 w 192344"/>
            <a:gd name="connsiteY4" fmla="*/ 196422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31642 w 192344"/>
            <a:gd name="connsiteY3" fmla="*/ 177478 h 598639"/>
            <a:gd name="connsiteX4" fmla="*/ 23224 w 192344"/>
            <a:gd name="connsiteY4" fmla="*/ 223610 h 598639"/>
            <a:gd name="connsiteX5" fmla="*/ 5442 w 192344"/>
            <a:gd name="connsiteY5" fmla="*/ 218194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70442 w 192344"/>
            <a:gd name="connsiteY0" fmla="*/ 13425 h 598639"/>
            <a:gd name="connsiteX1" fmla="*/ 56388 w 192344"/>
            <a:gd name="connsiteY1" fmla="*/ 67855 h 598639"/>
            <a:gd name="connsiteX2" fmla="*/ 40883 w 192344"/>
            <a:gd name="connsiteY2" fmla="*/ 115282 h 598639"/>
            <a:gd name="connsiteX3" fmla="*/ 31642 w 192344"/>
            <a:gd name="connsiteY3" fmla="*/ 177478 h 598639"/>
            <a:gd name="connsiteX4" fmla="*/ 23224 w 192344"/>
            <a:gd name="connsiteY4" fmla="*/ 223610 h 598639"/>
            <a:gd name="connsiteX5" fmla="*/ 16136 w 192344"/>
            <a:gd name="connsiteY5" fmla="*/ 269980 h 598639"/>
            <a:gd name="connsiteX6" fmla="*/ 0 w 192344"/>
            <a:gd name="connsiteY6" fmla="*/ 256294 h 598639"/>
            <a:gd name="connsiteX7" fmla="*/ 5442 w 192344"/>
            <a:gd name="connsiteY7" fmla="*/ 419579 h 598639"/>
            <a:gd name="connsiteX8" fmla="*/ 10885 w 192344"/>
            <a:gd name="connsiteY8" fmla="*/ 435908 h 598639"/>
            <a:gd name="connsiteX9" fmla="*/ 27214 w 192344"/>
            <a:gd name="connsiteY9" fmla="*/ 490336 h 598639"/>
            <a:gd name="connsiteX10" fmla="*/ 43542 w 192344"/>
            <a:gd name="connsiteY10" fmla="*/ 544765 h 598639"/>
            <a:gd name="connsiteX11" fmla="*/ 54428 w 192344"/>
            <a:gd name="connsiteY11" fmla="*/ 561094 h 598639"/>
            <a:gd name="connsiteX12" fmla="*/ 79941 w 192344"/>
            <a:gd name="connsiteY12" fmla="*/ 595666 h 598639"/>
            <a:gd name="connsiteX13" fmla="*/ 120423 w 192344"/>
            <a:gd name="connsiteY13" fmla="*/ 596943 h 598639"/>
            <a:gd name="connsiteX14" fmla="*/ 147638 w 192344"/>
            <a:gd name="connsiteY14" fmla="*/ 567477 h 598639"/>
            <a:gd name="connsiteX15" fmla="*/ 156142 w 192344"/>
            <a:gd name="connsiteY15" fmla="*/ 546344 h 598639"/>
            <a:gd name="connsiteX16" fmla="*/ 168389 w 192344"/>
            <a:gd name="connsiteY16" fmla="*/ 518979 h 598639"/>
            <a:gd name="connsiteX17" fmla="*/ 169069 w 192344"/>
            <a:gd name="connsiteY17" fmla="*/ 483432 h 598639"/>
            <a:gd name="connsiteX18" fmla="*/ 179274 w 192344"/>
            <a:gd name="connsiteY18" fmla="*/ 438311 h 598639"/>
            <a:gd name="connsiteX19" fmla="*/ 187097 w 192344"/>
            <a:gd name="connsiteY19" fmla="*/ 417176 h 598639"/>
            <a:gd name="connsiteX20" fmla="*/ 190840 w 192344"/>
            <a:gd name="connsiteY20" fmla="*/ 365940 h 598639"/>
            <a:gd name="connsiteX21" fmla="*/ 190159 w 192344"/>
            <a:gd name="connsiteY21" fmla="*/ 309933 h 598639"/>
            <a:gd name="connsiteX22" fmla="*/ 158449 w 192344"/>
            <a:gd name="connsiteY22" fmla="*/ 273652 h 598639"/>
            <a:gd name="connsiteX23" fmla="*/ 151535 w 192344"/>
            <a:gd name="connsiteY23" fmla="*/ 211534 h 598639"/>
            <a:gd name="connsiteX24" fmla="*/ 143061 w 192344"/>
            <a:gd name="connsiteY24" fmla="*/ 158193 h 598639"/>
            <a:gd name="connsiteX25" fmla="*/ 139405 w 192344"/>
            <a:gd name="connsiteY25" fmla="*/ 108946 h 598639"/>
            <a:gd name="connsiteX26" fmla="*/ 131062 w 192344"/>
            <a:gd name="connsiteY26" fmla="*/ 65689 h 598639"/>
            <a:gd name="connsiteX27" fmla="*/ 112655 w 192344"/>
            <a:gd name="connsiteY27" fmla="*/ 21987 h 598639"/>
            <a:gd name="connsiteX28" fmla="*/ 100439 w 192344"/>
            <a:gd name="connsiteY28" fmla="*/ 1008 h 598639"/>
            <a:gd name="connsiteX29" fmla="*/ 70442 w 192344"/>
            <a:gd name="connsiteY29" fmla="*/ 13425 h 598639"/>
            <a:gd name="connsiteX0" fmla="*/ 65054 w 186956"/>
            <a:gd name="connsiteY0" fmla="*/ 13425 h 598639"/>
            <a:gd name="connsiteX1" fmla="*/ 51000 w 186956"/>
            <a:gd name="connsiteY1" fmla="*/ 67855 h 598639"/>
            <a:gd name="connsiteX2" fmla="*/ 35495 w 186956"/>
            <a:gd name="connsiteY2" fmla="*/ 115282 h 598639"/>
            <a:gd name="connsiteX3" fmla="*/ 26254 w 186956"/>
            <a:gd name="connsiteY3" fmla="*/ 177478 h 598639"/>
            <a:gd name="connsiteX4" fmla="*/ 17836 w 186956"/>
            <a:gd name="connsiteY4" fmla="*/ 223610 h 598639"/>
            <a:gd name="connsiteX5" fmla="*/ 10748 w 186956"/>
            <a:gd name="connsiteY5" fmla="*/ 269980 h 598639"/>
            <a:gd name="connsiteX6" fmla="*/ 2015 w 186956"/>
            <a:gd name="connsiteY6" fmla="*/ 341741 h 598639"/>
            <a:gd name="connsiteX7" fmla="*/ 54 w 186956"/>
            <a:gd name="connsiteY7" fmla="*/ 419579 h 598639"/>
            <a:gd name="connsiteX8" fmla="*/ 5497 w 186956"/>
            <a:gd name="connsiteY8" fmla="*/ 435908 h 598639"/>
            <a:gd name="connsiteX9" fmla="*/ 21826 w 186956"/>
            <a:gd name="connsiteY9" fmla="*/ 490336 h 598639"/>
            <a:gd name="connsiteX10" fmla="*/ 38154 w 186956"/>
            <a:gd name="connsiteY10" fmla="*/ 544765 h 598639"/>
            <a:gd name="connsiteX11" fmla="*/ 49040 w 186956"/>
            <a:gd name="connsiteY11" fmla="*/ 561094 h 598639"/>
            <a:gd name="connsiteX12" fmla="*/ 74553 w 186956"/>
            <a:gd name="connsiteY12" fmla="*/ 595666 h 598639"/>
            <a:gd name="connsiteX13" fmla="*/ 115035 w 186956"/>
            <a:gd name="connsiteY13" fmla="*/ 596943 h 598639"/>
            <a:gd name="connsiteX14" fmla="*/ 142250 w 186956"/>
            <a:gd name="connsiteY14" fmla="*/ 567477 h 598639"/>
            <a:gd name="connsiteX15" fmla="*/ 150754 w 186956"/>
            <a:gd name="connsiteY15" fmla="*/ 546344 h 598639"/>
            <a:gd name="connsiteX16" fmla="*/ 163001 w 186956"/>
            <a:gd name="connsiteY16" fmla="*/ 518979 h 598639"/>
            <a:gd name="connsiteX17" fmla="*/ 163681 w 186956"/>
            <a:gd name="connsiteY17" fmla="*/ 483432 h 598639"/>
            <a:gd name="connsiteX18" fmla="*/ 173886 w 186956"/>
            <a:gd name="connsiteY18" fmla="*/ 438311 h 598639"/>
            <a:gd name="connsiteX19" fmla="*/ 181709 w 186956"/>
            <a:gd name="connsiteY19" fmla="*/ 417176 h 598639"/>
            <a:gd name="connsiteX20" fmla="*/ 185452 w 186956"/>
            <a:gd name="connsiteY20" fmla="*/ 365940 h 598639"/>
            <a:gd name="connsiteX21" fmla="*/ 184771 w 186956"/>
            <a:gd name="connsiteY21" fmla="*/ 309933 h 598639"/>
            <a:gd name="connsiteX22" fmla="*/ 153061 w 186956"/>
            <a:gd name="connsiteY22" fmla="*/ 273652 h 598639"/>
            <a:gd name="connsiteX23" fmla="*/ 146147 w 186956"/>
            <a:gd name="connsiteY23" fmla="*/ 211534 h 598639"/>
            <a:gd name="connsiteX24" fmla="*/ 137673 w 186956"/>
            <a:gd name="connsiteY24" fmla="*/ 158193 h 598639"/>
            <a:gd name="connsiteX25" fmla="*/ 134017 w 186956"/>
            <a:gd name="connsiteY25" fmla="*/ 108946 h 598639"/>
            <a:gd name="connsiteX26" fmla="*/ 125674 w 186956"/>
            <a:gd name="connsiteY26" fmla="*/ 65689 h 598639"/>
            <a:gd name="connsiteX27" fmla="*/ 107267 w 186956"/>
            <a:gd name="connsiteY27" fmla="*/ 21987 h 598639"/>
            <a:gd name="connsiteX28" fmla="*/ 95051 w 186956"/>
            <a:gd name="connsiteY28" fmla="*/ 1008 h 598639"/>
            <a:gd name="connsiteX29" fmla="*/ 65054 w 186956"/>
            <a:gd name="connsiteY29" fmla="*/ 13425 h 598639"/>
            <a:gd name="connsiteX0" fmla="*/ 65721 w 187623"/>
            <a:gd name="connsiteY0" fmla="*/ 13425 h 598639"/>
            <a:gd name="connsiteX1" fmla="*/ 51667 w 187623"/>
            <a:gd name="connsiteY1" fmla="*/ 67855 h 598639"/>
            <a:gd name="connsiteX2" fmla="*/ 36162 w 187623"/>
            <a:gd name="connsiteY2" fmla="*/ 115282 h 598639"/>
            <a:gd name="connsiteX3" fmla="*/ 26921 w 187623"/>
            <a:gd name="connsiteY3" fmla="*/ 177478 h 598639"/>
            <a:gd name="connsiteX4" fmla="*/ 18503 w 187623"/>
            <a:gd name="connsiteY4" fmla="*/ 223610 h 598639"/>
            <a:gd name="connsiteX5" fmla="*/ 11415 w 187623"/>
            <a:gd name="connsiteY5" fmla="*/ 269980 h 598639"/>
            <a:gd name="connsiteX6" fmla="*/ 2682 w 187623"/>
            <a:gd name="connsiteY6" fmla="*/ 341741 h 598639"/>
            <a:gd name="connsiteX7" fmla="*/ 721 w 187623"/>
            <a:gd name="connsiteY7" fmla="*/ 419579 h 598639"/>
            <a:gd name="connsiteX8" fmla="*/ 6164 w 187623"/>
            <a:gd name="connsiteY8" fmla="*/ 435908 h 598639"/>
            <a:gd name="connsiteX9" fmla="*/ 15090 w 187623"/>
            <a:gd name="connsiteY9" fmla="*/ 489041 h 598639"/>
            <a:gd name="connsiteX10" fmla="*/ 38821 w 187623"/>
            <a:gd name="connsiteY10" fmla="*/ 544765 h 598639"/>
            <a:gd name="connsiteX11" fmla="*/ 49707 w 187623"/>
            <a:gd name="connsiteY11" fmla="*/ 561094 h 598639"/>
            <a:gd name="connsiteX12" fmla="*/ 75220 w 187623"/>
            <a:gd name="connsiteY12" fmla="*/ 595666 h 598639"/>
            <a:gd name="connsiteX13" fmla="*/ 115702 w 187623"/>
            <a:gd name="connsiteY13" fmla="*/ 596943 h 598639"/>
            <a:gd name="connsiteX14" fmla="*/ 142917 w 187623"/>
            <a:gd name="connsiteY14" fmla="*/ 567477 h 598639"/>
            <a:gd name="connsiteX15" fmla="*/ 151421 w 187623"/>
            <a:gd name="connsiteY15" fmla="*/ 546344 h 598639"/>
            <a:gd name="connsiteX16" fmla="*/ 163668 w 187623"/>
            <a:gd name="connsiteY16" fmla="*/ 518979 h 598639"/>
            <a:gd name="connsiteX17" fmla="*/ 164348 w 187623"/>
            <a:gd name="connsiteY17" fmla="*/ 483432 h 598639"/>
            <a:gd name="connsiteX18" fmla="*/ 174553 w 187623"/>
            <a:gd name="connsiteY18" fmla="*/ 438311 h 598639"/>
            <a:gd name="connsiteX19" fmla="*/ 182376 w 187623"/>
            <a:gd name="connsiteY19" fmla="*/ 417176 h 598639"/>
            <a:gd name="connsiteX20" fmla="*/ 186119 w 187623"/>
            <a:gd name="connsiteY20" fmla="*/ 365940 h 598639"/>
            <a:gd name="connsiteX21" fmla="*/ 185438 w 187623"/>
            <a:gd name="connsiteY21" fmla="*/ 309933 h 598639"/>
            <a:gd name="connsiteX22" fmla="*/ 153728 w 187623"/>
            <a:gd name="connsiteY22" fmla="*/ 273652 h 598639"/>
            <a:gd name="connsiteX23" fmla="*/ 146814 w 187623"/>
            <a:gd name="connsiteY23" fmla="*/ 211534 h 598639"/>
            <a:gd name="connsiteX24" fmla="*/ 138340 w 187623"/>
            <a:gd name="connsiteY24" fmla="*/ 158193 h 598639"/>
            <a:gd name="connsiteX25" fmla="*/ 134684 w 187623"/>
            <a:gd name="connsiteY25" fmla="*/ 108946 h 598639"/>
            <a:gd name="connsiteX26" fmla="*/ 126341 w 187623"/>
            <a:gd name="connsiteY26" fmla="*/ 65689 h 598639"/>
            <a:gd name="connsiteX27" fmla="*/ 107934 w 187623"/>
            <a:gd name="connsiteY27" fmla="*/ 21987 h 598639"/>
            <a:gd name="connsiteX28" fmla="*/ 95718 w 187623"/>
            <a:gd name="connsiteY28" fmla="*/ 1008 h 598639"/>
            <a:gd name="connsiteX29" fmla="*/ 65721 w 187623"/>
            <a:gd name="connsiteY29" fmla="*/ 13425 h 598639"/>
            <a:gd name="connsiteX0" fmla="*/ 65054 w 186956"/>
            <a:gd name="connsiteY0" fmla="*/ 13425 h 598639"/>
            <a:gd name="connsiteX1" fmla="*/ 51000 w 186956"/>
            <a:gd name="connsiteY1" fmla="*/ 67855 h 598639"/>
            <a:gd name="connsiteX2" fmla="*/ 35495 w 186956"/>
            <a:gd name="connsiteY2" fmla="*/ 115282 h 598639"/>
            <a:gd name="connsiteX3" fmla="*/ 26254 w 186956"/>
            <a:gd name="connsiteY3" fmla="*/ 177478 h 598639"/>
            <a:gd name="connsiteX4" fmla="*/ 17836 w 186956"/>
            <a:gd name="connsiteY4" fmla="*/ 223610 h 598639"/>
            <a:gd name="connsiteX5" fmla="*/ 10748 w 186956"/>
            <a:gd name="connsiteY5" fmla="*/ 269980 h 598639"/>
            <a:gd name="connsiteX6" fmla="*/ 2015 w 186956"/>
            <a:gd name="connsiteY6" fmla="*/ 341741 h 598639"/>
            <a:gd name="connsiteX7" fmla="*/ 54 w 186956"/>
            <a:gd name="connsiteY7" fmla="*/ 419579 h 598639"/>
            <a:gd name="connsiteX8" fmla="*/ 5497 w 186956"/>
            <a:gd name="connsiteY8" fmla="*/ 435908 h 598639"/>
            <a:gd name="connsiteX9" fmla="*/ 14423 w 186956"/>
            <a:gd name="connsiteY9" fmla="*/ 489041 h 598639"/>
            <a:gd name="connsiteX10" fmla="*/ 38154 w 186956"/>
            <a:gd name="connsiteY10" fmla="*/ 544765 h 598639"/>
            <a:gd name="connsiteX11" fmla="*/ 49040 w 186956"/>
            <a:gd name="connsiteY11" fmla="*/ 561094 h 598639"/>
            <a:gd name="connsiteX12" fmla="*/ 74553 w 186956"/>
            <a:gd name="connsiteY12" fmla="*/ 595666 h 598639"/>
            <a:gd name="connsiteX13" fmla="*/ 115035 w 186956"/>
            <a:gd name="connsiteY13" fmla="*/ 596943 h 598639"/>
            <a:gd name="connsiteX14" fmla="*/ 142250 w 186956"/>
            <a:gd name="connsiteY14" fmla="*/ 567477 h 598639"/>
            <a:gd name="connsiteX15" fmla="*/ 150754 w 186956"/>
            <a:gd name="connsiteY15" fmla="*/ 546344 h 598639"/>
            <a:gd name="connsiteX16" fmla="*/ 163001 w 186956"/>
            <a:gd name="connsiteY16" fmla="*/ 518979 h 598639"/>
            <a:gd name="connsiteX17" fmla="*/ 163681 w 186956"/>
            <a:gd name="connsiteY17" fmla="*/ 483432 h 598639"/>
            <a:gd name="connsiteX18" fmla="*/ 173886 w 186956"/>
            <a:gd name="connsiteY18" fmla="*/ 438311 h 598639"/>
            <a:gd name="connsiteX19" fmla="*/ 181709 w 186956"/>
            <a:gd name="connsiteY19" fmla="*/ 417176 h 598639"/>
            <a:gd name="connsiteX20" fmla="*/ 185452 w 186956"/>
            <a:gd name="connsiteY20" fmla="*/ 365940 h 598639"/>
            <a:gd name="connsiteX21" fmla="*/ 184771 w 186956"/>
            <a:gd name="connsiteY21" fmla="*/ 309933 h 598639"/>
            <a:gd name="connsiteX22" fmla="*/ 153061 w 186956"/>
            <a:gd name="connsiteY22" fmla="*/ 273652 h 598639"/>
            <a:gd name="connsiteX23" fmla="*/ 146147 w 186956"/>
            <a:gd name="connsiteY23" fmla="*/ 211534 h 598639"/>
            <a:gd name="connsiteX24" fmla="*/ 137673 w 186956"/>
            <a:gd name="connsiteY24" fmla="*/ 158193 h 598639"/>
            <a:gd name="connsiteX25" fmla="*/ 134017 w 186956"/>
            <a:gd name="connsiteY25" fmla="*/ 108946 h 598639"/>
            <a:gd name="connsiteX26" fmla="*/ 125674 w 186956"/>
            <a:gd name="connsiteY26" fmla="*/ 65689 h 598639"/>
            <a:gd name="connsiteX27" fmla="*/ 107267 w 186956"/>
            <a:gd name="connsiteY27" fmla="*/ 21987 h 598639"/>
            <a:gd name="connsiteX28" fmla="*/ 95051 w 186956"/>
            <a:gd name="connsiteY28" fmla="*/ 1008 h 598639"/>
            <a:gd name="connsiteX29" fmla="*/ 65054 w 186956"/>
            <a:gd name="connsiteY29" fmla="*/ 13425 h 598639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15035 w 186956"/>
            <a:gd name="connsiteY13" fmla="*/ 596943 h 596943"/>
            <a:gd name="connsiteX14" fmla="*/ 142250 w 186956"/>
            <a:gd name="connsiteY14" fmla="*/ 567477 h 596943"/>
            <a:gd name="connsiteX15" fmla="*/ 150754 w 186956"/>
            <a:gd name="connsiteY15" fmla="*/ 546344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42250 w 186956"/>
            <a:gd name="connsiteY14" fmla="*/ 567477 h 596943"/>
            <a:gd name="connsiteX15" fmla="*/ 150754 w 186956"/>
            <a:gd name="connsiteY15" fmla="*/ 546344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50754 w 186956"/>
            <a:gd name="connsiteY15" fmla="*/ 546344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63001 w 186956"/>
            <a:gd name="connsiteY16" fmla="*/ 518979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63681 w 186956"/>
            <a:gd name="connsiteY17" fmla="*/ 48343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56278 w 186956"/>
            <a:gd name="connsiteY17" fmla="*/ 464012 h 596943"/>
            <a:gd name="connsiteX18" fmla="*/ 173886 w 186956"/>
            <a:gd name="connsiteY18" fmla="*/ 438311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56278 w 186956"/>
            <a:gd name="connsiteY17" fmla="*/ 464012 h 596943"/>
            <a:gd name="connsiteX18" fmla="*/ 156612 w 186956"/>
            <a:gd name="connsiteY18" fmla="*/ 409829 h 596943"/>
            <a:gd name="connsiteX19" fmla="*/ 181709 w 186956"/>
            <a:gd name="connsiteY19" fmla="*/ 41717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6956"/>
            <a:gd name="connsiteY0" fmla="*/ 13425 h 596943"/>
            <a:gd name="connsiteX1" fmla="*/ 51000 w 186956"/>
            <a:gd name="connsiteY1" fmla="*/ 67855 h 596943"/>
            <a:gd name="connsiteX2" fmla="*/ 35495 w 186956"/>
            <a:gd name="connsiteY2" fmla="*/ 115282 h 596943"/>
            <a:gd name="connsiteX3" fmla="*/ 26254 w 186956"/>
            <a:gd name="connsiteY3" fmla="*/ 177478 h 596943"/>
            <a:gd name="connsiteX4" fmla="*/ 17836 w 186956"/>
            <a:gd name="connsiteY4" fmla="*/ 223610 h 596943"/>
            <a:gd name="connsiteX5" fmla="*/ 10748 w 186956"/>
            <a:gd name="connsiteY5" fmla="*/ 269980 h 596943"/>
            <a:gd name="connsiteX6" fmla="*/ 2015 w 186956"/>
            <a:gd name="connsiteY6" fmla="*/ 341741 h 596943"/>
            <a:gd name="connsiteX7" fmla="*/ 54 w 186956"/>
            <a:gd name="connsiteY7" fmla="*/ 419579 h 596943"/>
            <a:gd name="connsiteX8" fmla="*/ 5497 w 186956"/>
            <a:gd name="connsiteY8" fmla="*/ 435908 h 596943"/>
            <a:gd name="connsiteX9" fmla="*/ 14423 w 186956"/>
            <a:gd name="connsiteY9" fmla="*/ 489041 h 596943"/>
            <a:gd name="connsiteX10" fmla="*/ 38154 w 186956"/>
            <a:gd name="connsiteY10" fmla="*/ 544765 h 596943"/>
            <a:gd name="connsiteX11" fmla="*/ 49040 w 186956"/>
            <a:gd name="connsiteY11" fmla="*/ 561094 h 596943"/>
            <a:gd name="connsiteX12" fmla="*/ 75375 w 186956"/>
            <a:gd name="connsiteY12" fmla="*/ 589193 h 596943"/>
            <a:gd name="connsiteX13" fmla="*/ 104341 w 186956"/>
            <a:gd name="connsiteY13" fmla="*/ 596943 h 596943"/>
            <a:gd name="connsiteX14" fmla="*/ 128266 w 186956"/>
            <a:gd name="connsiteY14" fmla="*/ 570066 h 596943"/>
            <a:gd name="connsiteX15" fmla="*/ 142528 w 186956"/>
            <a:gd name="connsiteY15" fmla="*/ 535987 h 596943"/>
            <a:gd name="connsiteX16" fmla="*/ 155597 w 186956"/>
            <a:gd name="connsiteY16" fmla="*/ 503443 h 596943"/>
            <a:gd name="connsiteX17" fmla="*/ 156278 w 186956"/>
            <a:gd name="connsiteY17" fmla="*/ 464012 h 596943"/>
            <a:gd name="connsiteX18" fmla="*/ 156612 w 186956"/>
            <a:gd name="connsiteY18" fmla="*/ 409829 h 596943"/>
            <a:gd name="connsiteX19" fmla="*/ 158677 w 186956"/>
            <a:gd name="connsiteY19" fmla="*/ 378336 h 596943"/>
            <a:gd name="connsiteX20" fmla="*/ 185452 w 186956"/>
            <a:gd name="connsiteY20" fmla="*/ 365940 h 596943"/>
            <a:gd name="connsiteX21" fmla="*/ 184771 w 186956"/>
            <a:gd name="connsiteY21" fmla="*/ 309933 h 596943"/>
            <a:gd name="connsiteX22" fmla="*/ 153061 w 186956"/>
            <a:gd name="connsiteY22" fmla="*/ 273652 h 596943"/>
            <a:gd name="connsiteX23" fmla="*/ 146147 w 186956"/>
            <a:gd name="connsiteY23" fmla="*/ 211534 h 596943"/>
            <a:gd name="connsiteX24" fmla="*/ 137673 w 186956"/>
            <a:gd name="connsiteY24" fmla="*/ 158193 h 596943"/>
            <a:gd name="connsiteX25" fmla="*/ 134017 w 186956"/>
            <a:gd name="connsiteY25" fmla="*/ 108946 h 596943"/>
            <a:gd name="connsiteX26" fmla="*/ 125674 w 186956"/>
            <a:gd name="connsiteY26" fmla="*/ 65689 h 596943"/>
            <a:gd name="connsiteX27" fmla="*/ 107267 w 186956"/>
            <a:gd name="connsiteY27" fmla="*/ 21987 h 596943"/>
            <a:gd name="connsiteX28" fmla="*/ 95051 w 186956"/>
            <a:gd name="connsiteY28" fmla="*/ 1008 h 596943"/>
            <a:gd name="connsiteX29" fmla="*/ 65054 w 186956"/>
            <a:gd name="connsiteY29" fmla="*/ 13425 h 596943"/>
            <a:gd name="connsiteX0" fmla="*/ 65054 w 184776"/>
            <a:gd name="connsiteY0" fmla="*/ 13425 h 596943"/>
            <a:gd name="connsiteX1" fmla="*/ 51000 w 184776"/>
            <a:gd name="connsiteY1" fmla="*/ 67855 h 596943"/>
            <a:gd name="connsiteX2" fmla="*/ 35495 w 184776"/>
            <a:gd name="connsiteY2" fmla="*/ 115282 h 596943"/>
            <a:gd name="connsiteX3" fmla="*/ 26254 w 184776"/>
            <a:gd name="connsiteY3" fmla="*/ 177478 h 596943"/>
            <a:gd name="connsiteX4" fmla="*/ 17836 w 184776"/>
            <a:gd name="connsiteY4" fmla="*/ 223610 h 596943"/>
            <a:gd name="connsiteX5" fmla="*/ 10748 w 184776"/>
            <a:gd name="connsiteY5" fmla="*/ 269980 h 596943"/>
            <a:gd name="connsiteX6" fmla="*/ 2015 w 184776"/>
            <a:gd name="connsiteY6" fmla="*/ 341741 h 596943"/>
            <a:gd name="connsiteX7" fmla="*/ 54 w 184776"/>
            <a:gd name="connsiteY7" fmla="*/ 419579 h 596943"/>
            <a:gd name="connsiteX8" fmla="*/ 5497 w 184776"/>
            <a:gd name="connsiteY8" fmla="*/ 435908 h 596943"/>
            <a:gd name="connsiteX9" fmla="*/ 14423 w 184776"/>
            <a:gd name="connsiteY9" fmla="*/ 489041 h 596943"/>
            <a:gd name="connsiteX10" fmla="*/ 38154 w 184776"/>
            <a:gd name="connsiteY10" fmla="*/ 544765 h 596943"/>
            <a:gd name="connsiteX11" fmla="*/ 49040 w 184776"/>
            <a:gd name="connsiteY11" fmla="*/ 561094 h 596943"/>
            <a:gd name="connsiteX12" fmla="*/ 75375 w 184776"/>
            <a:gd name="connsiteY12" fmla="*/ 589193 h 596943"/>
            <a:gd name="connsiteX13" fmla="*/ 104341 w 184776"/>
            <a:gd name="connsiteY13" fmla="*/ 596943 h 596943"/>
            <a:gd name="connsiteX14" fmla="*/ 128266 w 184776"/>
            <a:gd name="connsiteY14" fmla="*/ 570066 h 596943"/>
            <a:gd name="connsiteX15" fmla="*/ 142528 w 184776"/>
            <a:gd name="connsiteY15" fmla="*/ 535987 h 596943"/>
            <a:gd name="connsiteX16" fmla="*/ 155597 w 184776"/>
            <a:gd name="connsiteY16" fmla="*/ 503443 h 596943"/>
            <a:gd name="connsiteX17" fmla="*/ 156278 w 184776"/>
            <a:gd name="connsiteY17" fmla="*/ 464012 h 596943"/>
            <a:gd name="connsiteX18" fmla="*/ 156612 w 184776"/>
            <a:gd name="connsiteY18" fmla="*/ 409829 h 596943"/>
            <a:gd name="connsiteX19" fmla="*/ 158677 w 184776"/>
            <a:gd name="connsiteY19" fmla="*/ 378336 h 596943"/>
            <a:gd name="connsiteX20" fmla="*/ 155839 w 184776"/>
            <a:gd name="connsiteY20" fmla="*/ 347814 h 596943"/>
            <a:gd name="connsiteX21" fmla="*/ 184771 w 184776"/>
            <a:gd name="connsiteY21" fmla="*/ 309933 h 596943"/>
            <a:gd name="connsiteX22" fmla="*/ 153061 w 184776"/>
            <a:gd name="connsiteY22" fmla="*/ 273652 h 596943"/>
            <a:gd name="connsiteX23" fmla="*/ 146147 w 184776"/>
            <a:gd name="connsiteY23" fmla="*/ 211534 h 596943"/>
            <a:gd name="connsiteX24" fmla="*/ 137673 w 184776"/>
            <a:gd name="connsiteY24" fmla="*/ 158193 h 596943"/>
            <a:gd name="connsiteX25" fmla="*/ 134017 w 184776"/>
            <a:gd name="connsiteY25" fmla="*/ 108946 h 596943"/>
            <a:gd name="connsiteX26" fmla="*/ 125674 w 184776"/>
            <a:gd name="connsiteY26" fmla="*/ 65689 h 596943"/>
            <a:gd name="connsiteX27" fmla="*/ 107267 w 184776"/>
            <a:gd name="connsiteY27" fmla="*/ 21987 h 596943"/>
            <a:gd name="connsiteX28" fmla="*/ 95051 w 184776"/>
            <a:gd name="connsiteY28" fmla="*/ 1008 h 596943"/>
            <a:gd name="connsiteX29" fmla="*/ 65054 w 184776"/>
            <a:gd name="connsiteY29" fmla="*/ 13425 h 596943"/>
            <a:gd name="connsiteX0" fmla="*/ 65054 w 158683"/>
            <a:gd name="connsiteY0" fmla="*/ 13425 h 596943"/>
            <a:gd name="connsiteX1" fmla="*/ 51000 w 158683"/>
            <a:gd name="connsiteY1" fmla="*/ 67855 h 596943"/>
            <a:gd name="connsiteX2" fmla="*/ 35495 w 158683"/>
            <a:gd name="connsiteY2" fmla="*/ 115282 h 596943"/>
            <a:gd name="connsiteX3" fmla="*/ 26254 w 158683"/>
            <a:gd name="connsiteY3" fmla="*/ 177478 h 596943"/>
            <a:gd name="connsiteX4" fmla="*/ 17836 w 158683"/>
            <a:gd name="connsiteY4" fmla="*/ 223610 h 596943"/>
            <a:gd name="connsiteX5" fmla="*/ 10748 w 158683"/>
            <a:gd name="connsiteY5" fmla="*/ 269980 h 596943"/>
            <a:gd name="connsiteX6" fmla="*/ 2015 w 158683"/>
            <a:gd name="connsiteY6" fmla="*/ 341741 h 596943"/>
            <a:gd name="connsiteX7" fmla="*/ 54 w 158683"/>
            <a:gd name="connsiteY7" fmla="*/ 419579 h 596943"/>
            <a:gd name="connsiteX8" fmla="*/ 5497 w 158683"/>
            <a:gd name="connsiteY8" fmla="*/ 435908 h 596943"/>
            <a:gd name="connsiteX9" fmla="*/ 14423 w 158683"/>
            <a:gd name="connsiteY9" fmla="*/ 489041 h 596943"/>
            <a:gd name="connsiteX10" fmla="*/ 38154 w 158683"/>
            <a:gd name="connsiteY10" fmla="*/ 544765 h 596943"/>
            <a:gd name="connsiteX11" fmla="*/ 49040 w 158683"/>
            <a:gd name="connsiteY11" fmla="*/ 561094 h 596943"/>
            <a:gd name="connsiteX12" fmla="*/ 75375 w 158683"/>
            <a:gd name="connsiteY12" fmla="*/ 589193 h 596943"/>
            <a:gd name="connsiteX13" fmla="*/ 104341 w 158683"/>
            <a:gd name="connsiteY13" fmla="*/ 596943 h 596943"/>
            <a:gd name="connsiteX14" fmla="*/ 128266 w 158683"/>
            <a:gd name="connsiteY14" fmla="*/ 570066 h 596943"/>
            <a:gd name="connsiteX15" fmla="*/ 142528 w 158683"/>
            <a:gd name="connsiteY15" fmla="*/ 535987 h 596943"/>
            <a:gd name="connsiteX16" fmla="*/ 155597 w 158683"/>
            <a:gd name="connsiteY16" fmla="*/ 503443 h 596943"/>
            <a:gd name="connsiteX17" fmla="*/ 156278 w 158683"/>
            <a:gd name="connsiteY17" fmla="*/ 464012 h 596943"/>
            <a:gd name="connsiteX18" fmla="*/ 156612 w 158683"/>
            <a:gd name="connsiteY18" fmla="*/ 409829 h 596943"/>
            <a:gd name="connsiteX19" fmla="*/ 158677 w 158683"/>
            <a:gd name="connsiteY19" fmla="*/ 378336 h 596943"/>
            <a:gd name="connsiteX20" fmla="*/ 155839 w 158683"/>
            <a:gd name="connsiteY20" fmla="*/ 347814 h 596943"/>
            <a:gd name="connsiteX21" fmla="*/ 157626 w 158683"/>
            <a:gd name="connsiteY21" fmla="*/ 303459 h 596943"/>
            <a:gd name="connsiteX22" fmla="*/ 153061 w 158683"/>
            <a:gd name="connsiteY22" fmla="*/ 273652 h 596943"/>
            <a:gd name="connsiteX23" fmla="*/ 146147 w 158683"/>
            <a:gd name="connsiteY23" fmla="*/ 211534 h 596943"/>
            <a:gd name="connsiteX24" fmla="*/ 137673 w 158683"/>
            <a:gd name="connsiteY24" fmla="*/ 158193 h 596943"/>
            <a:gd name="connsiteX25" fmla="*/ 134017 w 158683"/>
            <a:gd name="connsiteY25" fmla="*/ 108946 h 596943"/>
            <a:gd name="connsiteX26" fmla="*/ 125674 w 158683"/>
            <a:gd name="connsiteY26" fmla="*/ 65689 h 596943"/>
            <a:gd name="connsiteX27" fmla="*/ 107267 w 158683"/>
            <a:gd name="connsiteY27" fmla="*/ 21987 h 596943"/>
            <a:gd name="connsiteX28" fmla="*/ 95051 w 158683"/>
            <a:gd name="connsiteY28" fmla="*/ 1008 h 596943"/>
            <a:gd name="connsiteX29" fmla="*/ 65054 w 158683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435908 h 596943"/>
            <a:gd name="connsiteX9" fmla="*/ 14423 w 158690"/>
            <a:gd name="connsiteY9" fmla="*/ 489041 h 596943"/>
            <a:gd name="connsiteX10" fmla="*/ 38154 w 158690"/>
            <a:gd name="connsiteY10" fmla="*/ 544765 h 596943"/>
            <a:gd name="connsiteX11" fmla="*/ 49040 w 158690"/>
            <a:gd name="connsiteY11" fmla="*/ 561094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8266 w 158690"/>
            <a:gd name="connsiteY14" fmla="*/ 570066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14423 w 158690"/>
            <a:gd name="connsiteY9" fmla="*/ 489041 h 596943"/>
            <a:gd name="connsiteX10" fmla="*/ 38154 w 158690"/>
            <a:gd name="connsiteY10" fmla="*/ 544765 h 596943"/>
            <a:gd name="connsiteX11" fmla="*/ 49040 w 158690"/>
            <a:gd name="connsiteY11" fmla="*/ 561094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8266 w 158690"/>
            <a:gd name="connsiteY14" fmla="*/ 570066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8154 w 158690"/>
            <a:gd name="connsiteY10" fmla="*/ 544765 h 596943"/>
            <a:gd name="connsiteX11" fmla="*/ 49040 w 158690"/>
            <a:gd name="connsiteY11" fmla="*/ 561094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8266 w 158690"/>
            <a:gd name="connsiteY14" fmla="*/ 570066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49040 w 158690"/>
            <a:gd name="connsiteY11" fmla="*/ 561094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8266 w 158690"/>
            <a:gd name="connsiteY14" fmla="*/ 570066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8266 w 158690"/>
            <a:gd name="connsiteY14" fmla="*/ 570066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42528 w 158690"/>
            <a:gd name="connsiteY15" fmla="*/ 535987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5597 w 158690"/>
            <a:gd name="connsiteY16" fmla="*/ 503443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6278 w 158690"/>
            <a:gd name="connsiteY17" fmla="*/ 464012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2408 w 158690"/>
            <a:gd name="connsiteY17" fmla="*/ 420027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3061 w 158690"/>
            <a:gd name="connsiteY22" fmla="*/ 273652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2408 w 158690"/>
            <a:gd name="connsiteY17" fmla="*/ 420027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5964 w 158690"/>
            <a:gd name="connsiteY22" fmla="*/ 242234 h 596943"/>
            <a:gd name="connsiteX23" fmla="*/ 146147 w 158690"/>
            <a:gd name="connsiteY23" fmla="*/ 211534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2408 w 158690"/>
            <a:gd name="connsiteY17" fmla="*/ 420027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5964 w 158690"/>
            <a:gd name="connsiteY22" fmla="*/ 242234 h 596943"/>
            <a:gd name="connsiteX23" fmla="*/ 150985 w 158690"/>
            <a:gd name="connsiteY23" fmla="*/ 139273 h 596943"/>
            <a:gd name="connsiteX24" fmla="*/ 137673 w 158690"/>
            <a:gd name="connsiteY24" fmla="*/ 158193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2408 w 158690"/>
            <a:gd name="connsiteY17" fmla="*/ 420027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5964 w 158690"/>
            <a:gd name="connsiteY22" fmla="*/ 242234 h 596943"/>
            <a:gd name="connsiteX23" fmla="*/ 150985 w 158690"/>
            <a:gd name="connsiteY23" fmla="*/ 139273 h 596943"/>
            <a:gd name="connsiteX24" fmla="*/ 145898 w 158690"/>
            <a:gd name="connsiteY24" fmla="*/ 82789 h 596943"/>
            <a:gd name="connsiteX25" fmla="*/ 134017 w 158690"/>
            <a:gd name="connsiteY25" fmla="*/ 108946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2408 w 158690"/>
            <a:gd name="connsiteY17" fmla="*/ 420027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5964 w 158690"/>
            <a:gd name="connsiteY22" fmla="*/ 242234 h 596943"/>
            <a:gd name="connsiteX23" fmla="*/ 150985 w 158690"/>
            <a:gd name="connsiteY23" fmla="*/ 139273 h 596943"/>
            <a:gd name="connsiteX24" fmla="*/ 145898 w 158690"/>
            <a:gd name="connsiteY24" fmla="*/ 82789 h 596943"/>
            <a:gd name="connsiteX25" fmla="*/ 134017 w 158690"/>
            <a:gd name="connsiteY25" fmla="*/ 30400 h 596943"/>
            <a:gd name="connsiteX26" fmla="*/ 125674 w 158690"/>
            <a:gd name="connsiteY26" fmla="*/ 65689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65054 w 158690"/>
            <a:gd name="connsiteY0" fmla="*/ 13425 h 596943"/>
            <a:gd name="connsiteX1" fmla="*/ 51000 w 158690"/>
            <a:gd name="connsiteY1" fmla="*/ 67855 h 596943"/>
            <a:gd name="connsiteX2" fmla="*/ 35495 w 158690"/>
            <a:gd name="connsiteY2" fmla="*/ 115282 h 596943"/>
            <a:gd name="connsiteX3" fmla="*/ 26254 w 158690"/>
            <a:gd name="connsiteY3" fmla="*/ 177478 h 596943"/>
            <a:gd name="connsiteX4" fmla="*/ 17836 w 158690"/>
            <a:gd name="connsiteY4" fmla="*/ 223610 h 596943"/>
            <a:gd name="connsiteX5" fmla="*/ 10748 w 158690"/>
            <a:gd name="connsiteY5" fmla="*/ 269980 h 596943"/>
            <a:gd name="connsiteX6" fmla="*/ 2015 w 158690"/>
            <a:gd name="connsiteY6" fmla="*/ 341741 h 596943"/>
            <a:gd name="connsiteX7" fmla="*/ 54 w 158690"/>
            <a:gd name="connsiteY7" fmla="*/ 419579 h 596943"/>
            <a:gd name="connsiteX8" fmla="*/ 5497 w 158690"/>
            <a:gd name="connsiteY8" fmla="*/ 511312 h 596943"/>
            <a:gd name="connsiteX9" fmla="*/ 23131 w 158690"/>
            <a:gd name="connsiteY9" fmla="*/ 570729 h 596943"/>
            <a:gd name="connsiteX10" fmla="*/ 39606 w 158690"/>
            <a:gd name="connsiteY10" fmla="*/ 579325 h 596943"/>
            <a:gd name="connsiteX11" fmla="*/ 55329 w 158690"/>
            <a:gd name="connsiteY11" fmla="*/ 589370 h 596943"/>
            <a:gd name="connsiteX12" fmla="*/ 75375 w 158690"/>
            <a:gd name="connsiteY12" fmla="*/ 589193 h 596943"/>
            <a:gd name="connsiteX13" fmla="*/ 104341 w 158690"/>
            <a:gd name="connsiteY13" fmla="*/ 596943 h 596943"/>
            <a:gd name="connsiteX14" fmla="*/ 127782 w 158690"/>
            <a:gd name="connsiteY14" fmla="*/ 554357 h 596943"/>
            <a:gd name="connsiteX15" fmla="*/ 139625 w 158690"/>
            <a:gd name="connsiteY15" fmla="*/ 488860 h 596943"/>
            <a:gd name="connsiteX16" fmla="*/ 150275 w 158690"/>
            <a:gd name="connsiteY16" fmla="*/ 434324 h 596943"/>
            <a:gd name="connsiteX17" fmla="*/ 152408 w 158690"/>
            <a:gd name="connsiteY17" fmla="*/ 420027 h 596943"/>
            <a:gd name="connsiteX18" fmla="*/ 156612 w 158690"/>
            <a:gd name="connsiteY18" fmla="*/ 409829 h 596943"/>
            <a:gd name="connsiteX19" fmla="*/ 158677 w 158690"/>
            <a:gd name="connsiteY19" fmla="*/ 378336 h 596943"/>
            <a:gd name="connsiteX20" fmla="*/ 158307 w 158690"/>
            <a:gd name="connsiteY20" fmla="*/ 347814 h 596943"/>
            <a:gd name="connsiteX21" fmla="*/ 157626 w 158690"/>
            <a:gd name="connsiteY21" fmla="*/ 303459 h 596943"/>
            <a:gd name="connsiteX22" fmla="*/ 155964 w 158690"/>
            <a:gd name="connsiteY22" fmla="*/ 242234 h 596943"/>
            <a:gd name="connsiteX23" fmla="*/ 150985 w 158690"/>
            <a:gd name="connsiteY23" fmla="*/ 139273 h 596943"/>
            <a:gd name="connsiteX24" fmla="*/ 145898 w 158690"/>
            <a:gd name="connsiteY24" fmla="*/ 82789 h 596943"/>
            <a:gd name="connsiteX25" fmla="*/ 134017 w 158690"/>
            <a:gd name="connsiteY25" fmla="*/ 30400 h 596943"/>
            <a:gd name="connsiteX26" fmla="*/ 119384 w 158690"/>
            <a:gd name="connsiteY26" fmla="*/ 9135 h 596943"/>
            <a:gd name="connsiteX27" fmla="*/ 107267 w 158690"/>
            <a:gd name="connsiteY27" fmla="*/ 21987 h 596943"/>
            <a:gd name="connsiteX28" fmla="*/ 95051 w 158690"/>
            <a:gd name="connsiteY28" fmla="*/ 1008 h 596943"/>
            <a:gd name="connsiteX29" fmla="*/ 65054 w 158690"/>
            <a:gd name="connsiteY29" fmla="*/ 13425 h 596943"/>
            <a:gd name="connsiteX0" fmla="*/ 77149 w 158690"/>
            <a:gd name="connsiteY0" fmla="*/ 59686 h 596077"/>
            <a:gd name="connsiteX1" fmla="*/ 51000 w 158690"/>
            <a:gd name="connsiteY1" fmla="*/ 66989 h 596077"/>
            <a:gd name="connsiteX2" fmla="*/ 35495 w 158690"/>
            <a:gd name="connsiteY2" fmla="*/ 114416 h 596077"/>
            <a:gd name="connsiteX3" fmla="*/ 26254 w 158690"/>
            <a:gd name="connsiteY3" fmla="*/ 176612 h 596077"/>
            <a:gd name="connsiteX4" fmla="*/ 17836 w 158690"/>
            <a:gd name="connsiteY4" fmla="*/ 222744 h 596077"/>
            <a:gd name="connsiteX5" fmla="*/ 10748 w 158690"/>
            <a:gd name="connsiteY5" fmla="*/ 269114 h 596077"/>
            <a:gd name="connsiteX6" fmla="*/ 2015 w 158690"/>
            <a:gd name="connsiteY6" fmla="*/ 340875 h 596077"/>
            <a:gd name="connsiteX7" fmla="*/ 54 w 158690"/>
            <a:gd name="connsiteY7" fmla="*/ 418713 h 596077"/>
            <a:gd name="connsiteX8" fmla="*/ 5497 w 158690"/>
            <a:gd name="connsiteY8" fmla="*/ 510446 h 596077"/>
            <a:gd name="connsiteX9" fmla="*/ 23131 w 158690"/>
            <a:gd name="connsiteY9" fmla="*/ 569863 h 596077"/>
            <a:gd name="connsiteX10" fmla="*/ 39606 w 158690"/>
            <a:gd name="connsiteY10" fmla="*/ 578459 h 596077"/>
            <a:gd name="connsiteX11" fmla="*/ 55329 w 158690"/>
            <a:gd name="connsiteY11" fmla="*/ 588504 h 596077"/>
            <a:gd name="connsiteX12" fmla="*/ 75375 w 158690"/>
            <a:gd name="connsiteY12" fmla="*/ 588327 h 596077"/>
            <a:gd name="connsiteX13" fmla="*/ 104341 w 158690"/>
            <a:gd name="connsiteY13" fmla="*/ 596077 h 596077"/>
            <a:gd name="connsiteX14" fmla="*/ 127782 w 158690"/>
            <a:gd name="connsiteY14" fmla="*/ 553491 h 596077"/>
            <a:gd name="connsiteX15" fmla="*/ 139625 w 158690"/>
            <a:gd name="connsiteY15" fmla="*/ 487994 h 596077"/>
            <a:gd name="connsiteX16" fmla="*/ 150275 w 158690"/>
            <a:gd name="connsiteY16" fmla="*/ 433458 h 596077"/>
            <a:gd name="connsiteX17" fmla="*/ 152408 w 158690"/>
            <a:gd name="connsiteY17" fmla="*/ 419161 h 596077"/>
            <a:gd name="connsiteX18" fmla="*/ 156612 w 158690"/>
            <a:gd name="connsiteY18" fmla="*/ 408963 h 596077"/>
            <a:gd name="connsiteX19" fmla="*/ 158677 w 158690"/>
            <a:gd name="connsiteY19" fmla="*/ 377470 h 596077"/>
            <a:gd name="connsiteX20" fmla="*/ 158307 w 158690"/>
            <a:gd name="connsiteY20" fmla="*/ 346948 h 596077"/>
            <a:gd name="connsiteX21" fmla="*/ 157626 w 158690"/>
            <a:gd name="connsiteY21" fmla="*/ 302593 h 596077"/>
            <a:gd name="connsiteX22" fmla="*/ 155964 w 158690"/>
            <a:gd name="connsiteY22" fmla="*/ 241368 h 596077"/>
            <a:gd name="connsiteX23" fmla="*/ 150985 w 158690"/>
            <a:gd name="connsiteY23" fmla="*/ 138407 h 596077"/>
            <a:gd name="connsiteX24" fmla="*/ 145898 w 158690"/>
            <a:gd name="connsiteY24" fmla="*/ 81923 h 596077"/>
            <a:gd name="connsiteX25" fmla="*/ 134017 w 158690"/>
            <a:gd name="connsiteY25" fmla="*/ 29534 h 596077"/>
            <a:gd name="connsiteX26" fmla="*/ 119384 w 158690"/>
            <a:gd name="connsiteY26" fmla="*/ 8269 h 596077"/>
            <a:gd name="connsiteX27" fmla="*/ 107267 w 158690"/>
            <a:gd name="connsiteY27" fmla="*/ 21121 h 596077"/>
            <a:gd name="connsiteX28" fmla="*/ 95051 w 158690"/>
            <a:gd name="connsiteY28" fmla="*/ 142 h 596077"/>
            <a:gd name="connsiteX29" fmla="*/ 77149 w 158690"/>
            <a:gd name="connsiteY29" fmla="*/ 59686 h 596077"/>
            <a:gd name="connsiteX0" fmla="*/ 77149 w 158690"/>
            <a:gd name="connsiteY0" fmla="*/ 59712 h 596103"/>
            <a:gd name="connsiteX1" fmla="*/ 58257 w 158690"/>
            <a:gd name="connsiteY1" fmla="*/ 120426 h 596103"/>
            <a:gd name="connsiteX2" fmla="*/ 35495 w 158690"/>
            <a:gd name="connsiteY2" fmla="*/ 114442 h 596103"/>
            <a:gd name="connsiteX3" fmla="*/ 26254 w 158690"/>
            <a:gd name="connsiteY3" fmla="*/ 176638 h 596103"/>
            <a:gd name="connsiteX4" fmla="*/ 17836 w 158690"/>
            <a:gd name="connsiteY4" fmla="*/ 222770 h 596103"/>
            <a:gd name="connsiteX5" fmla="*/ 10748 w 158690"/>
            <a:gd name="connsiteY5" fmla="*/ 269140 h 596103"/>
            <a:gd name="connsiteX6" fmla="*/ 2015 w 158690"/>
            <a:gd name="connsiteY6" fmla="*/ 340901 h 596103"/>
            <a:gd name="connsiteX7" fmla="*/ 54 w 158690"/>
            <a:gd name="connsiteY7" fmla="*/ 418739 h 596103"/>
            <a:gd name="connsiteX8" fmla="*/ 5497 w 158690"/>
            <a:gd name="connsiteY8" fmla="*/ 510472 h 596103"/>
            <a:gd name="connsiteX9" fmla="*/ 23131 w 158690"/>
            <a:gd name="connsiteY9" fmla="*/ 569889 h 596103"/>
            <a:gd name="connsiteX10" fmla="*/ 39606 w 158690"/>
            <a:gd name="connsiteY10" fmla="*/ 578485 h 596103"/>
            <a:gd name="connsiteX11" fmla="*/ 55329 w 158690"/>
            <a:gd name="connsiteY11" fmla="*/ 588530 h 596103"/>
            <a:gd name="connsiteX12" fmla="*/ 75375 w 158690"/>
            <a:gd name="connsiteY12" fmla="*/ 588353 h 596103"/>
            <a:gd name="connsiteX13" fmla="*/ 104341 w 158690"/>
            <a:gd name="connsiteY13" fmla="*/ 596103 h 596103"/>
            <a:gd name="connsiteX14" fmla="*/ 127782 w 158690"/>
            <a:gd name="connsiteY14" fmla="*/ 553517 h 596103"/>
            <a:gd name="connsiteX15" fmla="*/ 139625 w 158690"/>
            <a:gd name="connsiteY15" fmla="*/ 488020 h 596103"/>
            <a:gd name="connsiteX16" fmla="*/ 150275 w 158690"/>
            <a:gd name="connsiteY16" fmla="*/ 433484 h 596103"/>
            <a:gd name="connsiteX17" fmla="*/ 152408 w 158690"/>
            <a:gd name="connsiteY17" fmla="*/ 419187 h 596103"/>
            <a:gd name="connsiteX18" fmla="*/ 156612 w 158690"/>
            <a:gd name="connsiteY18" fmla="*/ 408989 h 596103"/>
            <a:gd name="connsiteX19" fmla="*/ 158677 w 158690"/>
            <a:gd name="connsiteY19" fmla="*/ 377496 h 596103"/>
            <a:gd name="connsiteX20" fmla="*/ 158307 w 158690"/>
            <a:gd name="connsiteY20" fmla="*/ 346974 h 596103"/>
            <a:gd name="connsiteX21" fmla="*/ 157626 w 158690"/>
            <a:gd name="connsiteY21" fmla="*/ 302619 h 596103"/>
            <a:gd name="connsiteX22" fmla="*/ 155964 w 158690"/>
            <a:gd name="connsiteY22" fmla="*/ 241394 h 596103"/>
            <a:gd name="connsiteX23" fmla="*/ 150985 w 158690"/>
            <a:gd name="connsiteY23" fmla="*/ 138433 h 596103"/>
            <a:gd name="connsiteX24" fmla="*/ 145898 w 158690"/>
            <a:gd name="connsiteY24" fmla="*/ 81949 h 596103"/>
            <a:gd name="connsiteX25" fmla="*/ 134017 w 158690"/>
            <a:gd name="connsiteY25" fmla="*/ 29560 h 596103"/>
            <a:gd name="connsiteX26" fmla="*/ 119384 w 158690"/>
            <a:gd name="connsiteY26" fmla="*/ 8295 h 596103"/>
            <a:gd name="connsiteX27" fmla="*/ 107267 w 158690"/>
            <a:gd name="connsiteY27" fmla="*/ 21147 h 596103"/>
            <a:gd name="connsiteX28" fmla="*/ 95051 w 158690"/>
            <a:gd name="connsiteY28" fmla="*/ 168 h 596103"/>
            <a:gd name="connsiteX29" fmla="*/ 77149 w 158690"/>
            <a:gd name="connsiteY29" fmla="*/ 59712 h 596103"/>
            <a:gd name="connsiteX0" fmla="*/ 77149 w 158690"/>
            <a:gd name="connsiteY0" fmla="*/ 59713 h 596104"/>
            <a:gd name="connsiteX1" fmla="*/ 58257 w 158690"/>
            <a:gd name="connsiteY1" fmla="*/ 120427 h 596104"/>
            <a:gd name="connsiteX2" fmla="*/ 42268 w 158690"/>
            <a:gd name="connsiteY2" fmla="*/ 196129 h 596104"/>
            <a:gd name="connsiteX3" fmla="*/ 26254 w 158690"/>
            <a:gd name="connsiteY3" fmla="*/ 176639 h 596104"/>
            <a:gd name="connsiteX4" fmla="*/ 17836 w 158690"/>
            <a:gd name="connsiteY4" fmla="*/ 222771 h 596104"/>
            <a:gd name="connsiteX5" fmla="*/ 10748 w 158690"/>
            <a:gd name="connsiteY5" fmla="*/ 269141 h 596104"/>
            <a:gd name="connsiteX6" fmla="*/ 2015 w 158690"/>
            <a:gd name="connsiteY6" fmla="*/ 340902 h 596104"/>
            <a:gd name="connsiteX7" fmla="*/ 54 w 158690"/>
            <a:gd name="connsiteY7" fmla="*/ 418740 h 596104"/>
            <a:gd name="connsiteX8" fmla="*/ 5497 w 158690"/>
            <a:gd name="connsiteY8" fmla="*/ 510473 h 596104"/>
            <a:gd name="connsiteX9" fmla="*/ 23131 w 158690"/>
            <a:gd name="connsiteY9" fmla="*/ 569890 h 596104"/>
            <a:gd name="connsiteX10" fmla="*/ 39606 w 158690"/>
            <a:gd name="connsiteY10" fmla="*/ 578486 h 596104"/>
            <a:gd name="connsiteX11" fmla="*/ 55329 w 158690"/>
            <a:gd name="connsiteY11" fmla="*/ 588531 h 596104"/>
            <a:gd name="connsiteX12" fmla="*/ 75375 w 158690"/>
            <a:gd name="connsiteY12" fmla="*/ 588354 h 596104"/>
            <a:gd name="connsiteX13" fmla="*/ 104341 w 158690"/>
            <a:gd name="connsiteY13" fmla="*/ 596104 h 596104"/>
            <a:gd name="connsiteX14" fmla="*/ 127782 w 158690"/>
            <a:gd name="connsiteY14" fmla="*/ 553518 h 596104"/>
            <a:gd name="connsiteX15" fmla="*/ 139625 w 158690"/>
            <a:gd name="connsiteY15" fmla="*/ 488021 h 596104"/>
            <a:gd name="connsiteX16" fmla="*/ 150275 w 158690"/>
            <a:gd name="connsiteY16" fmla="*/ 433485 h 596104"/>
            <a:gd name="connsiteX17" fmla="*/ 152408 w 158690"/>
            <a:gd name="connsiteY17" fmla="*/ 419188 h 596104"/>
            <a:gd name="connsiteX18" fmla="*/ 156612 w 158690"/>
            <a:gd name="connsiteY18" fmla="*/ 408990 h 596104"/>
            <a:gd name="connsiteX19" fmla="*/ 158677 w 158690"/>
            <a:gd name="connsiteY19" fmla="*/ 377497 h 596104"/>
            <a:gd name="connsiteX20" fmla="*/ 158307 w 158690"/>
            <a:gd name="connsiteY20" fmla="*/ 346975 h 596104"/>
            <a:gd name="connsiteX21" fmla="*/ 157626 w 158690"/>
            <a:gd name="connsiteY21" fmla="*/ 302620 h 596104"/>
            <a:gd name="connsiteX22" fmla="*/ 155964 w 158690"/>
            <a:gd name="connsiteY22" fmla="*/ 241395 h 596104"/>
            <a:gd name="connsiteX23" fmla="*/ 150985 w 158690"/>
            <a:gd name="connsiteY23" fmla="*/ 138434 h 596104"/>
            <a:gd name="connsiteX24" fmla="*/ 145898 w 158690"/>
            <a:gd name="connsiteY24" fmla="*/ 81950 h 596104"/>
            <a:gd name="connsiteX25" fmla="*/ 134017 w 158690"/>
            <a:gd name="connsiteY25" fmla="*/ 29561 h 596104"/>
            <a:gd name="connsiteX26" fmla="*/ 119384 w 158690"/>
            <a:gd name="connsiteY26" fmla="*/ 8296 h 596104"/>
            <a:gd name="connsiteX27" fmla="*/ 107267 w 158690"/>
            <a:gd name="connsiteY27" fmla="*/ 21148 h 596104"/>
            <a:gd name="connsiteX28" fmla="*/ 95051 w 158690"/>
            <a:gd name="connsiteY28" fmla="*/ 169 h 596104"/>
            <a:gd name="connsiteX29" fmla="*/ 77149 w 158690"/>
            <a:gd name="connsiteY29" fmla="*/ 59713 h 596104"/>
            <a:gd name="connsiteX0" fmla="*/ 77149 w 158690"/>
            <a:gd name="connsiteY0" fmla="*/ 59713 h 596104"/>
            <a:gd name="connsiteX1" fmla="*/ 58257 w 158690"/>
            <a:gd name="connsiteY1" fmla="*/ 120427 h 596104"/>
            <a:gd name="connsiteX2" fmla="*/ 42268 w 158690"/>
            <a:gd name="connsiteY2" fmla="*/ 196129 h 596104"/>
            <a:gd name="connsiteX3" fmla="*/ 28189 w 158690"/>
            <a:gd name="connsiteY3" fmla="*/ 261468 h 596104"/>
            <a:gd name="connsiteX4" fmla="*/ 17836 w 158690"/>
            <a:gd name="connsiteY4" fmla="*/ 222771 h 596104"/>
            <a:gd name="connsiteX5" fmla="*/ 10748 w 158690"/>
            <a:gd name="connsiteY5" fmla="*/ 269141 h 596104"/>
            <a:gd name="connsiteX6" fmla="*/ 2015 w 158690"/>
            <a:gd name="connsiteY6" fmla="*/ 340902 h 596104"/>
            <a:gd name="connsiteX7" fmla="*/ 54 w 158690"/>
            <a:gd name="connsiteY7" fmla="*/ 418740 h 596104"/>
            <a:gd name="connsiteX8" fmla="*/ 5497 w 158690"/>
            <a:gd name="connsiteY8" fmla="*/ 510473 h 596104"/>
            <a:gd name="connsiteX9" fmla="*/ 23131 w 158690"/>
            <a:gd name="connsiteY9" fmla="*/ 569890 h 596104"/>
            <a:gd name="connsiteX10" fmla="*/ 39606 w 158690"/>
            <a:gd name="connsiteY10" fmla="*/ 578486 h 596104"/>
            <a:gd name="connsiteX11" fmla="*/ 55329 w 158690"/>
            <a:gd name="connsiteY11" fmla="*/ 588531 h 596104"/>
            <a:gd name="connsiteX12" fmla="*/ 75375 w 158690"/>
            <a:gd name="connsiteY12" fmla="*/ 588354 h 596104"/>
            <a:gd name="connsiteX13" fmla="*/ 104341 w 158690"/>
            <a:gd name="connsiteY13" fmla="*/ 596104 h 596104"/>
            <a:gd name="connsiteX14" fmla="*/ 127782 w 158690"/>
            <a:gd name="connsiteY14" fmla="*/ 553518 h 596104"/>
            <a:gd name="connsiteX15" fmla="*/ 139625 w 158690"/>
            <a:gd name="connsiteY15" fmla="*/ 488021 h 596104"/>
            <a:gd name="connsiteX16" fmla="*/ 150275 w 158690"/>
            <a:gd name="connsiteY16" fmla="*/ 433485 h 596104"/>
            <a:gd name="connsiteX17" fmla="*/ 152408 w 158690"/>
            <a:gd name="connsiteY17" fmla="*/ 419188 h 596104"/>
            <a:gd name="connsiteX18" fmla="*/ 156612 w 158690"/>
            <a:gd name="connsiteY18" fmla="*/ 408990 h 596104"/>
            <a:gd name="connsiteX19" fmla="*/ 158677 w 158690"/>
            <a:gd name="connsiteY19" fmla="*/ 377497 h 596104"/>
            <a:gd name="connsiteX20" fmla="*/ 158307 w 158690"/>
            <a:gd name="connsiteY20" fmla="*/ 346975 h 596104"/>
            <a:gd name="connsiteX21" fmla="*/ 157626 w 158690"/>
            <a:gd name="connsiteY21" fmla="*/ 302620 h 596104"/>
            <a:gd name="connsiteX22" fmla="*/ 155964 w 158690"/>
            <a:gd name="connsiteY22" fmla="*/ 241395 h 596104"/>
            <a:gd name="connsiteX23" fmla="*/ 150985 w 158690"/>
            <a:gd name="connsiteY23" fmla="*/ 138434 h 596104"/>
            <a:gd name="connsiteX24" fmla="*/ 145898 w 158690"/>
            <a:gd name="connsiteY24" fmla="*/ 81950 h 596104"/>
            <a:gd name="connsiteX25" fmla="*/ 134017 w 158690"/>
            <a:gd name="connsiteY25" fmla="*/ 29561 h 596104"/>
            <a:gd name="connsiteX26" fmla="*/ 119384 w 158690"/>
            <a:gd name="connsiteY26" fmla="*/ 8296 h 596104"/>
            <a:gd name="connsiteX27" fmla="*/ 107267 w 158690"/>
            <a:gd name="connsiteY27" fmla="*/ 21148 h 596104"/>
            <a:gd name="connsiteX28" fmla="*/ 95051 w 158690"/>
            <a:gd name="connsiteY28" fmla="*/ 169 h 596104"/>
            <a:gd name="connsiteX29" fmla="*/ 77149 w 158690"/>
            <a:gd name="connsiteY29" fmla="*/ 59713 h 596104"/>
            <a:gd name="connsiteX0" fmla="*/ 77149 w 158690"/>
            <a:gd name="connsiteY0" fmla="*/ 59713 h 596104"/>
            <a:gd name="connsiteX1" fmla="*/ 58257 w 158690"/>
            <a:gd name="connsiteY1" fmla="*/ 120427 h 596104"/>
            <a:gd name="connsiteX2" fmla="*/ 42268 w 158690"/>
            <a:gd name="connsiteY2" fmla="*/ 196129 h 596104"/>
            <a:gd name="connsiteX3" fmla="*/ 28189 w 158690"/>
            <a:gd name="connsiteY3" fmla="*/ 261468 h 596104"/>
            <a:gd name="connsiteX4" fmla="*/ 16384 w 158690"/>
            <a:gd name="connsiteY4" fmla="*/ 304459 h 596104"/>
            <a:gd name="connsiteX5" fmla="*/ 10748 w 158690"/>
            <a:gd name="connsiteY5" fmla="*/ 269141 h 596104"/>
            <a:gd name="connsiteX6" fmla="*/ 2015 w 158690"/>
            <a:gd name="connsiteY6" fmla="*/ 340902 h 596104"/>
            <a:gd name="connsiteX7" fmla="*/ 54 w 158690"/>
            <a:gd name="connsiteY7" fmla="*/ 418740 h 596104"/>
            <a:gd name="connsiteX8" fmla="*/ 5497 w 158690"/>
            <a:gd name="connsiteY8" fmla="*/ 510473 h 596104"/>
            <a:gd name="connsiteX9" fmla="*/ 23131 w 158690"/>
            <a:gd name="connsiteY9" fmla="*/ 569890 h 596104"/>
            <a:gd name="connsiteX10" fmla="*/ 39606 w 158690"/>
            <a:gd name="connsiteY10" fmla="*/ 578486 h 596104"/>
            <a:gd name="connsiteX11" fmla="*/ 55329 w 158690"/>
            <a:gd name="connsiteY11" fmla="*/ 588531 h 596104"/>
            <a:gd name="connsiteX12" fmla="*/ 75375 w 158690"/>
            <a:gd name="connsiteY12" fmla="*/ 588354 h 596104"/>
            <a:gd name="connsiteX13" fmla="*/ 104341 w 158690"/>
            <a:gd name="connsiteY13" fmla="*/ 596104 h 596104"/>
            <a:gd name="connsiteX14" fmla="*/ 127782 w 158690"/>
            <a:gd name="connsiteY14" fmla="*/ 553518 h 596104"/>
            <a:gd name="connsiteX15" fmla="*/ 139625 w 158690"/>
            <a:gd name="connsiteY15" fmla="*/ 488021 h 596104"/>
            <a:gd name="connsiteX16" fmla="*/ 150275 w 158690"/>
            <a:gd name="connsiteY16" fmla="*/ 433485 h 596104"/>
            <a:gd name="connsiteX17" fmla="*/ 152408 w 158690"/>
            <a:gd name="connsiteY17" fmla="*/ 419188 h 596104"/>
            <a:gd name="connsiteX18" fmla="*/ 156612 w 158690"/>
            <a:gd name="connsiteY18" fmla="*/ 408990 h 596104"/>
            <a:gd name="connsiteX19" fmla="*/ 158677 w 158690"/>
            <a:gd name="connsiteY19" fmla="*/ 377497 h 596104"/>
            <a:gd name="connsiteX20" fmla="*/ 158307 w 158690"/>
            <a:gd name="connsiteY20" fmla="*/ 346975 h 596104"/>
            <a:gd name="connsiteX21" fmla="*/ 157626 w 158690"/>
            <a:gd name="connsiteY21" fmla="*/ 302620 h 596104"/>
            <a:gd name="connsiteX22" fmla="*/ 155964 w 158690"/>
            <a:gd name="connsiteY22" fmla="*/ 241395 h 596104"/>
            <a:gd name="connsiteX23" fmla="*/ 150985 w 158690"/>
            <a:gd name="connsiteY23" fmla="*/ 138434 h 596104"/>
            <a:gd name="connsiteX24" fmla="*/ 145898 w 158690"/>
            <a:gd name="connsiteY24" fmla="*/ 81950 h 596104"/>
            <a:gd name="connsiteX25" fmla="*/ 134017 w 158690"/>
            <a:gd name="connsiteY25" fmla="*/ 29561 h 596104"/>
            <a:gd name="connsiteX26" fmla="*/ 119384 w 158690"/>
            <a:gd name="connsiteY26" fmla="*/ 8296 h 596104"/>
            <a:gd name="connsiteX27" fmla="*/ 107267 w 158690"/>
            <a:gd name="connsiteY27" fmla="*/ 21148 h 596104"/>
            <a:gd name="connsiteX28" fmla="*/ 95051 w 158690"/>
            <a:gd name="connsiteY28" fmla="*/ 169 h 596104"/>
            <a:gd name="connsiteX29" fmla="*/ 77149 w 158690"/>
            <a:gd name="connsiteY29" fmla="*/ 59713 h 596104"/>
            <a:gd name="connsiteX0" fmla="*/ 77149 w 158690"/>
            <a:gd name="connsiteY0" fmla="*/ 59713 h 596104"/>
            <a:gd name="connsiteX1" fmla="*/ 58257 w 158690"/>
            <a:gd name="connsiteY1" fmla="*/ 120427 h 596104"/>
            <a:gd name="connsiteX2" fmla="*/ 42268 w 158690"/>
            <a:gd name="connsiteY2" fmla="*/ 196129 h 596104"/>
            <a:gd name="connsiteX3" fmla="*/ 28189 w 158690"/>
            <a:gd name="connsiteY3" fmla="*/ 261468 h 596104"/>
            <a:gd name="connsiteX4" fmla="*/ 16384 w 158690"/>
            <a:gd name="connsiteY4" fmla="*/ 304459 h 596104"/>
            <a:gd name="connsiteX5" fmla="*/ 10264 w 158690"/>
            <a:gd name="connsiteY5" fmla="*/ 344545 h 596104"/>
            <a:gd name="connsiteX6" fmla="*/ 2015 w 158690"/>
            <a:gd name="connsiteY6" fmla="*/ 340902 h 596104"/>
            <a:gd name="connsiteX7" fmla="*/ 54 w 158690"/>
            <a:gd name="connsiteY7" fmla="*/ 418740 h 596104"/>
            <a:gd name="connsiteX8" fmla="*/ 5497 w 158690"/>
            <a:gd name="connsiteY8" fmla="*/ 510473 h 596104"/>
            <a:gd name="connsiteX9" fmla="*/ 23131 w 158690"/>
            <a:gd name="connsiteY9" fmla="*/ 569890 h 596104"/>
            <a:gd name="connsiteX10" fmla="*/ 39606 w 158690"/>
            <a:gd name="connsiteY10" fmla="*/ 578486 h 596104"/>
            <a:gd name="connsiteX11" fmla="*/ 55329 w 158690"/>
            <a:gd name="connsiteY11" fmla="*/ 588531 h 596104"/>
            <a:gd name="connsiteX12" fmla="*/ 75375 w 158690"/>
            <a:gd name="connsiteY12" fmla="*/ 588354 h 596104"/>
            <a:gd name="connsiteX13" fmla="*/ 104341 w 158690"/>
            <a:gd name="connsiteY13" fmla="*/ 596104 h 596104"/>
            <a:gd name="connsiteX14" fmla="*/ 127782 w 158690"/>
            <a:gd name="connsiteY14" fmla="*/ 553518 h 596104"/>
            <a:gd name="connsiteX15" fmla="*/ 139625 w 158690"/>
            <a:gd name="connsiteY15" fmla="*/ 488021 h 596104"/>
            <a:gd name="connsiteX16" fmla="*/ 150275 w 158690"/>
            <a:gd name="connsiteY16" fmla="*/ 433485 h 596104"/>
            <a:gd name="connsiteX17" fmla="*/ 152408 w 158690"/>
            <a:gd name="connsiteY17" fmla="*/ 419188 h 596104"/>
            <a:gd name="connsiteX18" fmla="*/ 156612 w 158690"/>
            <a:gd name="connsiteY18" fmla="*/ 408990 h 596104"/>
            <a:gd name="connsiteX19" fmla="*/ 158677 w 158690"/>
            <a:gd name="connsiteY19" fmla="*/ 377497 h 596104"/>
            <a:gd name="connsiteX20" fmla="*/ 158307 w 158690"/>
            <a:gd name="connsiteY20" fmla="*/ 346975 h 596104"/>
            <a:gd name="connsiteX21" fmla="*/ 157626 w 158690"/>
            <a:gd name="connsiteY21" fmla="*/ 302620 h 596104"/>
            <a:gd name="connsiteX22" fmla="*/ 155964 w 158690"/>
            <a:gd name="connsiteY22" fmla="*/ 241395 h 596104"/>
            <a:gd name="connsiteX23" fmla="*/ 150985 w 158690"/>
            <a:gd name="connsiteY23" fmla="*/ 138434 h 596104"/>
            <a:gd name="connsiteX24" fmla="*/ 145898 w 158690"/>
            <a:gd name="connsiteY24" fmla="*/ 81950 h 596104"/>
            <a:gd name="connsiteX25" fmla="*/ 134017 w 158690"/>
            <a:gd name="connsiteY25" fmla="*/ 29561 h 596104"/>
            <a:gd name="connsiteX26" fmla="*/ 119384 w 158690"/>
            <a:gd name="connsiteY26" fmla="*/ 8296 h 596104"/>
            <a:gd name="connsiteX27" fmla="*/ 107267 w 158690"/>
            <a:gd name="connsiteY27" fmla="*/ 21148 h 596104"/>
            <a:gd name="connsiteX28" fmla="*/ 95051 w 158690"/>
            <a:gd name="connsiteY28" fmla="*/ 169 h 596104"/>
            <a:gd name="connsiteX29" fmla="*/ 77149 w 158690"/>
            <a:gd name="connsiteY29" fmla="*/ 59713 h 596104"/>
            <a:gd name="connsiteX0" fmla="*/ 77099 w 158640"/>
            <a:gd name="connsiteY0" fmla="*/ 59713 h 596104"/>
            <a:gd name="connsiteX1" fmla="*/ 58207 w 158640"/>
            <a:gd name="connsiteY1" fmla="*/ 120427 h 596104"/>
            <a:gd name="connsiteX2" fmla="*/ 42218 w 158640"/>
            <a:gd name="connsiteY2" fmla="*/ 196129 h 596104"/>
            <a:gd name="connsiteX3" fmla="*/ 28139 w 158640"/>
            <a:gd name="connsiteY3" fmla="*/ 261468 h 596104"/>
            <a:gd name="connsiteX4" fmla="*/ 16334 w 158640"/>
            <a:gd name="connsiteY4" fmla="*/ 304459 h 596104"/>
            <a:gd name="connsiteX5" fmla="*/ 10214 w 158640"/>
            <a:gd name="connsiteY5" fmla="*/ 344545 h 596104"/>
            <a:gd name="connsiteX6" fmla="*/ 4384 w 158640"/>
            <a:gd name="connsiteY6" fmla="*/ 372319 h 596104"/>
            <a:gd name="connsiteX7" fmla="*/ 4 w 158640"/>
            <a:gd name="connsiteY7" fmla="*/ 418740 h 596104"/>
            <a:gd name="connsiteX8" fmla="*/ 5447 w 158640"/>
            <a:gd name="connsiteY8" fmla="*/ 510473 h 596104"/>
            <a:gd name="connsiteX9" fmla="*/ 23081 w 158640"/>
            <a:gd name="connsiteY9" fmla="*/ 569890 h 596104"/>
            <a:gd name="connsiteX10" fmla="*/ 39556 w 158640"/>
            <a:gd name="connsiteY10" fmla="*/ 578486 h 596104"/>
            <a:gd name="connsiteX11" fmla="*/ 55279 w 158640"/>
            <a:gd name="connsiteY11" fmla="*/ 588531 h 596104"/>
            <a:gd name="connsiteX12" fmla="*/ 75325 w 158640"/>
            <a:gd name="connsiteY12" fmla="*/ 588354 h 596104"/>
            <a:gd name="connsiteX13" fmla="*/ 104291 w 158640"/>
            <a:gd name="connsiteY13" fmla="*/ 596104 h 596104"/>
            <a:gd name="connsiteX14" fmla="*/ 127732 w 158640"/>
            <a:gd name="connsiteY14" fmla="*/ 553518 h 596104"/>
            <a:gd name="connsiteX15" fmla="*/ 139575 w 158640"/>
            <a:gd name="connsiteY15" fmla="*/ 488021 h 596104"/>
            <a:gd name="connsiteX16" fmla="*/ 150225 w 158640"/>
            <a:gd name="connsiteY16" fmla="*/ 433485 h 596104"/>
            <a:gd name="connsiteX17" fmla="*/ 152358 w 158640"/>
            <a:gd name="connsiteY17" fmla="*/ 419188 h 596104"/>
            <a:gd name="connsiteX18" fmla="*/ 156562 w 158640"/>
            <a:gd name="connsiteY18" fmla="*/ 408990 h 596104"/>
            <a:gd name="connsiteX19" fmla="*/ 158627 w 158640"/>
            <a:gd name="connsiteY19" fmla="*/ 377497 h 596104"/>
            <a:gd name="connsiteX20" fmla="*/ 158257 w 158640"/>
            <a:gd name="connsiteY20" fmla="*/ 346975 h 596104"/>
            <a:gd name="connsiteX21" fmla="*/ 157576 w 158640"/>
            <a:gd name="connsiteY21" fmla="*/ 302620 h 596104"/>
            <a:gd name="connsiteX22" fmla="*/ 155914 w 158640"/>
            <a:gd name="connsiteY22" fmla="*/ 241395 h 596104"/>
            <a:gd name="connsiteX23" fmla="*/ 150935 w 158640"/>
            <a:gd name="connsiteY23" fmla="*/ 138434 h 596104"/>
            <a:gd name="connsiteX24" fmla="*/ 145848 w 158640"/>
            <a:gd name="connsiteY24" fmla="*/ 81950 h 596104"/>
            <a:gd name="connsiteX25" fmla="*/ 133967 w 158640"/>
            <a:gd name="connsiteY25" fmla="*/ 29561 h 596104"/>
            <a:gd name="connsiteX26" fmla="*/ 119334 w 158640"/>
            <a:gd name="connsiteY26" fmla="*/ 8296 h 596104"/>
            <a:gd name="connsiteX27" fmla="*/ 107217 w 158640"/>
            <a:gd name="connsiteY27" fmla="*/ 21148 h 596104"/>
            <a:gd name="connsiteX28" fmla="*/ 95001 w 158640"/>
            <a:gd name="connsiteY28" fmla="*/ 169 h 596104"/>
            <a:gd name="connsiteX29" fmla="*/ 77099 w 158640"/>
            <a:gd name="connsiteY29" fmla="*/ 59713 h 596104"/>
            <a:gd name="connsiteX0" fmla="*/ 77108 w 158649"/>
            <a:gd name="connsiteY0" fmla="*/ 59713 h 596104"/>
            <a:gd name="connsiteX1" fmla="*/ 58216 w 158649"/>
            <a:gd name="connsiteY1" fmla="*/ 120427 h 596104"/>
            <a:gd name="connsiteX2" fmla="*/ 42227 w 158649"/>
            <a:gd name="connsiteY2" fmla="*/ 196129 h 596104"/>
            <a:gd name="connsiteX3" fmla="*/ 28148 w 158649"/>
            <a:gd name="connsiteY3" fmla="*/ 261468 h 596104"/>
            <a:gd name="connsiteX4" fmla="*/ 16343 w 158649"/>
            <a:gd name="connsiteY4" fmla="*/ 304459 h 596104"/>
            <a:gd name="connsiteX5" fmla="*/ 10223 w 158649"/>
            <a:gd name="connsiteY5" fmla="*/ 344545 h 596104"/>
            <a:gd name="connsiteX6" fmla="*/ 4393 w 158649"/>
            <a:gd name="connsiteY6" fmla="*/ 372319 h 596104"/>
            <a:gd name="connsiteX7" fmla="*/ 13 w 158649"/>
            <a:gd name="connsiteY7" fmla="*/ 418740 h 596104"/>
            <a:gd name="connsiteX8" fmla="*/ 5456 w 158649"/>
            <a:gd name="connsiteY8" fmla="*/ 510473 h 596104"/>
            <a:gd name="connsiteX9" fmla="*/ 23090 w 158649"/>
            <a:gd name="connsiteY9" fmla="*/ 569890 h 596104"/>
            <a:gd name="connsiteX10" fmla="*/ 39565 w 158649"/>
            <a:gd name="connsiteY10" fmla="*/ 578486 h 596104"/>
            <a:gd name="connsiteX11" fmla="*/ 55288 w 158649"/>
            <a:gd name="connsiteY11" fmla="*/ 588531 h 596104"/>
            <a:gd name="connsiteX12" fmla="*/ 75334 w 158649"/>
            <a:gd name="connsiteY12" fmla="*/ 588354 h 596104"/>
            <a:gd name="connsiteX13" fmla="*/ 104300 w 158649"/>
            <a:gd name="connsiteY13" fmla="*/ 596104 h 596104"/>
            <a:gd name="connsiteX14" fmla="*/ 127741 w 158649"/>
            <a:gd name="connsiteY14" fmla="*/ 553518 h 596104"/>
            <a:gd name="connsiteX15" fmla="*/ 139584 w 158649"/>
            <a:gd name="connsiteY15" fmla="*/ 488021 h 596104"/>
            <a:gd name="connsiteX16" fmla="*/ 150234 w 158649"/>
            <a:gd name="connsiteY16" fmla="*/ 433485 h 596104"/>
            <a:gd name="connsiteX17" fmla="*/ 152367 w 158649"/>
            <a:gd name="connsiteY17" fmla="*/ 419188 h 596104"/>
            <a:gd name="connsiteX18" fmla="*/ 156571 w 158649"/>
            <a:gd name="connsiteY18" fmla="*/ 408990 h 596104"/>
            <a:gd name="connsiteX19" fmla="*/ 158636 w 158649"/>
            <a:gd name="connsiteY19" fmla="*/ 377497 h 596104"/>
            <a:gd name="connsiteX20" fmla="*/ 158266 w 158649"/>
            <a:gd name="connsiteY20" fmla="*/ 346975 h 596104"/>
            <a:gd name="connsiteX21" fmla="*/ 157585 w 158649"/>
            <a:gd name="connsiteY21" fmla="*/ 302620 h 596104"/>
            <a:gd name="connsiteX22" fmla="*/ 155923 w 158649"/>
            <a:gd name="connsiteY22" fmla="*/ 241395 h 596104"/>
            <a:gd name="connsiteX23" fmla="*/ 150944 w 158649"/>
            <a:gd name="connsiteY23" fmla="*/ 138434 h 596104"/>
            <a:gd name="connsiteX24" fmla="*/ 145857 w 158649"/>
            <a:gd name="connsiteY24" fmla="*/ 81950 h 596104"/>
            <a:gd name="connsiteX25" fmla="*/ 133976 w 158649"/>
            <a:gd name="connsiteY25" fmla="*/ 29561 h 596104"/>
            <a:gd name="connsiteX26" fmla="*/ 119343 w 158649"/>
            <a:gd name="connsiteY26" fmla="*/ 8296 h 596104"/>
            <a:gd name="connsiteX27" fmla="*/ 107226 w 158649"/>
            <a:gd name="connsiteY27" fmla="*/ 21148 h 596104"/>
            <a:gd name="connsiteX28" fmla="*/ 95010 w 158649"/>
            <a:gd name="connsiteY28" fmla="*/ 169 h 596104"/>
            <a:gd name="connsiteX29" fmla="*/ 77108 w 158649"/>
            <a:gd name="connsiteY29" fmla="*/ 59713 h 596104"/>
            <a:gd name="connsiteX0" fmla="*/ 77108 w 158767"/>
            <a:gd name="connsiteY0" fmla="*/ 59713 h 596104"/>
            <a:gd name="connsiteX1" fmla="*/ 58216 w 158767"/>
            <a:gd name="connsiteY1" fmla="*/ 120427 h 596104"/>
            <a:gd name="connsiteX2" fmla="*/ 42227 w 158767"/>
            <a:gd name="connsiteY2" fmla="*/ 196129 h 596104"/>
            <a:gd name="connsiteX3" fmla="*/ 28148 w 158767"/>
            <a:gd name="connsiteY3" fmla="*/ 261468 h 596104"/>
            <a:gd name="connsiteX4" fmla="*/ 16343 w 158767"/>
            <a:gd name="connsiteY4" fmla="*/ 304459 h 596104"/>
            <a:gd name="connsiteX5" fmla="*/ 10223 w 158767"/>
            <a:gd name="connsiteY5" fmla="*/ 344545 h 596104"/>
            <a:gd name="connsiteX6" fmla="*/ 4393 w 158767"/>
            <a:gd name="connsiteY6" fmla="*/ 372319 h 596104"/>
            <a:gd name="connsiteX7" fmla="*/ 13 w 158767"/>
            <a:gd name="connsiteY7" fmla="*/ 418740 h 596104"/>
            <a:gd name="connsiteX8" fmla="*/ 5456 w 158767"/>
            <a:gd name="connsiteY8" fmla="*/ 510473 h 596104"/>
            <a:gd name="connsiteX9" fmla="*/ 23090 w 158767"/>
            <a:gd name="connsiteY9" fmla="*/ 569890 h 596104"/>
            <a:gd name="connsiteX10" fmla="*/ 39565 w 158767"/>
            <a:gd name="connsiteY10" fmla="*/ 578486 h 596104"/>
            <a:gd name="connsiteX11" fmla="*/ 55288 w 158767"/>
            <a:gd name="connsiteY11" fmla="*/ 588531 h 596104"/>
            <a:gd name="connsiteX12" fmla="*/ 75334 w 158767"/>
            <a:gd name="connsiteY12" fmla="*/ 588354 h 596104"/>
            <a:gd name="connsiteX13" fmla="*/ 104300 w 158767"/>
            <a:gd name="connsiteY13" fmla="*/ 596104 h 596104"/>
            <a:gd name="connsiteX14" fmla="*/ 127741 w 158767"/>
            <a:gd name="connsiteY14" fmla="*/ 553518 h 596104"/>
            <a:gd name="connsiteX15" fmla="*/ 139584 w 158767"/>
            <a:gd name="connsiteY15" fmla="*/ 488021 h 596104"/>
            <a:gd name="connsiteX16" fmla="*/ 150234 w 158767"/>
            <a:gd name="connsiteY16" fmla="*/ 433485 h 596104"/>
            <a:gd name="connsiteX17" fmla="*/ 152367 w 158767"/>
            <a:gd name="connsiteY17" fmla="*/ 419188 h 596104"/>
            <a:gd name="connsiteX18" fmla="*/ 158636 w 158767"/>
            <a:gd name="connsiteY18" fmla="*/ 377497 h 596104"/>
            <a:gd name="connsiteX19" fmla="*/ 158266 w 158767"/>
            <a:gd name="connsiteY19" fmla="*/ 346975 h 596104"/>
            <a:gd name="connsiteX20" fmla="*/ 157585 w 158767"/>
            <a:gd name="connsiteY20" fmla="*/ 302620 h 596104"/>
            <a:gd name="connsiteX21" fmla="*/ 155923 w 158767"/>
            <a:gd name="connsiteY21" fmla="*/ 241395 h 596104"/>
            <a:gd name="connsiteX22" fmla="*/ 150944 w 158767"/>
            <a:gd name="connsiteY22" fmla="*/ 138434 h 596104"/>
            <a:gd name="connsiteX23" fmla="*/ 145857 w 158767"/>
            <a:gd name="connsiteY23" fmla="*/ 81950 h 596104"/>
            <a:gd name="connsiteX24" fmla="*/ 133976 w 158767"/>
            <a:gd name="connsiteY24" fmla="*/ 29561 h 596104"/>
            <a:gd name="connsiteX25" fmla="*/ 119343 w 158767"/>
            <a:gd name="connsiteY25" fmla="*/ 8296 h 596104"/>
            <a:gd name="connsiteX26" fmla="*/ 107226 w 158767"/>
            <a:gd name="connsiteY26" fmla="*/ 21148 h 596104"/>
            <a:gd name="connsiteX27" fmla="*/ 95010 w 158767"/>
            <a:gd name="connsiteY27" fmla="*/ 169 h 596104"/>
            <a:gd name="connsiteX28" fmla="*/ 77108 w 158767"/>
            <a:gd name="connsiteY28" fmla="*/ 59713 h 596104"/>
            <a:gd name="connsiteX0" fmla="*/ 77108 w 158906"/>
            <a:gd name="connsiteY0" fmla="*/ 59713 h 596104"/>
            <a:gd name="connsiteX1" fmla="*/ 58216 w 158906"/>
            <a:gd name="connsiteY1" fmla="*/ 120427 h 596104"/>
            <a:gd name="connsiteX2" fmla="*/ 42227 w 158906"/>
            <a:gd name="connsiteY2" fmla="*/ 196129 h 596104"/>
            <a:gd name="connsiteX3" fmla="*/ 28148 w 158906"/>
            <a:gd name="connsiteY3" fmla="*/ 261468 h 596104"/>
            <a:gd name="connsiteX4" fmla="*/ 16343 w 158906"/>
            <a:gd name="connsiteY4" fmla="*/ 304459 h 596104"/>
            <a:gd name="connsiteX5" fmla="*/ 10223 w 158906"/>
            <a:gd name="connsiteY5" fmla="*/ 344545 h 596104"/>
            <a:gd name="connsiteX6" fmla="*/ 4393 w 158906"/>
            <a:gd name="connsiteY6" fmla="*/ 372319 h 596104"/>
            <a:gd name="connsiteX7" fmla="*/ 13 w 158906"/>
            <a:gd name="connsiteY7" fmla="*/ 418740 h 596104"/>
            <a:gd name="connsiteX8" fmla="*/ 5456 w 158906"/>
            <a:gd name="connsiteY8" fmla="*/ 510473 h 596104"/>
            <a:gd name="connsiteX9" fmla="*/ 23090 w 158906"/>
            <a:gd name="connsiteY9" fmla="*/ 569890 h 596104"/>
            <a:gd name="connsiteX10" fmla="*/ 39565 w 158906"/>
            <a:gd name="connsiteY10" fmla="*/ 578486 h 596104"/>
            <a:gd name="connsiteX11" fmla="*/ 55288 w 158906"/>
            <a:gd name="connsiteY11" fmla="*/ 588531 h 596104"/>
            <a:gd name="connsiteX12" fmla="*/ 75334 w 158906"/>
            <a:gd name="connsiteY12" fmla="*/ 588354 h 596104"/>
            <a:gd name="connsiteX13" fmla="*/ 104300 w 158906"/>
            <a:gd name="connsiteY13" fmla="*/ 596104 h 596104"/>
            <a:gd name="connsiteX14" fmla="*/ 127741 w 158906"/>
            <a:gd name="connsiteY14" fmla="*/ 553518 h 596104"/>
            <a:gd name="connsiteX15" fmla="*/ 139584 w 158906"/>
            <a:gd name="connsiteY15" fmla="*/ 488021 h 596104"/>
            <a:gd name="connsiteX16" fmla="*/ 150234 w 158906"/>
            <a:gd name="connsiteY16" fmla="*/ 433485 h 596104"/>
            <a:gd name="connsiteX17" fmla="*/ 152367 w 158906"/>
            <a:gd name="connsiteY17" fmla="*/ 419188 h 596104"/>
            <a:gd name="connsiteX18" fmla="*/ 158636 w 158906"/>
            <a:gd name="connsiteY18" fmla="*/ 377497 h 596104"/>
            <a:gd name="connsiteX19" fmla="*/ 157585 w 158906"/>
            <a:gd name="connsiteY19" fmla="*/ 302620 h 596104"/>
            <a:gd name="connsiteX20" fmla="*/ 155923 w 158906"/>
            <a:gd name="connsiteY20" fmla="*/ 241395 h 596104"/>
            <a:gd name="connsiteX21" fmla="*/ 150944 w 158906"/>
            <a:gd name="connsiteY21" fmla="*/ 138434 h 596104"/>
            <a:gd name="connsiteX22" fmla="*/ 145857 w 158906"/>
            <a:gd name="connsiteY22" fmla="*/ 81950 h 596104"/>
            <a:gd name="connsiteX23" fmla="*/ 133976 w 158906"/>
            <a:gd name="connsiteY23" fmla="*/ 29561 h 596104"/>
            <a:gd name="connsiteX24" fmla="*/ 119343 w 158906"/>
            <a:gd name="connsiteY24" fmla="*/ 8296 h 596104"/>
            <a:gd name="connsiteX25" fmla="*/ 107226 w 158906"/>
            <a:gd name="connsiteY25" fmla="*/ 21148 h 596104"/>
            <a:gd name="connsiteX26" fmla="*/ 95010 w 158906"/>
            <a:gd name="connsiteY26" fmla="*/ 169 h 596104"/>
            <a:gd name="connsiteX27" fmla="*/ 77108 w 158906"/>
            <a:gd name="connsiteY27" fmla="*/ 59713 h 5961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</a:cxnLst>
          <a:rect l="l" t="t" r="r" b="b"/>
          <a:pathLst>
            <a:path w="158906" h="596104">
              <a:moveTo>
                <a:pt x="77108" y="59713"/>
              </a:moveTo>
              <a:cubicBezTo>
                <a:pt x="70976" y="79756"/>
                <a:pt x="64030" y="97691"/>
                <a:pt x="58216" y="120427"/>
              </a:cubicBezTo>
              <a:cubicBezTo>
                <a:pt x="52403" y="143163"/>
                <a:pt x="51873" y="157848"/>
                <a:pt x="42227" y="196129"/>
              </a:cubicBezTo>
              <a:cubicBezTo>
                <a:pt x="38598" y="214272"/>
                <a:pt x="32462" y="243413"/>
                <a:pt x="28148" y="261468"/>
              </a:cubicBezTo>
              <a:cubicBezTo>
                <a:pt x="23834" y="279523"/>
                <a:pt x="19331" y="290613"/>
                <a:pt x="16343" y="304459"/>
              </a:cubicBezTo>
              <a:cubicBezTo>
                <a:pt x="13355" y="318305"/>
                <a:pt x="12215" y="333235"/>
                <a:pt x="10223" y="344545"/>
              </a:cubicBezTo>
              <a:cubicBezTo>
                <a:pt x="8231" y="355855"/>
                <a:pt x="6207" y="359619"/>
                <a:pt x="4393" y="372319"/>
              </a:cubicBezTo>
              <a:cubicBezTo>
                <a:pt x="1369" y="398471"/>
                <a:pt x="-164" y="395714"/>
                <a:pt x="13" y="418740"/>
              </a:cubicBezTo>
              <a:cubicBezTo>
                <a:pt x="190" y="441766"/>
                <a:pt x="1610" y="485281"/>
                <a:pt x="5456" y="510473"/>
              </a:cubicBezTo>
              <a:cubicBezTo>
                <a:pt x="9302" y="535665"/>
                <a:pt x="17405" y="558555"/>
                <a:pt x="23090" y="569890"/>
              </a:cubicBezTo>
              <a:cubicBezTo>
                <a:pt x="28775" y="581225"/>
                <a:pt x="34199" y="575379"/>
                <a:pt x="39565" y="578486"/>
              </a:cubicBezTo>
              <a:cubicBezTo>
                <a:pt x="44931" y="581593"/>
                <a:pt x="49327" y="586886"/>
                <a:pt x="55288" y="588531"/>
              </a:cubicBezTo>
              <a:cubicBezTo>
                <a:pt x="61249" y="590176"/>
                <a:pt x="67165" y="587092"/>
                <a:pt x="75334" y="588354"/>
              </a:cubicBezTo>
              <a:cubicBezTo>
                <a:pt x="83503" y="589616"/>
                <a:pt x="103433" y="595887"/>
                <a:pt x="104300" y="596104"/>
              </a:cubicBezTo>
              <a:cubicBezTo>
                <a:pt x="113372" y="594290"/>
                <a:pt x="121860" y="571532"/>
                <a:pt x="127741" y="553518"/>
              </a:cubicBezTo>
              <a:cubicBezTo>
                <a:pt x="133622" y="535504"/>
                <a:pt x="135835" y="508026"/>
                <a:pt x="139584" y="488021"/>
              </a:cubicBezTo>
              <a:cubicBezTo>
                <a:pt x="143333" y="468016"/>
                <a:pt x="148104" y="444957"/>
                <a:pt x="150234" y="433485"/>
              </a:cubicBezTo>
              <a:cubicBezTo>
                <a:pt x="152364" y="422013"/>
                <a:pt x="150553" y="424631"/>
                <a:pt x="152367" y="419188"/>
              </a:cubicBezTo>
              <a:cubicBezTo>
                <a:pt x="153767" y="409857"/>
                <a:pt x="157766" y="396925"/>
                <a:pt x="158636" y="377497"/>
              </a:cubicBezTo>
              <a:cubicBezTo>
                <a:pt x="159506" y="358069"/>
                <a:pt x="158037" y="325304"/>
                <a:pt x="157585" y="302620"/>
              </a:cubicBezTo>
              <a:cubicBezTo>
                <a:pt x="157133" y="279936"/>
                <a:pt x="157030" y="268759"/>
                <a:pt x="155923" y="241395"/>
              </a:cubicBezTo>
              <a:cubicBezTo>
                <a:pt x="154816" y="214031"/>
                <a:pt x="152622" y="165008"/>
                <a:pt x="150944" y="138434"/>
              </a:cubicBezTo>
              <a:cubicBezTo>
                <a:pt x="149266" y="111860"/>
                <a:pt x="147671" y="96464"/>
                <a:pt x="145857" y="81950"/>
              </a:cubicBezTo>
              <a:cubicBezTo>
                <a:pt x="144043" y="42036"/>
                <a:pt x="138395" y="41837"/>
                <a:pt x="133976" y="29561"/>
              </a:cubicBezTo>
              <a:cubicBezTo>
                <a:pt x="129557" y="17285"/>
                <a:pt x="123801" y="9698"/>
                <a:pt x="119343" y="8296"/>
              </a:cubicBezTo>
              <a:cubicBezTo>
                <a:pt x="114885" y="6894"/>
                <a:pt x="119350" y="40342"/>
                <a:pt x="107226" y="21148"/>
              </a:cubicBezTo>
              <a:cubicBezTo>
                <a:pt x="101952" y="18888"/>
                <a:pt x="100284" y="2429"/>
                <a:pt x="95010" y="169"/>
              </a:cubicBezTo>
              <a:cubicBezTo>
                <a:pt x="87552" y="-3027"/>
                <a:pt x="83240" y="39670"/>
                <a:pt x="77108" y="59713"/>
              </a:cubicBezTo>
              <a:close/>
            </a:path>
          </a:pathLst>
        </a:custGeom>
        <a:noFill xmlns:a="http://schemas.openxmlformats.org/drawingml/2006/main"/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0.29489</cdr:x>
      <cdr:y>0.65918</cdr:y>
    </cdr:from>
    <cdr:to>
      <cdr:x>0.42263</cdr:x>
      <cdr:y>0.74377</cdr:y>
    </cdr:to>
    <cdr:sp macro="" textlink="">
      <cdr:nvSpPr>
        <cdr:cNvPr id="2" name="TextBox 7"/>
        <cdr:cNvSpPr txBox="1"/>
      </cdr:nvSpPr>
      <cdr:spPr>
        <a:xfrm xmlns:a="http://schemas.openxmlformats.org/drawingml/2006/main" rot="19663668">
          <a:off x="1395996" y="2260312"/>
          <a:ext cx="604724" cy="2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MORB </a:t>
          </a:r>
        </a:p>
      </cdr:txBody>
    </cdr:sp>
  </cdr:relSizeAnchor>
  <cdr:relSizeAnchor xmlns:cdr="http://schemas.openxmlformats.org/drawingml/2006/chartDrawing">
    <cdr:from>
      <cdr:x>0.67316</cdr:x>
      <cdr:y>0.3314</cdr:y>
    </cdr:from>
    <cdr:to>
      <cdr:x>0.8009</cdr:x>
      <cdr:y>0.41599</cdr:y>
    </cdr:to>
    <cdr:sp macro="" textlink="">
      <cdr:nvSpPr>
        <cdr:cNvPr id="10" name="TextBox 7"/>
        <cdr:cNvSpPr txBox="1"/>
      </cdr:nvSpPr>
      <cdr:spPr>
        <a:xfrm xmlns:a="http://schemas.openxmlformats.org/drawingml/2006/main" rot="19663668">
          <a:off x="3186695" y="1136362"/>
          <a:ext cx="604724" cy="2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WPB </a:t>
          </a:r>
        </a:p>
      </cdr:txBody>
    </cdr:sp>
  </cdr:relSizeAnchor>
  <cdr:relSizeAnchor xmlns:cdr="http://schemas.openxmlformats.org/drawingml/2006/chartDrawing">
    <cdr:from>
      <cdr:x>0.66914</cdr:x>
      <cdr:y>0.22399</cdr:y>
    </cdr:from>
    <cdr:to>
      <cdr:x>0.79688</cdr:x>
      <cdr:y>0.30858</cdr:y>
    </cdr:to>
    <cdr:sp macro="" textlink="">
      <cdr:nvSpPr>
        <cdr:cNvPr id="11" name="TextBox 7"/>
        <cdr:cNvSpPr txBox="1"/>
      </cdr:nvSpPr>
      <cdr:spPr>
        <a:xfrm xmlns:a="http://schemas.openxmlformats.org/drawingml/2006/main" rot="19663668">
          <a:off x="3167646" y="768062"/>
          <a:ext cx="604724" cy="2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WPVZ </a:t>
          </a:r>
        </a:p>
      </cdr:txBody>
    </cdr:sp>
  </cdr:relSizeAnchor>
  <cdr:relSizeAnchor xmlns:cdr="http://schemas.openxmlformats.org/drawingml/2006/chartDrawing">
    <cdr:from>
      <cdr:x>0.6289</cdr:x>
      <cdr:y>0.14436</cdr:y>
    </cdr:from>
    <cdr:to>
      <cdr:x>0.75664</cdr:x>
      <cdr:y>0.22895</cdr:y>
    </cdr:to>
    <cdr:sp macro="" textlink="">
      <cdr:nvSpPr>
        <cdr:cNvPr id="12" name="TextBox 7"/>
        <cdr:cNvSpPr txBox="1"/>
      </cdr:nvSpPr>
      <cdr:spPr>
        <a:xfrm xmlns:a="http://schemas.openxmlformats.org/drawingml/2006/main" rot="19663668">
          <a:off x="2977146" y="495012"/>
          <a:ext cx="604724" cy="2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ACM</a:t>
          </a:r>
        </a:p>
      </cdr:txBody>
    </cdr:sp>
  </cdr:relSizeAnchor>
  <cdr:relSizeAnchor xmlns:cdr="http://schemas.openxmlformats.org/drawingml/2006/chartDrawing">
    <cdr:from>
      <cdr:x>0.4663</cdr:x>
      <cdr:y>0.12935</cdr:y>
    </cdr:from>
    <cdr:to>
      <cdr:x>0.69902</cdr:x>
      <cdr:y>0.21394</cdr:y>
    </cdr:to>
    <cdr:sp macro="" textlink="">
      <cdr:nvSpPr>
        <cdr:cNvPr id="13" name="TextBox 7"/>
        <cdr:cNvSpPr txBox="1"/>
      </cdr:nvSpPr>
      <cdr:spPr>
        <a:xfrm xmlns:a="http://schemas.openxmlformats.org/drawingml/2006/main" rot="19663668">
          <a:off x="2207437" y="443532"/>
          <a:ext cx="1101667" cy="290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OCEANIC ARC</a:t>
          </a:r>
        </a:p>
      </cdr:txBody>
    </cdr:sp>
  </cdr:relSizeAnchor>
  <cdr:relSizeAnchor xmlns:cdr="http://schemas.openxmlformats.org/drawingml/2006/chartDrawing">
    <cdr:from>
      <cdr:x>0.19178</cdr:x>
      <cdr:y>0.24689</cdr:y>
    </cdr:from>
    <cdr:to>
      <cdr:x>0.81986</cdr:x>
      <cdr:y>0.79585</cdr:y>
    </cdr:to>
    <cdr:cxnSp macro="">
      <cdr:nvCxnSpPr>
        <cdr:cNvPr id="3" name="19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E037499F-7B24-49AE-8E39-0F9366531EE5}"/>
            </a:ext>
          </a:extLst>
        </cdr:cNvPr>
        <cdr:cNvCxnSpPr/>
      </cdr:nvCxnSpPr>
      <cdr:spPr>
        <a:xfrm xmlns:a="http://schemas.openxmlformats.org/drawingml/2006/main" flipV="1">
          <a:off x="903243" y="883697"/>
          <a:ext cx="2958032" cy="1964877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0.3119</cdr:x>
      <cdr:y>0.30058</cdr:y>
    </cdr:from>
    <cdr:to>
      <cdr:x>0.88034</cdr:x>
      <cdr:y>0.78712</cdr:y>
    </cdr:to>
    <cdr:cxnSp macro="">
      <cdr:nvCxnSpPr>
        <cdr:cNvPr id="4" name="27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BAE954C8-2821-493E-81A7-A09DD442584B}"/>
            </a:ext>
          </a:extLst>
        </cdr:cNvPr>
        <cdr:cNvCxnSpPr/>
      </cdr:nvCxnSpPr>
      <cdr:spPr>
        <a:xfrm xmlns:a="http://schemas.openxmlformats.org/drawingml/2006/main" flipV="1">
          <a:off x="1468938" y="1075860"/>
          <a:ext cx="2677197" cy="1741484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0.18876</cdr:x>
      <cdr:y>0.16941</cdr:y>
    </cdr:from>
    <cdr:to>
      <cdr:x>0.77886</cdr:x>
      <cdr:y>0.67322</cdr:y>
    </cdr:to>
    <cdr:cxnSp macro="">
      <cdr:nvCxnSpPr>
        <cdr:cNvPr id="5" name="29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CAC61C88-F789-409C-940A-E8040D54A796}"/>
            </a:ext>
          </a:extLst>
        </cdr:cNvPr>
        <cdr:cNvCxnSpPr/>
      </cdr:nvCxnSpPr>
      <cdr:spPr>
        <a:xfrm xmlns:a="http://schemas.openxmlformats.org/drawingml/2006/main" flipV="1">
          <a:off x="889000" y="606378"/>
          <a:ext cx="2779185" cy="1803282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0.1925</cdr:x>
      <cdr:y>0.10302</cdr:y>
    </cdr:from>
    <cdr:to>
      <cdr:x>0.72514</cdr:x>
      <cdr:y>0.53731</cdr:y>
    </cdr:to>
    <cdr:cxnSp macro="">
      <cdr:nvCxnSpPr>
        <cdr:cNvPr id="6" name="33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F0FCF561-9C04-48A9-B09C-C5FF9328B6DB}"/>
            </a:ext>
          </a:extLst>
        </cdr:cNvPr>
        <cdr:cNvCxnSpPr/>
      </cdr:nvCxnSpPr>
      <cdr:spPr>
        <a:xfrm xmlns:a="http://schemas.openxmlformats.org/drawingml/2006/main" flipV="1">
          <a:off x="906600" y="368750"/>
          <a:ext cx="2508567" cy="1554449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0.19027</cdr:x>
      <cdr:y>0.01419</cdr:y>
    </cdr:from>
    <cdr:to>
      <cdr:x>0.71082</cdr:x>
      <cdr:y>0.44251</cdr:y>
    </cdr:to>
    <cdr:cxnSp macro="">
      <cdr:nvCxnSpPr>
        <cdr:cNvPr id="7" name="38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2A82FA4F-2CFE-485F-9E4B-20A2A36599A9}"/>
            </a:ext>
          </a:extLst>
        </cdr:cNvPr>
        <cdr:cNvCxnSpPr/>
      </cdr:nvCxnSpPr>
      <cdr:spPr>
        <a:xfrm xmlns:a="http://schemas.openxmlformats.org/drawingml/2006/main" flipV="1">
          <a:off x="896122" y="50800"/>
          <a:ext cx="2451595" cy="1533085"/>
        </a:xfrm>
        <a:prstGeom xmlns:a="http://schemas.openxmlformats.org/drawingml/2006/main" prst="line">
          <a:avLst/>
        </a:prstGeom>
        <a:ln xmlns:a="http://schemas.openxmlformats.org/drawingml/2006/main" w="9525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0.57343</cdr:x>
      <cdr:y>0.30278</cdr:y>
    </cdr:from>
    <cdr:to>
      <cdr:x>0.69326</cdr:x>
      <cdr:y>0.40174</cdr:y>
    </cdr:to>
    <cdr:cxnSp macro="">
      <cdr:nvCxnSpPr>
        <cdr:cNvPr id="8" name="48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52275536-9401-44BE-8D73-797D14A5D6AB}"/>
            </a:ext>
          </a:extLst>
        </cdr:cNvPr>
        <cdr:cNvCxnSpPr/>
      </cdr:nvCxnSpPr>
      <cdr:spPr>
        <a:xfrm xmlns:a="http://schemas.openxmlformats.org/drawingml/2006/main" flipV="1">
          <a:off x="2700657" y="1083734"/>
          <a:ext cx="564371" cy="354202"/>
        </a:xfrm>
        <a:prstGeom xmlns:a="http://schemas.openxmlformats.org/drawingml/2006/main" prst="line">
          <a:avLst/>
        </a:prstGeom>
        <a:ln xmlns:a="http://schemas.openxmlformats.org/drawingml/2006/main" w="9525" cmpd="sng">
          <a:prstDash val="solid"/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0.58421</cdr:x>
      <cdr:y>0.40319</cdr:y>
    </cdr:from>
    <cdr:to>
      <cdr:x>0.70405</cdr:x>
      <cdr:y>0.49838</cdr:y>
    </cdr:to>
    <cdr:cxnSp macro="">
      <cdr:nvCxnSpPr>
        <cdr:cNvPr id="9" name="50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7A16A88A-BD5E-4284-AF53-C3AFB6EBBA8C}"/>
            </a:ext>
          </a:extLst>
        </cdr:cNvPr>
        <cdr:cNvCxnSpPr/>
      </cdr:nvCxnSpPr>
      <cdr:spPr>
        <a:xfrm xmlns:a="http://schemas.openxmlformats.org/drawingml/2006/main" flipV="1">
          <a:off x="2751457" y="1443127"/>
          <a:ext cx="564371" cy="340719"/>
        </a:xfrm>
        <a:prstGeom xmlns:a="http://schemas.openxmlformats.org/drawingml/2006/main" prst="line">
          <a:avLst/>
        </a:prstGeom>
        <a:ln xmlns:a="http://schemas.openxmlformats.org/drawingml/2006/main" w="9525" cmpd="sng">
          <a:prstDash val="solid"/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0.37535</cdr:x>
      <cdr:y>0.24385</cdr:y>
    </cdr:from>
    <cdr:to>
      <cdr:x>0.49592</cdr:x>
      <cdr:y>0.34074</cdr:y>
    </cdr:to>
    <cdr:cxnSp macro="">
      <cdr:nvCxnSpPr>
        <cdr:cNvPr id="14" name="51 - Ευθεία γραμμή σύνδεσης">
          <a:extLst xmlns:a="http://schemas.openxmlformats.org/drawingml/2006/main">
            <a:ext uri="{FF2B5EF4-FFF2-40B4-BE49-F238E27FC236}">
              <a16:creationId xmlns:a16="http://schemas.microsoft.com/office/drawing/2014/main" id="{3D02ED3A-58BC-4C7D-8EE2-29394EC39192}"/>
            </a:ext>
          </a:extLst>
        </cdr:cNvPr>
        <cdr:cNvCxnSpPr/>
      </cdr:nvCxnSpPr>
      <cdr:spPr>
        <a:xfrm xmlns:a="http://schemas.openxmlformats.org/drawingml/2006/main" flipV="1">
          <a:off x="1767785" y="872823"/>
          <a:ext cx="567835" cy="346782"/>
        </a:xfrm>
        <a:prstGeom xmlns:a="http://schemas.openxmlformats.org/drawingml/2006/main" prst="line">
          <a:avLst/>
        </a:prstGeom>
        <a:ln xmlns:a="http://schemas.openxmlformats.org/drawingml/2006/main" w="9525" cmpd="sng">
          <a:prstDash val="solid"/>
          <a:head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263542</xdr:colOff>
      <xdr:row>5</xdr:row>
      <xdr:rowOff>129386</xdr:rowOff>
    </xdr:from>
    <xdr:to>
      <xdr:col>29</xdr:col>
      <xdr:colOff>96114</xdr:colOff>
      <xdr:row>42</xdr:row>
      <xdr:rowOff>133350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8F40515-B7EF-49B6-B0D4-8B782162169E}"/>
            </a:ext>
          </a:extLst>
        </xdr:cNvPr>
        <xdr:cNvGrpSpPr/>
      </xdr:nvGrpSpPr>
      <xdr:grpSpPr>
        <a:xfrm>
          <a:off x="9902842" y="1081886"/>
          <a:ext cx="8500322" cy="7052464"/>
          <a:chOff x="22402122" y="484910"/>
          <a:chExt cx="10765723" cy="9585613"/>
        </a:xfrm>
      </xdr:grpSpPr>
      <xdr:graphicFrame macro="">
        <xdr:nvGraphicFramePr>
          <xdr:cNvPr id="6" name="Chart 3">
            <a:extLst>
              <a:ext uri="{FF2B5EF4-FFF2-40B4-BE49-F238E27FC236}">
                <a16:creationId xmlns:a16="http://schemas.microsoft.com/office/drawing/2014/main" id="{80A885F2-F65B-4889-EC82-A3574907A8D7}"/>
              </a:ext>
            </a:extLst>
          </xdr:cNvPr>
          <xdr:cNvGraphicFramePr>
            <a:graphicFrameLocks/>
          </xdr:cNvGraphicFramePr>
        </xdr:nvGraphicFramePr>
        <xdr:xfrm>
          <a:off x="22402122" y="484910"/>
          <a:ext cx="10765723" cy="94384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41D0F1DC-45F2-B4D4-9C66-9D5114D70218}"/>
              </a:ext>
            </a:extLst>
          </xdr:cNvPr>
          <xdr:cNvGraphicFramePr>
            <a:graphicFrameLocks/>
          </xdr:cNvGraphicFramePr>
        </xdr:nvGraphicFramePr>
        <xdr:xfrm>
          <a:off x="22755964" y="1171183"/>
          <a:ext cx="1205908" cy="88993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="70" zoomScaleNormal="70" workbookViewId="0">
      <selection activeCell="A2" sqref="A2:L19"/>
    </sheetView>
  </sheetViews>
  <sheetFormatPr defaultRowHeight="15" customHeight="1" x14ac:dyDescent="0.2"/>
  <cols>
    <col min="1" max="1" width="9.140625" style="4" customWidth="1"/>
    <col min="2" max="2" width="9.140625" style="4"/>
    <col min="3" max="13" width="9.140625" style="4" customWidth="1"/>
    <col min="14" max="14" width="9.140625" style="4"/>
    <col min="15" max="39" width="9.140625" style="4" customWidth="1"/>
    <col min="40" max="40" width="9.140625" style="4"/>
    <col min="41" max="54" width="9.140625" style="4" customWidth="1"/>
    <col min="55" max="16384" width="9.140625" style="4"/>
  </cols>
  <sheetData>
    <row r="1" spans="1:54" s="6" customFormat="1" ht="15" customHeight="1" x14ac:dyDescent="0.2">
      <c r="D1" s="6" t="s">
        <v>0</v>
      </c>
    </row>
    <row r="2" spans="1:54" s="6" customFormat="1" ht="15" customHeight="1" x14ac:dyDescent="0.2">
      <c r="A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53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6" t="s">
        <v>24</v>
      </c>
      <c r="AB2" s="6" t="s">
        <v>25</v>
      </c>
      <c r="AC2" s="6" t="s">
        <v>26</v>
      </c>
      <c r="AD2" s="6" t="s">
        <v>27</v>
      </c>
      <c r="AE2" s="6" t="s">
        <v>28</v>
      </c>
      <c r="AF2" s="6" t="s">
        <v>29</v>
      </c>
      <c r="AG2" s="6" t="s">
        <v>30</v>
      </c>
      <c r="AH2" s="6" t="s">
        <v>31</v>
      </c>
      <c r="AI2" s="6" t="s">
        <v>32</v>
      </c>
      <c r="AJ2" s="6" t="s">
        <v>33</v>
      </c>
      <c r="AK2" s="6" t="s">
        <v>34</v>
      </c>
      <c r="AL2" s="6" t="s">
        <v>35</v>
      </c>
      <c r="AM2" s="6" t="s">
        <v>36</v>
      </c>
      <c r="AO2" s="6" t="s">
        <v>37</v>
      </c>
      <c r="AP2" s="6" t="s">
        <v>38</v>
      </c>
      <c r="AQ2" s="6" t="s">
        <v>39</v>
      </c>
      <c r="AR2" s="6" t="s">
        <v>40</v>
      </c>
      <c r="AS2" s="6" t="s">
        <v>41</v>
      </c>
      <c r="AT2" s="6" t="s">
        <v>42</v>
      </c>
      <c r="AU2" s="6" t="s">
        <v>43</v>
      </c>
      <c r="AV2" s="6" t="s">
        <v>44</v>
      </c>
      <c r="AW2" s="6" t="s">
        <v>45</v>
      </c>
      <c r="AX2" s="6" t="s">
        <v>46</v>
      </c>
      <c r="AY2" s="6" t="s">
        <v>47</v>
      </c>
      <c r="AZ2" s="6" t="s">
        <v>48</v>
      </c>
      <c r="BA2" s="6" t="s">
        <v>49</v>
      </c>
      <c r="BB2" s="6" t="s">
        <v>50</v>
      </c>
    </row>
    <row r="3" spans="1:54" s="6" customFormat="1" ht="15" customHeight="1" x14ac:dyDescent="0.2">
      <c r="C3" s="6" t="s">
        <v>51</v>
      </c>
      <c r="D3" s="6" t="s">
        <v>51</v>
      </c>
      <c r="E3" s="6" t="s">
        <v>51</v>
      </c>
      <c r="F3" s="6" t="s">
        <v>51</v>
      </c>
      <c r="G3" s="6" t="s">
        <v>51</v>
      </c>
      <c r="H3" s="6" t="s">
        <v>51</v>
      </c>
      <c r="I3" s="6" t="s">
        <v>51</v>
      </c>
      <c r="J3" s="6" t="s">
        <v>51</v>
      </c>
      <c r="K3" s="6" t="s">
        <v>51</v>
      </c>
      <c r="L3" s="6" t="s">
        <v>51</v>
      </c>
      <c r="M3" s="6" t="s">
        <v>51</v>
      </c>
      <c r="O3" s="6" t="s">
        <v>52</v>
      </c>
      <c r="P3" s="6" t="s">
        <v>52</v>
      </c>
      <c r="Q3" s="6" t="s">
        <v>52</v>
      </c>
      <c r="R3" s="6" t="s">
        <v>52</v>
      </c>
      <c r="S3" s="6" t="s">
        <v>52</v>
      </c>
      <c r="T3" s="6" t="s">
        <v>52</v>
      </c>
      <c r="U3" s="6" t="s">
        <v>52</v>
      </c>
      <c r="V3" s="6" t="s">
        <v>52</v>
      </c>
      <c r="W3" s="6" t="s">
        <v>52</v>
      </c>
      <c r="X3" s="6" t="s">
        <v>52</v>
      </c>
      <c r="Y3" s="6" t="s">
        <v>52</v>
      </c>
      <c r="Z3" s="6" t="s">
        <v>52</v>
      </c>
      <c r="AA3" s="6" t="s">
        <v>52</v>
      </c>
      <c r="AB3" s="6" t="s">
        <v>52</v>
      </c>
      <c r="AC3" s="6" t="s">
        <v>52</v>
      </c>
      <c r="AD3" s="6" t="s">
        <v>52</v>
      </c>
      <c r="AE3" s="6" t="s">
        <v>52</v>
      </c>
      <c r="AF3" s="6" t="s">
        <v>52</v>
      </c>
      <c r="AG3" s="6" t="s">
        <v>52</v>
      </c>
      <c r="AH3" s="6" t="s">
        <v>52</v>
      </c>
      <c r="AI3" s="6" t="s">
        <v>52</v>
      </c>
      <c r="AJ3" s="6" t="s">
        <v>52</v>
      </c>
      <c r="AK3" s="6" t="s">
        <v>52</v>
      </c>
      <c r="AL3" s="6" t="s">
        <v>52</v>
      </c>
      <c r="AM3" s="6" t="s">
        <v>52</v>
      </c>
      <c r="AO3" s="6" t="s">
        <v>52</v>
      </c>
      <c r="AP3" s="6" t="s">
        <v>52</v>
      </c>
      <c r="AQ3" s="6" t="s">
        <v>52</v>
      </c>
      <c r="AR3" s="6" t="s">
        <v>52</v>
      </c>
      <c r="AS3" s="6" t="s">
        <v>52</v>
      </c>
      <c r="AT3" s="6" t="s">
        <v>52</v>
      </c>
      <c r="AU3" s="6" t="s">
        <v>52</v>
      </c>
      <c r="AV3" s="6" t="s">
        <v>52</v>
      </c>
      <c r="AW3" s="6" t="s">
        <v>52</v>
      </c>
      <c r="AX3" s="6" t="s">
        <v>52</v>
      </c>
      <c r="AY3" s="6" t="s">
        <v>52</v>
      </c>
      <c r="AZ3" s="6" t="s">
        <v>52</v>
      </c>
      <c r="BA3" s="6" t="s">
        <v>52</v>
      </c>
      <c r="BB3" s="6" t="s">
        <v>52</v>
      </c>
    </row>
    <row r="4" spans="1:54" ht="15" customHeight="1" x14ac:dyDescent="0.2">
      <c r="A4" s="6">
        <v>1</v>
      </c>
      <c r="C4" s="5">
        <v>15.876130078161889</v>
      </c>
      <c r="D4" s="5">
        <v>69.511026277749636</v>
      </c>
      <c r="E4" s="5">
        <v>0.85238368605773995</v>
      </c>
      <c r="F4" s="5">
        <v>1.2859179427725662</v>
      </c>
      <c r="G4" s="5">
        <v>1.1229843975910266E-2</v>
      </c>
      <c r="H4" s="5">
        <v>0.80738613512289326</v>
      </c>
      <c r="I4" s="5">
        <v>0.48723665335576466</v>
      </c>
      <c r="J4" s="5">
        <v>0.6744753035749157</v>
      </c>
      <c r="K4" s="5">
        <v>4.5389944911412554</v>
      </c>
      <c r="L4" s="5">
        <v>2.9047435978923675E-2</v>
      </c>
      <c r="M4" s="5">
        <v>94.073827847891508</v>
      </c>
      <c r="N4" s="5"/>
      <c r="O4" s="5">
        <v>1083.1793874574623</v>
      </c>
      <c r="P4" s="5">
        <v>1.2459624718685567</v>
      </c>
      <c r="Q4" s="5">
        <v>1.2227274514821087</v>
      </c>
      <c r="R4" s="5">
        <v>51.621982233174201</v>
      </c>
      <c r="S4" s="5">
        <v>7.6131286193976067</v>
      </c>
      <c r="T4" s="5">
        <v>13.020028973258839</v>
      </c>
      <c r="U4" s="5">
        <v>17.292735520593464</v>
      </c>
      <c r="V4" s="5">
        <v>4.4114973482862858</v>
      </c>
      <c r="W4" s="5">
        <v>2.8564790044422943</v>
      </c>
      <c r="X4" s="5">
        <v>8.9483867753812572</v>
      </c>
      <c r="Y4" s="5">
        <v>3.1067309001423911</v>
      </c>
      <c r="Z4" s="5">
        <v>11.67764913381933</v>
      </c>
      <c r="AA4" s="5">
        <v>161.88057704034651</v>
      </c>
      <c r="AB4" s="5">
        <v>14.641764653344936</v>
      </c>
      <c r="AC4" s="5">
        <v>2.5674995403476624</v>
      </c>
      <c r="AD4" s="5">
        <v>85.733403129634425</v>
      </c>
      <c r="AE4" s="5">
        <v>0.73149550711756095</v>
      </c>
      <c r="AF4" s="5">
        <v>10.260887057970743</v>
      </c>
      <c r="AG4" s="5">
        <v>0.56591093798100833</v>
      </c>
      <c r="AH4" s="5">
        <v>2.4554812118148748</v>
      </c>
      <c r="AI4" s="5">
        <v>102.89566351143628</v>
      </c>
      <c r="AJ4" s="5">
        <v>3.8681233362910379</v>
      </c>
      <c r="AK4" s="5">
        <v>23.576419621844614</v>
      </c>
      <c r="AL4" s="5">
        <v>60.580460991994563</v>
      </c>
      <c r="AM4" s="5">
        <v>140.93790113272001</v>
      </c>
      <c r="AN4" s="5"/>
      <c r="AO4" s="5">
        <v>29.482109757643993</v>
      </c>
      <c r="AP4" s="5">
        <v>57.222267121653729</v>
      </c>
      <c r="AQ4" s="5">
        <v>6.7116482051793476</v>
      </c>
      <c r="AR4" s="5">
        <v>24.390989740293218</v>
      </c>
      <c r="AS4" s="5">
        <v>4.5639244141700761</v>
      </c>
      <c r="AT4" s="5">
        <v>0.93939143390965818</v>
      </c>
      <c r="AU4" s="5">
        <v>3.6236272709695321</v>
      </c>
      <c r="AV4" s="5">
        <v>0.62318863690442761</v>
      </c>
      <c r="AW4" s="5">
        <v>4.0382661270082902</v>
      </c>
      <c r="AX4" s="5">
        <v>0.89189125755312182</v>
      </c>
      <c r="AY4" s="5">
        <v>2.5288557582131159</v>
      </c>
      <c r="AZ4" s="5">
        <v>0.40367341694252834</v>
      </c>
      <c r="BA4" s="5">
        <v>2.7040154393586571</v>
      </c>
      <c r="BB4" s="5">
        <v>0.41530189395927009</v>
      </c>
    </row>
    <row r="5" spans="1:54" ht="15" customHeight="1" x14ac:dyDescent="0.2">
      <c r="A5" s="6">
        <v>2</v>
      </c>
      <c r="C5" s="5">
        <v>16.942989118677094</v>
      </c>
      <c r="D5" s="5">
        <v>71.175099908161258</v>
      </c>
      <c r="E5" s="5">
        <v>0.86064588656880048</v>
      </c>
      <c r="F5" s="5">
        <v>3.0008231213239673</v>
      </c>
      <c r="G5" s="5">
        <v>2.8585057393226129E-2</v>
      </c>
      <c r="H5" s="5">
        <v>1.4191405561129302</v>
      </c>
      <c r="I5" s="5">
        <v>0.55904205506131455</v>
      </c>
      <c r="J5" s="5">
        <v>2.427165882234056</v>
      </c>
      <c r="K5" s="5">
        <v>3.5144562706181004</v>
      </c>
      <c r="L5" s="5">
        <v>7.5351835768204228E-2</v>
      </c>
      <c r="M5" s="5">
        <v>100.00329969191894</v>
      </c>
      <c r="N5" s="5"/>
      <c r="O5" s="5">
        <v>1311.8619348565874</v>
      </c>
      <c r="P5" s="5">
        <v>2.336179634753544</v>
      </c>
      <c r="Q5" s="5">
        <v>6.5323934585831349</v>
      </c>
      <c r="R5" s="5">
        <v>76.448572468121824</v>
      </c>
      <c r="S5" s="5">
        <v>6.5576094936870222</v>
      </c>
      <c r="T5" s="5">
        <v>26.279874289847083</v>
      </c>
      <c r="U5" s="5">
        <v>18.919578235074383</v>
      </c>
      <c r="V5" s="5">
        <v>6.4792661184913403</v>
      </c>
      <c r="W5" s="5">
        <v>1.0833909767190508</v>
      </c>
      <c r="X5" s="5">
        <v>8.3627027738298363</v>
      </c>
      <c r="Y5" s="5">
        <v>23.211886763421283</v>
      </c>
      <c r="Z5" s="5">
        <v>17.252164769716622</v>
      </c>
      <c r="AA5" s="5">
        <v>110.99808940274222</v>
      </c>
      <c r="AB5" s="5">
        <v>16.851194346930217</v>
      </c>
      <c r="AC5" s="5">
        <v>2.2580011976786012</v>
      </c>
      <c r="AD5" s="5">
        <v>119.25852229855315</v>
      </c>
      <c r="AE5" s="5">
        <v>0.7125345048866828</v>
      </c>
      <c r="AF5" s="5">
        <v>10.775951270526361</v>
      </c>
      <c r="AG5" s="5">
        <v>0.31484733240190388</v>
      </c>
      <c r="AH5" s="5">
        <v>2.6246212872782944</v>
      </c>
      <c r="AI5" s="5">
        <v>112.52332793355899</v>
      </c>
      <c r="AJ5" s="5">
        <v>1.9225820763087842</v>
      </c>
      <c r="AK5" s="5">
        <v>29.370454834513559</v>
      </c>
      <c r="AL5" s="5">
        <v>202.71154255013568</v>
      </c>
      <c r="AM5" s="5">
        <v>233.06613953549368</v>
      </c>
      <c r="AN5" s="5"/>
      <c r="AO5" s="5">
        <v>30.895906436162804</v>
      </c>
      <c r="AP5" s="5">
        <v>60.71812913816251</v>
      </c>
      <c r="AQ5" s="5">
        <v>7.2793147273705641</v>
      </c>
      <c r="AR5" s="5">
        <v>27.939863709904316</v>
      </c>
      <c r="AS5" s="5">
        <v>5.4143451124626365</v>
      </c>
      <c r="AT5" s="5">
        <v>1.2895190682454813</v>
      </c>
      <c r="AU5" s="5">
        <v>4.3594596286759888</v>
      </c>
      <c r="AV5" s="5">
        <v>0.76145861571759743</v>
      </c>
      <c r="AW5" s="5">
        <v>4.7142211286799913</v>
      </c>
      <c r="AX5" s="5">
        <v>1.0261649963276027</v>
      </c>
      <c r="AY5" s="5">
        <v>2.9203439834877032</v>
      </c>
      <c r="AZ5" s="5">
        <v>0.44885341007964835</v>
      </c>
      <c r="BA5" s="5">
        <v>3.1339587142085539</v>
      </c>
      <c r="BB5" s="5">
        <v>0.45826415885160832</v>
      </c>
    </row>
    <row r="6" spans="1:54" ht="15" customHeight="1" x14ac:dyDescent="0.2">
      <c r="A6" s="6">
        <v>3</v>
      </c>
      <c r="C6" s="5">
        <v>15.685996783812646</v>
      </c>
      <c r="D6" s="5">
        <v>70.62040869802405</v>
      </c>
      <c r="E6" s="5">
        <v>0.84888813968767596</v>
      </c>
      <c r="F6" s="5">
        <v>3.660482325733271</v>
      </c>
      <c r="G6" s="5">
        <v>3.5958187276399531E-2</v>
      </c>
      <c r="H6" s="5">
        <v>1.6698950184268675</v>
      </c>
      <c r="I6" s="5">
        <v>0.67005040588744313</v>
      </c>
      <c r="J6" s="5">
        <v>1.7531406789618262</v>
      </c>
      <c r="K6" s="5">
        <v>3.4128952923309464</v>
      </c>
      <c r="L6" s="5">
        <v>0.13301796328355825</v>
      </c>
      <c r="M6" s="5">
        <v>98.490733493424671</v>
      </c>
      <c r="N6" s="5"/>
      <c r="O6" s="5">
        <v>1124.0155566358776</v>
      </c>
      <c r="P6" s="5">
        <v>2.6354549343690308</v>
      </c>
      <c r="Q6" s="5">
        <v>11.922354950860461</v>
      </c>
      <c r="R6" s="5">
        <v>58.443880342935778</v>
      </c>
      <c r="S6" s="5">
        <v>7.2813096405128421</v>
      </c>
      <c r="T6" s="5">
        <v>31.785657838784626</v>
      </c>
      <c r="U6" s="5">
        <v>16.840834766570989</v>
      </c>
      <c r="V6" s="5">
        <v>4.9016637203180951</v>
      </c>
      <c r="W6" s="5">
        <v>1.0364993925147996</v>
      </c>
      <c r="X6" s="5">
        <v>8.1258741758870645</v>
      </c>
      <c r="Y6" s="5">
        <v>25.820516955239199</v>
      </c>
      <c r="Z6" s="5">
        <v>14.887801241387772</v>
      </c>
      <c r="AA6" s="5">
        <v>116.71860576436637</v>
      </c>
      <c r="AB6" s="5">
        <v>17.58385497070979</v>
      </c>
      <c r="AC6" s="5">
        <v>2.2158436161190278</v>
      </c>
      <c r="AD6" s="5">
        <v>110.61077110321118</v>
      </c>
      <c r="AE6" s="5">
        <v>0.68159813282577653</v>
      </c>
      <c r="AF6" s="5">
        <v>9.6246312659902742</v>
      </c>
      <c r="AG6" s="5">
        <v>0.53605472542565535</v>
      </c>
      <c r="AH6" s="5">
        <v>2.3895952521866826</v>
      </c>
      <c r="AI6" s="5">
        <v>112.52332793355899</v>
      </c>
      <c r="AJ6" s="5">
        <v>3.591614906832298</v>
      </c>
      <c r="AK6" s="5">
        <v>35.995068497357842</v>
      </c>
      <c r="AL6" s="5">
        <v>142.61650191865388</v>
      </c>
      <c r="AM6" s="5">
        <v>167.88490243154453</v>
      </c>
      <c r="AN6" s="5"/>
      <c r="AO6" s="5">
        <v>28.028766318886898</v>
      </c>
      <c r="AP6" s="5">
        <v>58.111214891565965</v>
      </c>
      <c r="AQ6" s="5">
        <v>7.2704603102133349</v>
      </c>
      <c r="AR6" s="5">
        <v>29.182972106039276</v>
      </c>
      <c r="AS6" s="5">
        <v>6.0359621466907702</v>
      </c>
      <c r="AT6" s="5">
        <v>1.5125110197965388</v>
      </c>
      <c r="AU6" s="5">
        <v>5.8246453170399146</v>
      </c>
      <c r="AV6" s="5">
        <v>0.96399492271153642</v>
      </c>
      <c r="AW6" s="5">
        <v>5.7240444822412098</v>
      </c>
      <c r="AX6" s="5">
        <v>1.2006228467061255</v>
      </c>
      <c r="AY6" s="5">
        <v>3.260424664029264</v>
      </c>
      <c r="AZ6" s="5">
        <v>0.47635427546746051</v>
      </c>
      <c r="BA6" s="5">
        <v>3.1378147077049658</v>
      </c>
      <c r="BB6" s="5">
        <v>0.45635472485639328</v>
      </c>
    </row>
    <row r="7" spans="1:54" ht="15" customHeight="1" x14ac:dyDescent="0.2">
      <c r="A7" s="6">
        <v>4</v>
      </c>
      <c r="C7" s="5">
        <v>17.418322354550202</v>
      </c>
      <c r="D7" s="5">
        <v>69.069327721529262</v>
      </c>
      <c r="E7" s="5">
        <v>0.87611103111514443</v>
      </c>
      <c r="F7" s="5">
        <v>1.1084779669029752</v>
      </c>
      <c r="G7" s="5">
        <v>1.0322381836442769E-2</v>
      </c>
      <c r="H7" s="5">
        <v>0.89558253221262296</v>
      </c>
      <c r="I7" s="5">
        <v>0.32892474402444788</v>
      </c>
      <c r="J7" s="5">
        <v>1.7970254584737075</v>
      </c>
      <c r="K7" s="5">
        <v>3.0010711056500705</v>
      </c>
      <c r="L7" s="5">
        <v>0.24577775165930624</v>
      </c>
      <c r="M7" s="5">
        <v>94.750943047954195</v>
      </c>
      <c r="N7" s="5"/>
      <c r="O7" s="5">
        <v>1276.1302868254741</v>
      </c>
      <c r="P7" s="5">
        <v>2.7128186172628297</v>
      </c>
      <c r="Q7" s="5">
        <v>21.811912808650085</v>
      </c>
      <c r="R7" s="5">
        <v>57.075563117456902</v>
      </c>
      <c r="S7" s="5">
        <v>6.9750909389307605</v>
      </c>
      <c r="T7" s="5">
        <v>27.399017225384299</v>
      </c>
      <c r="U7" s="5">
        <v>17.4534113442459</v>
      </c>
      <c r="V7" s="5">
        <v>4.8428051598969528</v>
      </c>
      <c r="W7" s="5">
        <v>1.0706911726637329</v>
      </c>
      <c r="X7" s="5">
        <v>8.9356117887702364</v>
      </c>
      <c r="Y7" s="5">
        <v>23.930490552110747</v>
      </c>
      <c r="Z7" s="5">
        <v>20.010588886100283</v>
      </c>
      <c r="AA7" s="5">
        <v>102.86893457306581</v>
      </c>
      <c r="AB7" s="5">
        <v>18.511128572680818</v>
      </c>
      <c r="AC7" s="5">
        <v>2.1932224747943789</v>
      </c>
      <c r="AD7" s="5">
        <v>377.28328470840756</v>
      </c>
      <c r="AE7" s="5">
        <v>0.7145303998583542</v>
      </c>
      <c r="AF7" s="5">
        <v>9.7690512314715559</v>
      </c>
      <c r="AG7" s="5">
        <v>0.31620443297260176</v>
      </c>
      <c r="AH7" s="5">
        <v>2.4013957225678513</v>
      </c>
      <c r="AI7" s="5">
        <v>100.48874740590561</v>
      </c>
      <c r="AJ7" s="5">
        <v>1.9994454303460516</v>
      </c>
      <c r="AK7" s="5">
        <v>47.723236492604826</v>
      </c>
      <c r="AL7" s="5">
        <v>301.05770759002428</v>
      </c>
      <c r="AM7" s="5">
        <v>164.12249092944452</v>
      </c>
      <c r="AN7" s="5"/>
      <c r="AO7" s="5">
        <v>163.6247204859182</v>
      </c>
      <c r="AP7" s="5">
        <v>336.5016895319452</v>
      </c>
      <c r="AQ7" s="5">
        <v>37.778846537509075</v>
      </c>
      <c r="AR7" s="5">
        <v>140.15044659650604</v>
      </c>
      <c r="AS7" s="5">
        <v>25.97832752165132</v>
      </c>
      <c r="AT7" s="5">
        <v>4.8664714132613121</v>
      </c>
      <c r="AU7" s="5">
        <v>21.519625555566186</v>
      </c>
      <c r="AV7" s="5">
        <v>2.9241179322249939</v>
      </c>
      <c r="AW7" s="5">
        <v>13.478008543970686</v>
      </c>
      <c r="AX7" s="5">
        <v>2.1807231297315339</v>
      </c>
      <c r="AY7" s="5">
        <v>4.9153521617809277</v>
      </c>
      <c r="AZ7" s="5">
        <v>0.58733991078255954</v>
      </c>
      <c r="BA7" s="5">
        <v>3.6583738297205359</v>
      </c>
      <c r="BB7" s="5">
        <v>0.50981887672241433</v>
      </c>
    </row>
    <row r="8" spans="1:54" ht="15" customHeight="1" x14ac:dyDescent="0.2">
      <c r="A8" s="6">
        <v>5</v>
      </c>
      <c r="C8" s="5">
        <v>15.4430486854775</v>
      </c>
      <c r="D8" s="5">
        <v>65.186489250568812</v>
      </c>
      <c r="E8" s="5">
        <v>0.78914607445385399</v>
      </c>
      <c r="F8" s="5">
        <v>8.936712196443759</v>
      </c>
      <c r="G8" s="5">
        <v>0.20474614521735379</v>
      </c>
      <c r="H8" s="5">
        <v>1.8222932045745623</v>
      </c>
      <c r="I8" s="5">
        <v>0.78805928334224662</v>
      </c>
      <c r="J8" s="5">
        <v>1.8555384978228828</v>
      </c>
      <c r="K8" s="5">
        <v>4.1093134291571438</v>
      </c>
      <c r="L8" s="5">
        <v>0.16549535480242863</v>
      </c>
      <c r="M8" s="5">
        <v>99.300842121860555</v>
      </c>
      <c r="N8" s="5"/>
      <c r="O8" s="5">
        <v>832.03694701020913</v>
      </c>
      <c r="P8" s="5">
        <v>2.2537262358798893</v>
      </c>
      <c r="Q8" s="5">
        <v>14.077119869515547</v>
      </c>
      <c r="R8" s="5">
        <v>56.858994923496219</v>
      </c>
      <c r="S8" s="5">
        <v>8.8941271105818114</v>
      </c>
      <c r="T8" s="5">
        <v>31.316017499764545</v>
      </c>
      <c r="U8" s="5">
        <v>17.563875973006951</v>
      </c>
      <c r="V8" s="5">
        <v>4.8910498815536272</v>
      </c>
      <c r="W8" s="5">
        <v>0.80204147149354432</v>
      </c>
      <c r="X8" s="5">
        <v>7.9509551284438551</v>
      </c>
      <c r="Y8" s="5">
        <v>20.967480409706251</v>
      </c>
      <c r="Z8" s="5">
        <v>20.519984280415038</v>
      </c>
      <c r="AA8" s="5">
        <v>135.98771350878457</v>
      </c>
      <c r="AB8" s="5">
        <v>21.075440755909327</v>
      </c>
      <c r="AC8" s="5">
        <v>2.5500195675058883</v>
      </c>
      <c r="AD8" s="5">
        <v>122.27517969227709</v>
      </c>
      <c r="AE8" s="5">
        <v>0.68958171271246194</v>
      </c>
      <c r="AF8" s="5">
        <v>10.907242148236618</v>
      </c>
      <c r="AG8" s="5">
        <v>0.71247779961637736</v>
      </c>
      <c r="AH8" s="5">
        <v>2.8606306949016704</v>
      </c>
      <c r="AI8" s="5">
        <v>116.53485477611011</v>
      </c>
      <c r="AJ8" s="5">
        <v>2.5175244010647733</v>
      </c>
      <c r="AK8" s="5">
        <v>39.067208066078685</v>
      </c>
      <c r="AL8" s="5">
        <v>95.268599954237601</v>
      </c>
      <c r="AM8" s="5">
        <v>166.3596004712337</v>
      </c>
      <c r="AN8" s="5"/>
      <c r="AO8" s="5">
        <v>32.37890994509862</v>
      </c>
      <c r="AP8" s="5">
        <v>67.320314260769095</v>
      </c>
      <c r="AQ8" s="5">
        <v>8.2887182832946351</v>
      </c>
      <c r="AR8" s="5">
        <v>33.864678726966915</v>
      </c>
      <c r="AS8" s="5">
        <v>7.1465710824371271</v>
      </c>
      <c r="AT8" s="5">
        <v>1.6285475556715234</v>
      </c>
      <c r="AU8" s="5">
        <v>6.366106863276741</v>
      </c>
      <c r="AV8" s="5">
        <v>1.0876589178472587</v>
      </c>
      <c r="AW8" s="5">
        <v>6.5335468246687176</v>
      </c>
      <c r="AX8" s="5">
        <v>1.3741005968016227</v>
      </c>
      <c r="AY8" s="5">
        <v>3.7626368318057546</v>
      </c>
      <c r="AZ8" s="5">
        <v>0.56278556668629864</v>
      </c>
      <c r="BA8" s="5">
        <v>3.6699418102097709</v>
      </c>
      <c r="BB8" s="5">
        <v>0.54896227362432248</v>
      </c>
    </row>
    <row r="9" spans="1:54" ht="15" customHeight="1" x14ac:dyDescent="0.2">
      <c r="A9" s="6">
        <v>6</v>
      </c>
      <c r="C9" s="5">
        <v>15.844441195770349</v>
      </c>
      <c r="D9" s="5">
        <v>71.257276383737135</v>
      </c>
      <c r="E9" s="5">
        <v>0.73088696828611976</v>
      </c>
      <c r="F9" s="5">
        <v>3.3149962550695378</v>
      </c>
      <c r="G9" s="5">
        <v>4.5373106973374808E-2</v>
      </c>
      <c r="H9" s="5">
        <v>1.3413202057396394</v>
      </c>
      <c r="I9" s="5">
        <v>0.40203024353246591</v>
      </c>
      <c r="J9" s="5">
        <v>2.1998652293776448</v>
      </c>
      <c r="K9" s="5">
        <v>3.9776189737957797</v>
      </c>
      <c r="L9" s="5">
        <v>0.11672567446881138</v>
      </c>
      <c r="M9" s="5">
        <v>99.230534236750856</v>
      </c>
      <c r="N9" s="5"/>
      <c r="O9" s="5">
        <v>462.77588721438991</v>
      </c>
      <c r="P9" s="5">
        <v>1.6846959893320763</v>
      </c>
      <c r="Q9" s="5">
        <v>9.0002091295711324</v>
      </c>
      <c r="R9" s="5">
        <v>54.417680737030317</v>
      </c>
      <c r="S9" s="5">
        <v>5.8299708426607904</v>
      </c>
      <c r="T9" s="5">
        <v>22.063103586305079</v>
      </c>
      <c r="U9" s="5">
        <v>15.726146239982212</v>
      </c>
      <c r="V9" s="5">
        <v>5.4294609752421108</v>
      </c>
      <c r="W9" s="5">
        <v>1.2650958655105236</v>
      </c>
      <c r="X9" s="5">
        <v>7.8064995106115429</v>
      </c>
      <c r="Y9" s="5">
        <v>17.837124179524753</v>
      </c>
      <c r="Z9" s="5">
        <v>17.031106391051729</v>
      </c>
      <c r="AA9" s="5">
        <v>120.83336314728902</v>
      </c>
      <c r="AB9" s="5">
        <v>13.909104029565363</v>
      </c>
      <c r="AC9" s="5">
        <v>2.4790714424422164</v>
      </c>
      <c r="AD9" s="5">
        <v>108.19744518823202</v>
      </c>
      <c r="AE9" s="5">
        <v>0.65664944567988426</v>
      </c>
      <c r="AF9" s="5">
        <v>10.755752673955554</v>
      </c>
      <c r="AG9" s="5">
        <v>0.45598579175448151</v>
      </c>
      <c r="AH9" s="5">
        <v>2.7268920305817574</v>
      </c>
      <c r="AI9" s="5">
        <v>83.289326068467673</v>
      </c>
      <c r="AJ9" s="5">
        <v>2.1621561668145519</v>
      </c>
      <c r="AK9" s="5">
        <v>28.269688213799252</v>
      </c>
      <c r="AL9" s="5">
        <v>114.55920508101536</v>
      </c>
      <c r="AM9" s="5">
        <v>192.39142059387174</v>
      </c>
      <c r="AN9" s="5"/>
      <c r="AO9" s="5">
        <v>26.456782599414936</v>
      </c>
      <c r="AP9" s="5">
        <v>54.205837610266158</v>
      </c>
      <c r="AQ9" s="5">
        <v>6.6693437676503651</v>
      </c>
      <c r="AR9" s="5">
        <v>26.786980923166247</v>
      </c>
      <c r="AS9" s="5">
        <v>5.4973623711054813</v>
      </c>
      <c r="AT9" s="5">
        <v>1.2542036008052688</v>
      </c>
      <c r="AU9" s="5">
        <v>4.841684356179214</v>
      </c>
      <c r="AV9" s="5">
        <v>0.80917149573059266</v>
      </c>
      <c r="AW9" s="5">
        <v>4.6803206498727477</v>
      </c>
      <c r="AX9" s="5">
        <v>0.98892118557263708</v>
      </c>
      <c r="AY9" s="5">
        <v>2.6919758520775274</v>
      </c>
      <c r="AZ9" s="5">
        <v>0.42037037092798574</v>
      </c>
      <c r="BA9" s="5">
        <v>2.8090912621358743</v>
      </c>
      <c r="BB9" s="5">
        <v>0.42962264892338287</v>
      </c>
    </row>
    <row r="10" spans="1:54" ht="15" customHeight="1" x14ac:dyDescent="0.2">
      <c r="A10" s="6">
        <v>7</v>
      </c>
      <c r="C10" s="5">
        <v>14.788145116052327</v>
      </c>
      <c r="D10" s="5">
        <v>66.542401097570874</v>
      </c>
      <c r="E10" s="5">
        <v>0.81827562753772098</v>
      </c>
      <c r="F10" s="5">
        <v>6.2511059734293015</v>
      </c>
      <c r="G10" s="5">
        <v>0.15426856370947434</v>
      </c>
      <c r="H10" s="5">
        <v>1.8493141595652884</v>
      </c>
      <c r="I10" s="5">
        <v>0.69125200082000104</v>
      </c>
      <c r="J10" s="5">
        <v>2.0175746067898293</v>
      </c>
      <c r="K10" s="5">
        <v>2.9028582914822731</v>
      </c>
      <c r="L10" s="5">
        <v>0.16742470479364865</v>
      </c>
      <c r="M10" s="5">
        <v>96.182620141750732</v>
      </c>
      <c r="N10" s="5"/>
      <c r="O10" s="5">
        <v>532.70782693242586</v>
      </c>
      <c r="P10" s="5">
        <v>1.7447546378943679</v>
      </c>
      <c r="Q10" s="5">
        <v>10.753496622344729</v>
      </c>
      <c r="R10" s="5">
        <v>53.256087696695737</v>
      </c>
      <c r="S10" s="5">
        <v>5.8348939729113054</v>
      </c>
      <c r="T10" s="5">
        <v>32.64499973571499</v>
      </c>
      <c r="U10" s="5">
        <v>16.368849534591956</v>
      </c>
      <c r="V10" s="5">
        <v>4.4896537973700976</v>
      </c>
      <c r="W10" s="5">
        <v>1.0316148524935236</v>
      </c>
      <c r="X10" s="5">
        <v>7.4350422076141651</v>
      </c>
      <c r="Y10" s="5">
        <v>18.654166843377155</v>
      </c>
      <c r="Z10" s="5">
        <v>14.368794613218023</v>
      </c>
      <c r="AA10" s="5">
        <v>97.720469847604079</v>
      </c>
      <c r="AB10" s="5">
        <v>17.995976571585803</v>
      </c>
      <c r="AC10" s="5">
        <v>2.2837070400929753</v>
      </c>
      <c r="AD10" s="5">
        <v>105.48245353388049</v>
      </c>
      <c r="AE10" s="5">
        <v>0.62671102110481347</v>
      </c>
      <c r="AF10" s="5">
        <v>8.9287896141259182</v>
      </c>
      <c r="AG10" s="5">
        <v>0.33384674039167395</v>
      </c>
      <c r="AH10" s="5">
        <v>2.2548732153350053</v>
      </c>
      <c r="AI10" s="5">
        <v>110.21669999909209</v>
      </c>
      <c r="AJ10" s="5">
        <v>3.643522626441881</v>
      </c>
      <c r="AK10" s="5">
        <v>30.711388717929172</v>
      </c>
      <c r="AL10" s="5">
        <v>97.375324318863051</v>
      </c>
      <c r="AM10" s="5">
        <v>158.63140387232556</v>
      </c>
      <c r="AN10" s="5"/>
      <c r="AO10" s="5">
        <v>24.88479887994297</v>
      </c>
      <c r="AP10" s="5">
        <v>51.4790652373893</v>
      </c>
      <c r="AQ10" s="5">
        <v>6.4184686148622196</v>
      </c>
      <c r="AR10" s="5">
        <v>25.984975506304984</v>
      </c>
      <c r="AS10" s="5">
        <v>5.7848855595758248</v>
      </c>
      <c r="AT10" s="5">
        <v>1.3147444021313475</v>
      </c>
      <c r="AU10" s="5">
        <v>5.1869239403609857</v>
      </c>
      <c r="AV10" s="5">
        <v>0.85785810798875106</v>
      </c>
      <c r="AW10" s="5">
        <v>5.1528727787009885</v>
      </c>
      <c r="AX10" s="5">
        <v>1.0712496093467714</v>
      </c>
      <c r="AY10" s="5">
        <v>3.0646805513919704</v>
      </c>
      <c r="AZ10" s="5">
        <v>0.43804949867729359</v>
      </c>
      <c r="BA10" s="5">
        <v>3.019242907690308</v>
      </c>
      <c r="BB10" s="5">
        <v>0.44107925289467309</v>
      </c>
    </row>
    <row r="11" spans="1:54" ht="15" customHeight="1" x14ac:dyDescent="0.2">
      <c r="A11" s="6">
        <v>8</v>
      </c>
      <c r="C11" s="5">
        <v>17.523951962522005</v>
      </c>
      <c r="D11" s="5">
        <v>69.603474812772504</v>
      </c>
      <c r="E11" s="5">
        <v>0.80789491407510672</v>
      </c>
      <c r="F11" s="5">
        <v>3.6041190392805773</v>
      </c>
      <c r="G11" s="5">
        <v>3.6411918346133276E-2</v>
      </c>
      <c r="H11" s="5">
        <v>1.9368620537352406</v>
      </c>
      <c r="I11" s="5">
        <v>0.22341680697799221</v>
      </c>
      <c r="J11" s="5">
        <v>1.4403209685950817</v>
      </c>
      <c r="K11" s="5">
        <v>3.4039668546793282</v>
      </c>
      <c r="L11" s="5">
        <v>7.2993741334490853E-2</v>
      </c>
      <c r="M11" s="5">
        <v>98.653413072318457</v>
      </c>
      <c r="N11" s="5"/>
      <c r="O11" s="5">
        <v>354.66212931453572</v>
      </c>
      <c r="P11" s="5">
        <v>1.8679257646068641</v>
      </c>
      <c r="Q11" s="5">
        <v>9.342735439753568</v>
      </c>
      <c r="R11" s="5">
        <v>48.698311614704949</v>
      </c>
      <c r="S11" s="5">
        <v>9.4730872280424698</v>
      </c>
      <c r="T11" s="5">
        <v>29.197639800354818</v>
      </c>
      <c r="U11" s="5">
        <v>18.558057631856403</v>
      </c>
      <c r="V11" s="5">
        <v>3.4195858710250651</v>
      </c>
      <c r="W11" s="5">
        <v>0.64671309881696271</v>
      </c>
      <c r="X11" s="5">
        <v>6.4425240170656188</v>
      </c>
      <c r="Y11" s="5">
        <v>19.028234568996325</v>
      </c>
      <c r="Z11" s="5">
        <v>13.177001615198602</v>
      </c>
      <c r="AA11" s="5">
        <v>136.69023306196647</v>
      </c>
      <c r="AB11" s="5">
        <v>18.247828661010029</v>
      </c>
      <c r="AC11" s="5">
        <v>2.4482244315449675</v>
      </c>
      <c r="AD11" s="5">
        <v>82.093303207874186</v>
      </c>
      <c r="AE11" s="5">
        <v>0.62072333618979936</v>
      </c>
      <c r="AF11" s="5">
        <v>9.4620325635952653</v>
      </c>
      <c r="AG11" s="5">
        <v>0.44241478604750289</v>
      </c>
      <c r="AH11" s="5">
        <v>1.8772581631376037</v>
      </c>
      <c r="AI11" s="5">
        <v>100.9901882612245</v>
      </c>
      <c r="AJ11" s="5">
        <v>2.1142413487133984</v>
      </c>
      <c r="AK11" s="5">
        <v>23.146119942838112</v>
      </c>
      <c r="AL11" s="5">
        <v>116.11255023465624</v>
      </c>
      <c r="AM11" s="5">
        <v>111.55041669739816</v>
      </c>
      <c r="AN11" s="5"/>
      <c r="AO11" s="5">
        <v>24.014770154700624</v>
      </c>
      <c r="AP11" s="5">
        <v>51.499041591769355</v>
      </c>
      <c r="AQ11" s="5">
        <v>6.4184686148622196</v>
      </c>
      <c r="AR11" s="5">
        <v>24.701766839326961</v>
      </c>
      <c r="AS11" s="5">
        <v>4.7876660502684762</v>
      </c>
      <c r="AT11" s="5">
        <v>1.009013355434649</v>
      </c>
      <c r="AU11" s="5">
        <v>3.7476543601930103</v>
      </c>
      <c r="AV11" s="5">
        <v>0.64168954956252777</v>
      </c>
      <c r="AW11" s="5">
        <v>3.9714924566303873</v>
      </c>
      <c r="AX11" s="5">
        <v>0.81544343547713982</v>
      </c>
      <c r="AY11" s="5">
        <v>2.4042913228984748</v>
      </c>
      <c r="AZ11" s="5">
        <v>0.35849342380540844</v>
      </c>
      <c r="BA11" s="5">
        <v>2.4340958946098428</v>
      </c>
      <c r="BB11" s="5">
        <v>0.3723396290669318</v>
      </c>
    </row>
    <row r="12" spans="1:54" ht="15" customHeight="1" x14ac:dyDescent="0.2">
      <c r="A12" s="6">
        <v>9</v>
      </c>
      <c r="C12" s="5">
        <v>16.964115040271452</v>
      </c>
      <c r="D12" s="5">
        <v>70.301974855167501</v>
      </c>
      <c r="E12" s="5">
        <v>0.83596521068319674</v>
      </c>
      <c r="F12" s="5">
        <v>4.0320625104954733</v>
      </c>
      <c r="G12" s="5">
        <v>2.2005956882086782E-2</v>
      </c>
      <c r="H12" s="5">
        <v>1.414817203314414</v>
      </c>
      <c r="I12" s="5">
        <v>0.35092639914314</v>
      </c>
      <c r="J12" s="5">
        <v>1.7092558994499447</v>
      </c>
      <c r="K12" s="5">
        <v>3.1874522416275939</v>
      </c>
      <c r="L12" s="5">
        <v>9.3359102352924439E-2</v>
      </c>
      <c r="M12" s="5">
        <v>98.91193441938772</v>
      </c>
      <c r="N12" s="5"/>
      <c r="O12" s="5">
        <v>399.68400583373847</v>
      </c>
      <c r="P12" s="5">
        <v>1.7457725810903391</v>
      </c>
      <c r="Q12" s="5">
        <v>6.3250481550899096</v>
      </c>
      <c r="R12" s="5">
        <v>62.529144001739617</v>
      </c>
      <c r="S12" s="5">
        <v>8.0808259931966067</v>
      </c>
      <c r="T12" s="5">
        <v>27.069269753306369</v>
      </c>
      <c r="U12" s="5">
        <v>17.192313130810692</v>
      </c>
      <c r="V12" s="5">
        <v>4.813858326902948</v>
      </c>
      <c r="W12" s="5">
        <v>0.87433266380843144</v>
      </c>
      <c r="X12" s="5">
        <v>8.4875045661067343</v>
      </c>
      <c r="Y12" s="5">
        <v>15.002084574832077</v>
      </c>
      <c r="Z12" s="5">
        <v>11.802595173934268</v>
      </c>
      <c r="AA12" s="5">
        <v>114.51068716865178</v>
      </c>
      <c r="AB12" s="5">
        <v>16.885537813669885</v>
      </c>
      <c r="AC12" s="5">
        <v>2.5130031544291902</v>
      </c>
      <c r="AD12" s="5">
        <v>96.020204842233056</v>
      </c>
      <c r="AE12" s="5">
        <v>0.70854271494334009</v>
      </c>
      <c r="AF12" s="5">
        <v>10.876944253380405</v>
      </c>
      <c r="AG12" s="5">
        <v>0.40034466835586913</v>
      </c>
      <c r="AH12" s="5">
        <v>2.4987496032124938</v>
      </c>
      <c r="AI12" s="5">
        <v>117.036295631429</v>
      </c>
      <c r="AJ12" s="5">
        <v>1.9096051464063886</v>
      </c>
      <c r="AK12" s="5">
        <v>29.340433926675896</v>
      </c>
      <c r="AL12" s="5">
        <v>87.17178834088449</v>
      </c>
      <c r="AM12" s="5">
        <v>172.76586870453917</v>
      </c>
      <c r="AN12" s="5"/>
      <c r="AO12" s="5">
        <v>26.77315668132124</v>
      </c>
      <c r="AP12" s="5">
        <v>54.445553862826749</v>
      </c>
      <c r="AQ12" s="5">
        <v>6.6545864057216511</v>
      </c>
      <c r="AR12" s="5">
        <v>26.125326454255703</v>
      </c>
      <c r="AS12" s="5">
        <v>5.2138888050079624</v>
      </c>
      <c r="AT12" s="5">
        <v>1.1785275991476698</v>
      </c>
      <c r="AU12" s="5">
        <v>4.4825611426067544</v>
      </c>
      <c r="AV12" s="5">
        <v>0.76827474143373964</v>
      </c>
      <c r="AW12" s="5">
        <v>4.7594217670896493</v>
      </c>
      <c r="AX12" s="5">
        <v>1.0438068014220601</v>
      </c>
      <c r="AY12" s="5">
        <v>2.8827769315674145</v>
      </c>
      <c r="AZ12" s="5">
        <v>0.43804949867729359</v>
      </c>
      <c r="BA12" s="5">
        <v>2.7859553011574043</v>
      </c>
      <c r="BB12" s="5">
        <v>0.42198491294252272</v>
      </c>
    </row>
    <row r="13" spans="1:54" ht="15" customHeight="1" x14ac:dyDescent="0.2">
      <c r="A13" s="6">
        <v>10</v>
      </c>
      <c r="C13" s="5">
        <v>17.471137158536106</v>
      </c>
      <c r="D13" s="5">
        <v>69.685651288348382</v>
      </c>
      <c r="E13" s="5">
        <v>0.85005332181103066</v>
      </c>
      <c r="F13" s="5">
        <v>5.2209103488217341</v>
      </c>
      <c r="G13" s="5">
        <v>0.12738499782774976</v>
      </c>
      <c r="H13" s="5">
        <v>1.6471974162346577</v>
      </c>
      <c r="I13" s="5">
        <v>0.48243629223895906</v>
      </c>
      <c r="J13" s="5">
        <v>1.5899793192381646</v>
      </c>
      <c r="K13" s="5">
        <v>2.8258505167370691</v>
      </c>
      <c r="L13" s="5">
        <v>0.16163665481998857</v>
      </c>
      <c r="M13" s="5">
        <v>100.06223731461384</v>
      </c>
      <c r="N13" s="5"/>
      <c r="O13" s="5">
        <v>540.05833738454066</v>
      </c>
      <c r="P13" s="5">
        <v>1.6877498189199893</v>
      </c>
      <c r="Q13" s="5">
        <v>9.5653267214448245</v>
      </c>
      <c r="R13" s="5">
        <v>55.175669415892713</v>
      </c>
      <c r="S13" s="5">
        <v>7.0942306909932427</v>
      </c>
      <c r="T13" s="5">
        <v>33.973981971665431</v>
      </c>
      <c r="U13" s="5">
        <v>16.770539093723048</v>
      </c>
      <c r="V13" s="5">
        <v>4.466496330974894</v>
      </c>
      <c r="W13" s="5">
        <v>0.9642082001999126</v>
      </c>
      <c r="X13" s="5">
        <v>8.023674282998897</v>
      </c>
      <c r="Y13" s="5">
        <v>18.979015131414858</v>
      </c>
      <c r="Z13" s="5">
        <v>12.177433294279087</v>
      </c>
      <c r="AA13" s="5">
        <v>109.39233042404071</v>
      </c>
      <c r="AB13" s="5">
        <v>16.828298702437102</v>
      </c>
      <c r="AC13" s="5">
        <v>2.4122362521648446</v>
      </c>
      <c r="AD13" s="5">
        <v>106.78967173782753</v>
      </c>
      <c r="AE13" s="5">
        <v>0.66363507808073408</v>
      </c>
      <c r="AF13" s="5">
        <v>9.511519125193745</v>
      </c>
      <c r="AG13" s="5">
        <v>0.38541656207819264</v>
      </c>
      <c r="AH13" s="5">
        <v>2.2863411363514556</v>
      </c>
      <c r="AI13" s="5">
        <v>112.62361610462276</v>
      </c>
      <c r="AJ13" s="5">
        <v>2.1232253771073646</v>
      </c>
      <c r="AK13" s="5">
        <v>30.070942684059027</v>
      </c>
      <c r="AL13" s="5">
        <v>89.152303411776614</v>
      </c>
      <c r="AM13" s="5">
        <v>154.97067916757959</v>
      </c>
      <c r="AN13" s="5"/>
      <c r="AO13" s="5">
        <v>27.020323932810541</v>
      </c>
      <c r="AP13" s="5">
        <v>55.754005074720041</v>
      </c>
      <c r="AQ13" s="5">
        <v>6.9507174684245223</v>
      </c>
      <c r="AR13" s="5">
        <v>27.829587965085892</v>
      </c>
      <c r="AS13" s="5">
        <v>5.949907671268309</v>
      </c>
      <c r="AT13" s="5">
        <v>1.3924384304998154</v>
      </c>
      <c r="AU13" s="5">
        <v>5.1128779169439831</v>
      </c>
      <c r="AV13" s="5">
        <v>0.81890881818222439</v>
      </c>
      <c r="AW13" s="5">
        <v>5.1015084168718321</v>
      </c>
      <c r="AX13" s="5">
        <v>1.0545879045353397</v>
      </c>
      <c r="AY13" s="5">
        <v>2.9154009503402967</v>
      </c>
      <c r="AZ13" s="5">
        <v>0.44492471502424663</v>
      </c>
      <c r="BA13" s="5">
        <v>2.849579193848196</v>
      </c>
      <c r="BB13" s="5">
        <v>0.43535095090902798</v>
      </c>
    </row>
    <row r="14" spans="1:54" ht="15" customHeight="1" x14ac:dyDescent="0.2">
      <c r="A14" s="6">
        <v>11</v>
      </c>
      <c r="C14" s="5">
        <v>16.467655882803985</v>
      </c>
      <c r="D14" s="5">
        <v>67.795592350103078</v>
      </c>
      <c r="E14" s="5">
        <v>0.71256183125517791</v>
      </c>
      <c r="F14" s="5">
        <v>2.7868513857165191</v>
      </c>
      <c r="G14" s="5">
        <v>2.6770133114291134E-2</v>
      </c>
      <c r="H14" s="5">
        <v>1.2213471655808157</v>
      </c>
      <c r="I14" s="5">
        <v>0.33862547378132574</v>
      </c>
      <c r="J14" s="5">
        <v>1.5640985518337216</v>
      </c>
      <c r="K14" s="5">
        <v>2.6997363349079659</v>
      </c>
      <c r="L14" s="5">
        <v>9.2930357910431097E-2</v>
      </c>
      <c r="M14" s="5">
        <v>93.7061694670073</v>
      </c>
      <c r="N14" s="5"/>
      <c r="O14" s="5">
        <v>740.35974720466709</v>
      </c>
      <c r="P14" s="5">
        <v>1.8536745598632693</v>
      </c>
      <c r="Q14" s="5">
        <v>5.8768163960677899</v>
      </c>
      <c r="R14" s="5">
        <v>63.887617218402099</v>
      </c>
      <c r="S14" s="5">
        <v>7.3187254304167624</v>
      </c>
      <c r="T14" s="5">
        <v>26.269881942208357</v>
      </c>
      <c r="U14" s="5">
        <v>17.674340601768005</v>
      </c>
      <c r="V14" s="5">
        <v>9.2967578632411119</v>
      </c>
      <c r="W14" s="5">
        <v>0.94662385612331845</v>
      </c>
      <c r="X14" s="5">
        <v>9.1242885141022381</v>
      </c>
      <c r="Y14" s="5">
        <v>14.598485186664023</v>
      </c>
      <c r="Z14" s="5">
        <v>16.838881713951825</v>
      </c>
      <c r="AA14" s="5">
        <v>108.68981087085879</v>
      </c>
      <c r="AB14" s="5">
        <v>12.64984358244422</v>
      </c>
      <c r="AC14" s="5">
        <v>2.4286879913100439</v>
      </c>
      <c r="AD14" s="5">
        <v>110.40966061029626</v>
      </c>
      <c r="AE14" s="5">
        <v>0.77839903895183848</v>
      </c>
      <c r="AF14" s="5">
        <v>11.068830920803087</v>
      </c>
      <c r="AG14" s="5">
        <v>0.38134526036609917</v>
      </c>
      <c r="AH14" s="5">
        <v>2.7288587756452856</v>
      </c>
      <c r="AI14" s="5">
        <v>103.7982570510103</v>
      </c>
      <c r="AJ14" s="5">
        <v>2.0882874889086072</v>
      </c>
      <c r="AK14" s="5">
        <v>26.538482528494022</v>
      </c>
      <c r="AL14" s="5">
        <v>109.41374925957993</v>
      </c>
      <c r="AM14" s="5">
        <v>344.92161662495403</v>
      </c>
      <c r="AN14" s="5"/>
      <c r="AO14" s="5">
        <v>30.332365102767195</v>
      </c>
      <c r="AP14" s="5">
        <v>61.577112376504665</v>
      </c>
      <c r="AQ14" s="5">
        <v>7.4347589396863576</v>
      </c>
      <c r="AR14" s="5">
        <v>29.243122512303874</v>
      </c>
      <c r="AS14" s="5">
        <v>5.6583348604251453</v>
      </c>
      <c r="AT14" s="5">
        <v>1.3470328295052563</v>
      </c>
      <c r="AU14" s="5">
        <v>4.727838595175573</v>
      </c>
      <c r="AV14" s="5">
        <v>0.7624323479627606</v>
      </c>
      <c r="AW14" s="5">
        <v>4.5272548516218611</v>
      </c>
      <c r="AX14" s="5">
        <v>0.93991617142136674</v>
      </c>
      <c r="AY14" s="5">
        <v>2.5624683836154798</v>
      </c>
      <c r="AZ14" s="5">
        <v>0.39188733177632318</v>
      </c>
      <c r="BA14" s="5">
        <v>2.5748396572288672</v>
      </c>
      <c r="BB14" s="5">
        <v>0.37043019507171676</v>
      </c>
    </row>
    <row r="15" spans="1:54" ht="15" customHeight="1" x14ac:dyDescent="0.2">
      <c r="A15" s="6">
        <v>12</v>
      </c>
      <c r="C15" s="5">
        <v>17.798588943248696</v>
      </c>
      <c r="D15" s="5">
        <v>66.501312859782928</v>
      </c>
      <c r="E15" s="5">
        <v>0.88956358835751215</v>
      </c>
      <c r="F15" s="5">
        <v>6.411845716275872</v>
      </c>
      <c r="G15" s="5">
        <v>0.13963573671056095</v>
      </c>
      <c r="H15" s="5">
        <v>1.9455087593322731</v>
      </c>
      <c r="I15" s="5">
        <v>0.4712354496330794</v>
      </c>
      <c r="J15" s="5">
        <v>1.2805353611415649</v>
      </c>
      <c r="K15" s="5">
        <v>3.3716012681922134</v>
      </c>
      <c r="L15" s="5">
        <v>0.13366107994729826</v>
      </c>
      <c r="M15" s="5">
        <v>98.943488762621996</v>
      </c>
      <c r="N15" s="5"/>
      <c r="O15" s="5">
        <v>510.24793388429754</v>
      </c>
      <c r="P15" s="5">
        <v>2.3443231803213123</v>
      </c>
      <c r="Q15" s="5">
        <v>8.796929420264048</v>
      </c>
      <c r="R15" s="5">
        <v>71.989236474294984</v>
      </c>
      <c r="S15" s="5">
        <v>10.446882391594491</v>
      </c>
      <c r="T15" s="5">
        <v>51.580498511099101</v>
      </c>
      <c r="U15" s="5">
        <v>20.144731390424209</v>
      </c>
      <c r="V15" s="5">
        <v>5.351304526158299</v>
      </c>
      <c r="W15" s="5">
        <v>0.95346221215310512</v>
      </c>
      <c r="X15" s="5">
        <v>8.9454387015479444</v>
      </c>
      <c r="Y15" s="5">
        <v>16.262102176917711</v>
      </c>
      <c r="Z15" s="5">
        <v>18.49201393701102</v>
      </c>
      <c r="AA15" s="5">
        <v>130.16683721099156</v>
      </c>
      <c r="AB15" s="5">
        <v>20.548840932567757</v>
      </c>
      <c r="AC15" s="5">
        <v>2.4286879913100439</v>
      </c>
      <c r="AD15" s="5">
        <v>86.909899513186758</v>
      </c>
      <c r="AE15" s="5">
        <v>0.76243187917846744</v>
      </c>
      <c r="AF15" s="5">
        <v>11.341511974509002</v>
      </c>
      <c r="AG15" s="5">
        <v>0.58219614482938264</v>
      </c>
      <c r="AH15" s="5">
        <v>2.8094953232499393</v>
      </c>
      <c r="AI15" s="5">
        <v>133.38326751482481</v>
      </c>
      <c r="AJ15" s="5">
        <v>2.1831188997338065</v>
      </c>
      <c r="AK15" s="5">
        <v>39.267347451663106</v>
      </c>
      <c r="AL15" s="5">
        <v>147.27653737957652</v>
      </c>
      <c r="AM15" s="5">
        <v>186.29021275262846</v>
      </c>
      <c r="AN15" s="5"/>
      <c r="AO15" s="5">
        <v>31.48910783973713</v>
      </c>
      <c r="AP15" s="5">
        <v>65.662276847224916</v>
      </c>
      <c r="AQ15" s="5">
        <v>7.9788136827916301</v>
      </c>
      <c r="AR15" s="5">
        <v>31.889740387946045</v>
      </c>
      <c r="AS15" s="5">
        <v>6.791216719222021</v>
      </c>
      <c r="AT15" s="5">
        <v>1.5165470732182773</v>
      </c>
      <c r="AU15" s="5">
        <v>6.1967265847103494</v>
      </c>
      <c r="AV15" s="5">
        <v>1.065263076208506</v>
      </c>
      <c r="AW15" s="5">
        <v>6.6034023567563702</v>
      </c>
      <c r="AX15" s="5">
        <v>1.3995832041602834</v>
      </c>
      <c r="AY15" s="5">
        <v>3.9030189731920961</v>
      </c>
      <c r="AZ15" s="5">
        <v>0.56867860926940128</v>
      </c>
      <c r="BA15" s="5">
        <v>3.8318935370590594</v>
      </c>
      <c r="BB15" s="5">
        <v>0.59478868950948338</v>
      </c>
    </row>
    <row r="16" spans="1:54" ht="15" customHeight="1" x14ac:dyDescent="0.2">
      <c r="A16" s="6">
        <v>13</v>
      </c>
      <c r="C16" s="5">
        <v>17.59789268810227</v>
      </c>
      <c r="D16" s="5">
        <v>71.421629334888905</v>
      </c>
      <c r="E16" s="5">
        <v>0.83797779798717298</v>
      </c>
      <c r="F16" s="5">
        <v>3.4339854153585576</v>
      </c>
      <c r="G16" s="5">
        <v>5.3540266228582267E-2</v>
      </c>
      <c r="H16" s="5">
        <v>1.552083654667302</v>
      </c>
      <c r="I16" s="5">
        <v>0.40923078520767425</v>
      </c>
      <c r="J16" s="5">
        <v>1.4797047450801035</v>
      </c>
      <c r="K16" s="5">
        <v>3.0010711056500705</v>
      </c>
      <c r="L16" s="5">
        <v>0.11715441891130471</v>
      </c>
      <c r="M16" s="5">
        <v>99.904270212081926</v>
      </c>
      <c r="N16" s="5"/>
      <c r="O16" s="5">
        <v>562.0077783179388</v>
      </c>
      <c r="P16" s="5">
        <v>1.843495127903559</v>
      </c>
      <c r="Q16" s="5">
        <v>13.213181104960441</v>
      </c>
      <c r="R16" s="5">
        <v>64.881862108857959</v>
      </c>
      <c r="S16" s="5">
        <v>7.9685786234848459</v>
      </c>
      <c r="T16" s="5">
        <v>33.50434163264535</v>
      </c>
      <c r="U16" s="5">
        <v>20.034266761663162</v>
      </c>
      <c r="V16" s="5">
        <v>5.0811340848809232</v>
      </c>
      <c r="W16" s="5">
        <v>1.3012414616679673</v>
      </c>
      <c r="X16" s="5">
        <v>9.1989730512128212</v>
      </c>
      <c r="Y16" s="5">
        <v>25.682702530011081</v>
      </c>
      <c r="Z16" s="5">
        <v>14.39762831478301</v>
      </c>
      <c r="AA16" s="5">
        <v>112.00168876443067</v>
      </c>
      <c r="AB16" s="5">
        <v>15.534694788576294</v>
      </c>
      <c r="AC16" s="5">
        <v>2.6631252741291331</v>
      </c>
      <c r="AD16" s="5">
        <v>103.47134860473119</v>
      </c>
      <c r="AE16" s="5">
        <v>0.75844008923512463</v>
      </c>
      <c r="AF16" s="5">
        <v>10.796149867097169</v>
      </c>
      <c r="AG16" s="5">
        <v>0.47091389803215794</v>
      </c>
      <c r="AH16" s="5">
        <v>2.5577519551183379</v>
      </c>
      <c r="AI16" s="5">
        <v>119.14234722376833</v>
      </c>
      <c r="AJ16" s="5">
        <v>2.4276841171251107</v>
      </c>
      <c r="AK16" s="5">
        <v>29.540573312260314</v>
      </c>
      <c r="AL16" s="5">
        <v>103.97704122183681</v>
      </c>
      <c r="AM16" s="5">
        <v>174.69791785426622</v>
      </c>
      <c r="AN16" s="5"/>
      <c r="AO16" s="5">
        <v>27.48499836561043</v>
      </c>
      <c r="AP16" s="5">
        <v>55.614170594059686</v>
      </c>
      <c r="AQ16" s="5">
        <v>6.774612949408529</v>
      </c>
      <c r="AR16" s="5">
        <v>27.258159105572243</v>
      </c>
      <c r="AS16" s="5">
        <v>5.4993871822918932</v>
      </c>
      <c r="AT16" s="5">
        <v>1.3137353887759129</v>
      </c>
      <c r="AU16" s="5">
        <v>4.8583447114480389</v>
      </c>
      <c r="AV16" s="5">
        <v>0.82572494389836648</v>
      </c>
      <c r="AW16" s="5">
        <v>5.0521986295158419</v>
      </c>
      <c r="AX16" s="5">
        <v>1.0898715147242544</v>
      </c>
      <c r="AY16" s="5">
        <v>2.9737287414796922</v>
      </c>
      <c r="AZ16" s="5">
        <v>0.45474645266275099</v>
      </c>
      <c r="BA16" s="5">
        <v>3.0626228345249391</v>
      </c>
      <c r="BB16" s="5">
        <v>0.47449434781093613</v>
      </c>
    </row>
    <row r="17" spans="1:54" ht="15" customHeight="1" x14ac:dyDescent="0.2">
      <c r="A17" s="6">
        <v>14</v>
      </c>
      <c r="C17" s="5">
        <v>15.928944882147793</v>
      </c>
      <c r="D17" s="5">
        <v>66.25478343305528</v>
      </c>
      <c r="E17" s="5">
        <v>0.70048630743132034</v>
      </c>
      <c r="F17" s="5">
        <v>2.9141906625170493</v>
      </c>
      <c r="G17" s="5">
        <v>2.5522372672523327E-2</v>
      </c>
      <c r="H17" s="5">
        <v>1.3705028371296235</v>
      </c>
      <c r="I17" s="5">
        <v>0.28962178738060229</v>
      </c>
      <c r="J17" s="5">
        <v>1.159008279416355</v>
      </c>
      <c r="K17" s="5">
        <v>2.929643604437127</v>
      </c>
      <c r="L17" s="5">
        <v>9.8182477330974502E-2</v>
      </c>
      <c r="M17" s="5">
        <v>91.670886643518642</v>
      </c>
      <c r="N17" s="5"/>
      <c r="O17" s="5">
        <v>526.78658240155573</v>
      </c>
      <c r="P17" s="5">
        <v>1.9167870380134742</v>
      </c>
      <c r="Q17" s="5">
        <v>7.0385599347577736</v>
      </c>
      <c r="R17" s="5">
        <v>59.762977524332683</v>
      </c>
      <c r="S17" s="5">
        <v>8.8153570265735599</v>
      </c>
      <c r="T17" s="5">
        <v>24.751045101122138</v>
      </c>
      <c r="U17" s="5">
        <v>19.451816900923081</v>
      </c>
      <c r="V17" s="5">
        <v>4.2339567725897247</v>
      </c>
      <c r="W17" s="5">
        <v>0.73268100319142304</v>
      </c>
      <c r="X17" s="5">
        <v>8.1917144914977111</v>
      </c>
      <c r="Y17" s="5">
        <v>16.596794352471708</v>
      </c>
      <c r="Z17" s="5">
        <v>13.003999405808685</v>
      </c>
      <c r="AA17" s="5">
        <v>124.94812053021164</v>
      </c>
      <c r="AB17" s="5">
        <v>15.202707943426173</v>
      </c>
      <c r="AC17" s="5">
        <v>2.562358371864788</v>
      </c>
      <c r="AD17" s="5">
        <v>109.50466339217908</v>
      </c>
      <c r="AE17" s="5">
        <v>0.73149550711756095</v>
      </c>
      <c r="AF17" s="5">
        <v>11.089029517373895</v>
      </c>
      <c r="AG17" s="5">
        <v>0.46955679746146006</v>
      </c>
      <c r="AH17" s="5">
        <v>2.3728779191466933</v>
      </c>
      <c r="AI17" s="5">
        <v>118.13946551313055</v>
      </c>
      <c r="AJ17" s="5">
        <v>2.3797692990239572</v>
      </c>
      <c r="AK17" s="5">
        <v>26.79866372975377</v>
      </c>
      <c r="AL17" s="5">
        <v>92.705580450730139</v>
      </c>
      <c r="AM17" s="5">
        <v>136.76874244120376</v>
      </c>
      <c r="AN17" s="5"/>
      <c r="AO17" s="5">
        <v>27.089530763227547</v>
      </c>
      <c r="AP17" s="5">
        <v>56.782787325292624</v>
      </c>
      <c r="AQ17" s="5">
        <v>6.9517012925531025</v>
      </c>
      <c r="AR17" s="5">
        <v>26.837106261720077</v>
      </c>
      <c r="AS17" s="5">
        <v>5.2766579517866985</v>
      </c>
      <c r="AT17" s="5">
        <v>1.1250498913096336</v>
      </c>
      <c r="AU17" s="5">
        <v>4.2465394429650605</v>
      </c>
      <c r="AV17" s="5">
        <v>0.73711530958851823</v>
      </c>
      <c r="AW17" s="5">
        <v>4.6217652773875093</v>
      </c>
      <c r="AX17" s="5">
        <v>0.95951817708187492</v>
      </c>
      <c r="AY17" s="5">
        <v>2.7245998708504096</v>
      </c>
      <c r="AZ17" s="5">
        <v>0.40072689565097708</v>
      </c>
      <c r="BA17" s="5">
        <v>2.7310073938335386</v>
      </c>
      <c r="BB17" s="5">
        <v>0.40957359197362497</v>
      </c>
    </row>
    <row r="18" spans="1:54" ht="15" customHeight="1" x14ac:dyDescent="0.2">
      <c r="A18" s="6">
        <v>15</v>
      </c>
      <c r="C18" s="5">
        <v>15.707122705407006</v>
      </c>
      <c r="D18" s="5">
        <v>67.846952647338</v>
      </c>
      <c r="E18" s="5">
        <v>0.67760636755453751</v>
      </c>
      <c r="F18" s="5">
        <v>0.98186932529720217</v>
      </c>
      <c r="G18" s="5">
        <v>6.5791005111393462E-3</v>
      </c>
      <c r="H18" s="5">
        <v>0.62569723376525155</v>
      </c>
      <c r="I18" s="5">
        <v>0.34842621106147043</v>
      </c>
      <c r="J18" s="5">
        <v>0.64353090776525568</v>
      </c>
      <c r="K18" s="5">
        <v>2.3336703911916317</v>
      </c>
      <c r="L18" s="5">
        <v>1.8221638805966882E-2</v>
      </c>
      <c r="M18" s="5">
        <v>89.189676528697447</v>
      </c>
      <c r="N18" s="5"/>
      <c r="O18" s="5">
        <v>628.97909577053963</v>
      </c>
      <c r="P18" s="5">
        <v>1.108540140412466</v>
      </c>
      <c r="Q18" s="5">
        <v>1.7319431232963531</v>
      </c>
      <c r="R18" s="5">
        <v>61.456147040752583</v>
      </c>
      <c r="S18" s="5">
        <v>3.4767145829142456</v>
      </c>
      <c r="T18" s="5">
        <v>8.1097893435893127</v>
      </c>
      <c r="U18" s="5">
        <v>17.543791495050396</v>
      </c>
      <c r="V18" s="5">
        <v>4.9248211867132996</v>
      </c>
      <c r="W18" s="5">
        <v>0.54511466637441874</v>
      </c>
      <c r="X18" s="5">
        <v>8.013847370221189</v>
      </c>
      <c r="Y18" s="5">
        <v>1.8988859018931152</v>
      </c>
      <c r="Z18" s="5">
        <v>32.370635623624281</v>
      </c>
      <c r="AA18" s="5">
        <v>99.346300813539358</v>
      </c>
      <c r="AB18" s="5">
        <v>16.564998790766321</v>
      </c>
      <c r="AC18" s="5">
        <v>2.1932224747943789</v>
      </c>
      <c r="AD18" s="5">
        <v>61.24820061724175</v>
      </c>
      <c r="AE18" s="5">
        <v>0.65066176076487015</v>
      </c>
      <c r="AF18" s="5">
        <v>14.4116986532719</v>
      </c>
      <c r="AG18" s="5">
        <v>0.36234585237632905</v>
      </c>
      <c r="AH18" s="5">
        <v>2.0355811407516184</v>
      </c>
      <c r="AI18" s="5">
        <v>90.33958449425127</v>
      </c>
      <c r="AJ18" s="5">
        <v>2.395740905057675</v>
      </c>
      <c r="AK18" s="5">
        <v>17.752363501338007</v>
      </c>
      <c r="AL18" s="5">
        <v>65.230788045706959</v>
      </c>
      <c r="AM18" s="5">
        <v>170.63044596010403</v>
      </c>
      <c r="AN18" s="5"/>
      <c r="AO18" s="5">
        <v>17.667515136455339</v>
      </c>
      <c r="AP18" s="5">
        <v>29.555016305284234</v>
      </c>
      <c r="AQ18" s="5">
        <v>3.1433180908161846</v>
      </c>
      <c r="AR18" s="5">
        <v>10.706772315097886</v>
      </c>
      <c r="AS18" s="5">
        <v>1.7423500259065443</v>
      </c>
      <c r="AT18" s="5">
        <v>0.4288306760597258</v>
      </c>
      <c r="AU18" s="5">
        <v>1.6234590634177672</v>
      </c>
      <c r="AV18" s="5">
        <v>0.33009523111031402</v>
      </c>
      <c r="AW18" s="5">
        <v>2.5774636765870773</v>
      </c>
      <c r="AX18" s="5">
        <v>0.65274678849492207</v>
      </c>
      <c r="AY18" s="5">
        <v>2.0236777705481819</v>
      </c>
      <c r="AZ18" s="5">
        <v>0.33001038465374588</v>
      </c>
      <c r="BA18" s="5">
        <v>2.3135960978469794</v>
      </c>
      <c r="BB18" s="5">
        <v>0.35610944010760398</v>
      </c>
    </row>
    <row r="19" spans="1:54" ht="15" customHeight="1" x14ac:dyDescent="0.2">
      <c r="A19" s="6">
        <v>16</v>
      </c>
      <c r="C19" s="5">
        <v>14.988841371198751</v>
      </c>
      <c r="D19" s="5">
        <v>65.576827509554263</v>
      </c>
      <c r="E19" s="5">
        <v>0.78236683300888132</v>
      </c>
      <c r="F19" s="5">
        <v>2.9997793567600288</v>
      </c>
      <c r="G19" s="5">
        <v>3.4370128532331415E-2</v>
      </c>
      <c r="H19" s="5">
        <v>1.2959250013552197</v>
      </c>
      <c r="I19" s="5">
        <v>0.43523274125703765</v>
      </c>
      <c r="J19" s="5">
        <v>1.4785794943233888</v>
      </c>
      <c r="K19" s="5">
        <v>2.7120129366789407</v>
      </c>
      <c r="L19" s="5">
        <v>3.4192369288843734E-2</v>
      </c>
      <c r="M19" s="5">
        <v>90.338127741957678</v>
      </c>
      <c r="N19" s="5"/>
      <c r="O19" s="5">
        <v>724.84200291686932</v>
      </c>
      <c r="P19" s="5">
        <v>2.3280360891857756</v>
      </c>
      <c r="Q19" s="5">
        <v>7.2530200280767474</v>
      </c>
      <c r="R19" s="5">
        <v>74.853843039865879</v>
      </c>
      <c r="S19" s="5">
        <v>5.3356885655090052</v>
      </c>
      <c r="T19" s="5">
        <v>31.236078718654746</v>
      </c>
      <c r="U19" s="5">
        <v>19.431732422966526</v>
      </c>
      <c r="V19" s="5">
        <v>6.8082951201898583</v>
      </c>
      <c r="W19" s="5">
        <v>0.68676632699142715</v>
      </c>
      <c r="X19" s="5">
        <v>8.153389531664649</v>
      </c>
      <c r="Y19" s="5">
        <v>11.28109509367294</v>
      </c>
      <c r="Z19" s="5">
        <v>15.752812288337353</v>
      </c>
      <c r="AA19" s="5">
        <v>114.51068716865178</v>
      </c>
      <c r="AB19" s="5">
        <v>20.331332309883198</v>
      </c>
      <c r="AC19" s="5">
        <v>2.6559276382531092</v>
      </c>
      <c r="AD19" s="5">
        <v>130.11848891595935</v>
      </c>
      <c r="AE19" s="5">
        <v>0.72949961214588965</v>
      </c>
      <c r="AF19" s="5">
        <v>11.694987414498151</v>
      </c>
      <c r="AG19" s="5">
        <v>0.51026981458239595</v>
      </c>
      <c r="AH19" s="5">
        <v>2.790811245146422</v>
      </c>
      <c r="AI19" s="5">
        <v>132.98211483056971</v>
      </c>
      <c r="AJ19" s="5">
        <v>2.2719609582963618</v>
      </c>
      <c r="AK19" s="5">
        <v>33.043012559987659</v>
      </c>
      <c r="AL19" s="5">
        <v>103.5887049334266</v>
      </c>
      <c r="AM19" s="5">
        <v>242.92975887883702</v>
      </c>
      <c r="AN19" s="5"/>
      <c r="AO19" s="5">
        <v>30.76737946538837</v>
      </c>
      <c r="AP19" s="5">
        <v>60.678176429402406</v>
      </c>
      <c r="AQ19" s="5">
        <v>7.2871853203992121</v>
      </c>
      <c r="AR19" s="5">
        <v>28.55139284026103</v>
      </c>
      <c r="AS19" s="5">
        <v>5.4730646368685516</v>
      </c>
      <c r="AT19" s="5">
        <v>1.256221627516138</v>
      </c>
      <c r="AU19" s="5">
        <v>4.9546045418901414</v>
      </c>
      <c r="AV19" s="5">
        <v>0.83740973084032455</v>
      </c>
      <c r="AW19" s="5">
        <v>5.4456496411271811</v>
      </c>
      <c r="AX19" s="5">
        <v>1.1780805401965411</v>
      </c>
      <c r="AY19" s="5">
        <v>3.4611118098139637</v>
      </c>
      <c r="AZ19" s="5">
        <v>0.51662339978532834</v>
      </c>
      <c r="BA19" s="5">
        <v>3.533054041087158</v>
      </c>
      <c r="BB19" s="5">
        <v>0.50122642374394666</v>
      </c>
    </row>
    <row r="21" spans="1:54" ht="15" customHeight="1" x14ac:dyDescent="0.2">
      <c r="A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15" customHeight="1" x14ac:dyDescent="0.2">
      <c r="A22" s="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5" customHeight="1" x14ac:dyDescent="0.2">
      <c r="A23" s="6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9" spans="1:54" ht="15" customHeight="1" x14ac:dyDescent="0.2">
      <c r="H29" s="11"/>
      <c r="I29" s="12"/>
      <c r="J29" s="12"/>
    </row>
    <row r="30" spans="1:54" ht="15" customHeight="1" x14ac:dyDescent="0.2">
      <c r="H30" s="12"/>
      <c r="I30" s="12"/>
      <c r="J30" s="12"/>
    </row>
    <row r="31" spans="1:54" ht="15" customHeight="1" x14ac:dyDescent="0.2">
      <c r="H31" s="11"/>
      <c r="I31" s="12"/>
      <c r="J31" s="12"/>
    </row>
    <row r="32" spans="1:54" ht="15" customHeight="1" x14ac:dyDescent="0.2">
      <c r="H32" s="11"/>
      <c r="I32" s="12"/>
      <c r="J32" s="12"/>
    </row>
    <row r="33" spans="8:10" ht="15" customHeight="1" x14ac:dyDescent="0.2">
      <c r="H33" s="11"/>
      <c r="I33" s="12"/>
      <c r="J33" s="12"/>
    </row>
    <row r="34" spans="8:10" ht="15" customHeight="1" x14ac:dyDescent="0.2">
      <c r="H34" s="11"/>
      <c r="I34" s="6"/>
      <c r="J34" s="12"/>
    </row>
    <row r="35" spans="8:10" ht="15" customHeight="1" x14ac:dyDescent="0.2">
      <c r="H35" s="11"/>
      <c r="I35" s="6"/>
      <c r="J35" s="12"/>
    </row>
    <row r="36" spans="8:10" ht="15" customHeight="1" x14ac:dyDescent="0.2">
      <c r="H36" s="11"/>
      <c r="I36" s="6"/>
      <c r="J36" s="12"/>
    </row>
    <row r="37" spans="8:10" ht="15" customHeight="1" x14ac:dyDescent="0.2">
      <c r="H37" s="11"/>
      <c r="I37" s="6"/>
      <c r="J37" s="12"/>
    </row>
    <row r="38" spans="8:10" ht="15" customHeight="1" x14ac:dyDescent="0.2">
      <c r="H38" s="11"/>
      <c r="I38" s="6"/>
      <c r="J38" s="12"/>
    </row>
    <row r="39" spans="8:10" ht="15" customHeight="1" x14ac:dyDescent="0.2">
      <c r="H39" s="11"/>
      <c r="I39" s="6"/>
      <c r="J39" s="12"/>
    </row>
    <row r="40" spans="8:10" ht="15" customHeight="1" x14ac:dyDescent="0.2">
      <c r="H40" s="11"/>
      <c r="I40" s="6"/>
      <c r="J40" s="12"/>
    </row>
    <row r="41" spans="8:10" ht="15" customHeight="1" x14ac:dyDescent="0.2">
      <c r="H41" s="11"/>
      <c r="I41" s="6"/>
      <c r="J41" s="12"/>
    </row>
    <row r="42" spans="8:10" ht="15" customHeight="1" x14ac:dyDescent="0.2">
      <c r="H42" s="11"/>
      <c r="I42" s="6"/>
      <c r="J42" s="12"/>
    </row>
    <row r="43" spans="8:10" ht="15" customHeight="1" x14ac:dyDescent="0.2">
      <c r="H43" s="11"/>
      <c r="I43" s="6"/>
      <c r="J43" s="12"/>
    </row>
    <row r="44" spans="8:10" ht="15" customHeight="1" x14ac:dyDescent="0.2">
      <c r="H44" s="11"/>
      <c r="I44" s="6"/>
      <c r="J44" s="12"/>
    </row>
    <row r="45" spans="8:10" ht="15" customHeight="1" x14ac:dyDescent="0.2">
      <c r="H45" s="11"/>
      <c r="I45" s="6"/>
      <c r="J45" s="12"/>
    </row>
    <row r="46" spans="8:10" ht="15" customHeight="1" x14ac:dyDescent="0.2">
      <c r="H46" s="11"/>
      <c r="I46" s="6"/>
      <c r="J46" s="12"/>
    </row>
    <row r="47" spans="8:10" ht="15" customHeight="1" x14ac:dyDescent="0.2">
      <c r="H47" s="11"/>
      <c r="I47" s="6"/>
      <c r="J47" s="12"/>
    </row>
    <row r="48" spans="8:10" ht="15" customHeight="1" x14ac:dyDescent="0.2">
      <c r="H48" s="11"/>
      <c r="I48" s="6"/>
      <c r="J48" s="12"/>
    </row>
    <row r="49" spans="8:39" ht="15" customHeight="1" x14ac:dyDescent="0.2">
      <c r="H49" s="11"/>
      <c r="I49" s="6"/>
      <c r="J49" s="12"/>
    </row>
    <row r="50" spans="8:39" ht="15" customHeight="1" x14ac:dyDescent="0.2">
      <c r="H50" s="11"/>
      <c r="I50" s="12"/>
      <c r="J50" s="12"/>
    </row>
    <row r="51" spans="8:39" ht="15" customHeight="1" x14ac:dyDescent="0.2">
      <c r="H51" s="11"/>
      <c r="I51" s="12"/>
      <c r="J51" s="12"/>
    </row>
    <row r="52" spans="8:39" ht="15" customHeight="1" x14ac:dyDescent="0.2">
      <c r="H52" s="11"/>
      <c r="I52" s="12"/>
      <c r="J52" s="12"/>
      <c r="K52" s="11"/>
      <c r="L52" s="11"/>
      <c r="M52" s="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"/>
      <c r="AM52" s="1"/>
    </row>
    <row r="53" spans="8:39" ht="15" customHeight="1" x14ac:dyDescent="0.2">
      <c r="H53" s="11"/>
      <c r="I53" s="12"/>
      <c r="J53" s="12"/>
      <c r="K53" s="11"/>
      <c r="L53" s="11"/>
      <c r="M53" s="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"/>
      <c r="AM53" s="1"/>
    </row>
    <row r="54" spans="8:39" ht="15" customHeight="1" x14ac:dyDescent="0.2">
      <c r="H54" s="11"/>
      <c r="I54" s="12"/>
      <c r="J54" s="12"/>
      <c r="K54" s="11"/>
      <c r="L54" s="11"/>
      <c r="M54" s="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"/>
      <c r="AM54" s="1"/>
    </row>
    <row r="55" spans="8:39" ht="15" customHeight="1" x14ac:dyDescent="0.2">
      <c r="H55" s="11"/>
      <c r="I55" s="12"/>
      <c r="J55" s="12"/>
      <c r="K55" s="11"/>
      <c r="L55" s="11"/>
      <c r="M55" s="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"/>
      <c r="AM55" s="1"/>
    </row>
    <row r="56" spans="8:39" ht="15" customHeight="1" x14ac:dyDescent="0.2">
      <c r="H56" s="11"/>
      <c r="I56" s="12"/>
      <c r="J56" s="12"/>
      <c r="K56" s="11"/>
      <c r="L56" s="11"/>
      <c r="M56" s="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"/>
      <c r="AM56" s="1"/>
    </row>
    <row r="57" spans="8:39" ht="15" customHeight="1" x14ac:dyDescent="0.2">
      <c r="H57" s="11"/>
      <c r="I57" s="12"/>
      <c r="J57" s="12"/>
      <c r="K57" s="11"/>
      <c r="L57" s="11"/>
      <c r="M57" s="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"/>
      <c r="AM57" s="1"/>
    </row>
    <row r="58" spans="8:39" ht="15" customHeight="1" x14ac:dyDescent="0.2">
      <c r="H58" s="11"/>
      <c r="I58" s="12"/>
      <c r="J58" s="12"/>
      <c r="K58" s="11"/>
      <c r="L58" s="11"/>
      <c r="M58" s="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"/>
      <c r="AM58" s="1"/>
    </row>
    <row r="59" spans="8:39" ht="15" customHeight="1" x14ac:dyDescent="0.2">
      <c r="H59" s="11"/>
      <c r="I59" s="12"/>
      <c r="J59" s="12"/>
      <c r="K59" s="11"/>
      <c r="L59" s="11"/>
      <c r="M59" s="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"/>
      <c r="AM59" s="1"/>
    </row>
    <row r="60" spans="8:39" ht="15" customHeight="1" x14ac:dyDescent="0.2">
      <c r="H60" s="11"/>
      <c r="I60" s="12"/>
      <c r="J60" s="12"/>
      <c r="K60" s="11"/>
      <c r="L60" s="11"/>
      <c r="M60" s="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"/>
      <c r="AM60" s="1"/>
    </row>
    <row r="61" spans="8:39" ht="15" customHeight="1" x14ac:dyDescent="0.2">
      <c r="H61" s="11"/>
      <c r="I61" s="12"/>
      <c r="J61" s="12"/>
      <c r="K61" s="11"/>
      <c r="L61" s="11"/>
      <c r="M61" s="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"/>
      <c r="AM61" s="1"/>
    </row>
    <row r="62" spans="8:39" ht="15" customHeight="1" x14ac:dyDescent="0.2">
      <c r="H62" s="11"/>
      <c r="I62" s="12"/>
      <c r="J62" s="12"/>
      <c r="K62" s="11"/>
      <c r="L62" s="11"/>
      <c r="M62" s="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"/>
      <c r="AM62" s="1"/>
    </row>
    <row r="63" spans="8:39" ht="15" customHeight="1" x14ac:dyDescent="0.2">
      <c r="H63" s="11"/>
      <c r="I63" s="12"/>
      <c r="J63" s="12"/>
      <c r="K63" s="11"/>
      <c r="L63" s="11"/>
      <c r="M63" s="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"/>
      <c r="AM63" s="1"/>
    </row>
    <row r="64" spans="8:39" ht="15" customHeight="1" x14ac:dyDescent="0.2">
      <c r="H64" s="11"/>
      <c r="I64" s="12"/>
      <c r="J64" s="12"/>
      <c r="K64" s="11"/>
      <c r="L64" s="11"/>
      <c r="M64" s="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"/>
      <c r="AM64" s="1"/>
    </row>
    <row r="65" spans="8:39" ht="15" customHeight="1" x14ac:dyDescent="0.2">
      <c r="H65" s="11"/>
      <c r="I65" s="12"/>
      <c r="J65" s="12"/>
      <c r="K65" s="11"/>
      <c r="L65" s="11"/>
      <c r="M65" s="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"/>
      <c r="AM65" s="1"/>
    </row>
    <row r="66" spans="8:39" ht="15" customHeight="1" x14ac:dyDescent="0.2">
      <c r="H66" s="11"/>
      <c r="I66" s="12"/>
      <c r="J66" s="12"/>
      <c r="K66" s="11"/>
      <c r="L66" s="11"/>
      <c r="M66" s="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"/>
      <c r="AM66" s="1"/>
    </row>
    <row r="67" spans="8:39" ht="15" customHeight="1" x14ac:dyDescent="0.2">
      <c r="H67" s="11"/>
      <c r="I67" s="12"/>
      <c r="J67" s="12"/>
      <c r="K67" s="11"/>
      <c r="L67" s="11"/>
      <c r="M67" s="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"/>
      <c r="AM67" s="1"/>
    </row>
    <row r="68" spans="8:39" ht="15" customHeight="1" x14ac:dyDescent="0.2">
      <c r="H68" s="11"/>
      <c r="I68" s="12"/>
      <c r="J68" s="12"/>
      <c r="K68" s="11"/>
      <c r="L68" s="11"/>
      <c r="M68" s="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"/>
      <c r="AM68" s="1"/>
    </row>
    <row r="69" spans="8:39" ht="15" customHeight="1" x14ac:dyDescent="0.2">
      <c r="H69" s="11"/>
      <c r="I69" s="12"/>
      <c r="J69" s="12"/>
      <c r="K69" s="11"/>
      <c r="L69" s="11"/>
      <c r="M69" s="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"/>
      <c r="AM69" s="1"/>
    </row>
    <row r="70" spans="8:39" ht="15" customHeight="1" x14ac:dyDescent="0.2">
      <c r="H70" s="11"/>
      <c r="I70" s="12"/>
      <c r="J70" s="12"/>
      <c r="K70" s="11"/>
      <c r="L70" s="11"/>
      <c r="M70" s="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"/>
      <c r="AM70" s="1"/>
    </row>
    <row r="71" spans="8:39" ht="15" customHeight="1" x14ac:dyDescent="0.2">
      <c r="H71" s="11"/>
      <c r="I71" s="12"/>
      <c r="J71" s="12"/>
      <c r="K71" s="11"/>
      <c r="L71" s="11"/>
      <c r="M71" s="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"/>
      <c r="AM71" s="1"/>
    </row>
    <row r="72" spans="8:39" ht="15" customHeight="1" x14ac:dyDescent="0.2">
      <c r="H72" s="11"/>
      <c r="I72" s="12"/>
      <c r="J72" s="12"/>
      <c r="K72" s="11"/>
      <c r="L72" s="11"/>
      <c r="M72" s="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"/>
      <c r="AM72" s="1"/>
    </row>
    <row r="73" spans="8:39" ht="15" customHeight="1" x14ac:dyDescent="0.2">
      <c r="H73" s="11"/>
      <c r="I73" s="12"/>
      <c r="J73" s="12"/>
      <c r="K73" s="1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"/>
      <c r="AM73" s="1"/>
    </row>
    <row r="74" spans="8:39" ht="15" customHeight="1" x14ac:dyDescent="0.2">
      <c r="H74" s="11"/>
      <c r="I74" s="12"/>
      <c r="X74" s="1"/>
      <c r="Y74" s="1"/>
      <c r="Z74" s="1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"/>
      <c r="AM74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12CA1-1B63-4829-93AB-CA617859D697}">
  <dimension ref="A1:AA42"/>
  <sheetViews>
    <sheetView zoomScale="70" zoomScaleNormal="70" workbookViewId="0">
      <selection activeCell="K50" sqref="K50"/>
    </sheetView>
  </sheetViews>
  <sheetFormatPr defaultColWidth="9.28515625" defaultRowHeight="15" customHeight="1" x14ac:dyDescent="0.25"/>
  <cols>
    <col min="1" max="4" width="9.28515625" style="1"/>
    <col min="5" max="5" width="9.7109375" style="1" customWidth="1"/>
    <col min="6" max="16384" width="9.28515625" style="1"/>
  </cols>
  <sheetData>
    <row r="1" spans="1:27" ht="12.75" x14ac:dyDescent="0.2">
      <c r="A1" s="6" t="s">
        <v>1</v>
      </c>
      <c r="B1" s="6"/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21</v>
      </c>
      <c r="M1" s="6" t="s">
        <v>22</v>
      </c>
      <c r="N1" s="6" t="s">
        <v>23</v>
      </c>
      <c r="O1" s="6" t="s">
        <v>24</v>
      </c>
      <c r="P1" s="6" t="s">
        <v>25</v>
      </c>
      <c r="Q1" s="6" t="s">
        <v>26</v>
      </c>
      <c r="R1" s="6" t="s">
        <v>27</v>
      </c>
      <c r="S1" s="6" t="s">
        <v>28</v>
      </c>
      <c r="T1" s="6" t="s">
        <v>29</v>
      </c>
      <c r="U1" s="6" t="s">
        <v>30</v>
      </c>
      <c r="V1" s="6" t="s">
        <v>31</v>
      </c>
      <c r="W1" s="6" t="s">
        <v>32</v>
      </c>
      <c r="X1" s="6" t="s">
        <v>33</v>
      </c>
      <c r="Y1" s="6" t="s">
        <v>34</v>
      </c>
      <c r="Z1" s="6" t="s">
        <v>35</v>
      </c>
      <c r="AA1" s="6" t="s">
        <v>36</v>
      </c>
    </row>
    <row r="2" spans="1:27" ht="12.75" x14ac:dyDescent="0.2">
      <c r="A2" s="6"/>
      <c r="B2" s="6"/>
      <c r="C2" s="6" t="s">
        <v>52</v>
      </c>
      <c r="D2" s="6" t="s">
        <v>52</v>
      </c>
      <c r="E2" s="6" t="s">
        <v>52</v>
      </c>
      <c r="F2" s="6" t="s">
        <v>52</v>
      </c>
      <c r="G2" s="6" t="s">
        <v>52</v>
      </c>
      <c r="H2" s="6" t="s">
        <v>52</v>
      </c>
      <c r="I2" s="6" t="s">
        <v>52</v>
      </c>
      <c r="J2" s="6" t="s">
        <v>52</v>
      </c>
      <c r="K2" s="6" t="s">
        <v>52</v>
      </c>
      <c r="L2" s="6" t="s">
        <v>52</v>
      </c>
      <c r="M2" s="6" t="s">
        <v>52</v>
      </c>
      <c r="N2" s="6" t="s">
        <v>52</v>
      </c>
      <c r="O2" s="6" t="s">
        <v>52</v>
      </c>
      <c r="P2" s="6" t="s">
        <v>52</v>
      </c>
      <c r="Q2" s="6" t="s">
        <v>52</v>
      </c>
      <c r="R2" s="6" t="s">
        <v>52</v>
      </c>
      <c r="S2" s="6" t="s">
        <v>52</v>
      </c>
      <c r="T2" s="6" t="s">
        <v>52</v>
      </c>
      <c r="U2" s="6" t="s">
        <v>52</v>
      </c>
      <c r="V2" s="6" t="s">
        <v>52</v>
      </c>
      <c r="W2" s="6" t="s">
        <v>52</v>
      </c>
      <c r="X2" s="6" t="s">
        <v>52</v>
      </c>
      <c r="Y2" s="6" t="s">
        <v>52</v>
      </c>
      <c r="Z2" s="6" t="s">
        <v>52</v>
      </c>
      <c r="AA2" s="6" t="s">
        <v>52</v>
      </c>
    </row>
    <row r="3" spans="1:27" ht="12.75" x14ac:dyDescent="0.2">
      <c r="A3" s="6">
        <v>1</v>
      </c>
      <c r="B3" s="4"/>
      <c r="C3" s="5">
        <v>1083.1793874574623</v>
      </c>
      <c r="D3" s="5">
        <v>1.2459624718685567</v>
      </c>
      <c r="E3" s="5">
        <v>1.2227274514821087</v>
      </c>
      <c r="F3" s="5">
        <v>51.621982233174201</v>
      </c>
      <c r="G3" s="5">
        <v>7.6131286193976067</v>
      </c>
      <c r="H3" s="5">
        <v>13.020028973258839</v>
      </c>
      <c r="I3" s="5">
        <v>17.292735520593464</v>
      </c>
      <c r="J3" s="5">
        <v>4.4114973482862858</v>
      </c>
      <c r="K3" s="5">
        <v>2.8564790044422943</v>
      </c>
      <c r="L3" s="5">
        <v>8.9483867753812572</v>
      </c>
      <c r="M3" s="5">
        <v>3.1067309001423911</v>
      </c>
      <c r="N3" s="5">
        <v>11.67764913381933</v>
      </c>
      <c r="O3" s="5">
        <v>161.88057704034651</v>
      </c>
      <c r="P3" s="5">
        <v>14.641764653344936</v>
      </c>
      <c r="Q3" s="5">
        <v>2.5674995403476624</v>
      </c>
      <c r="R3" s="5">
        <v>85.733403129634425</v>
      </c>
      <c r="S3" s="5">
        <v>0.73149550711756095</v>
      </c>
      <c r="T3" s="5">
        <v>10.260887057970743</v>
      </c>
      <c r="U3" s="5">
        <v>0.56591093798100833</v>
      </c>
      <c r="V3" s="5">
        <v>2.4554812118148748</v>
      </c>
      <c r="W3" s="5">
        <v>102.89566351143628</v>
      </c>
      <c r="X3" s="5">
        <v>3.8681233362910379</v>
      </c>
      <c r="Y3" s="5">
        <v>23.576419621844614</v>
      </c>
      <c r="Z3" s="5">
        <v>60.580460991994563</v>
      </c>
      <c r="AA3" s="5">
        <v>140.93790113272001</v>
      </c>
    </row>
    <row r="4" spans="1:27" ht="12.75" x14ac:dyDescent="0.2">
      <c r="A4" s="6">
        <v>2</v>
      </c>
      <c r="B4" s="4"/>
      <c r="C4" s="5">
        <v>1311.8619348565874</v>
      </c>
      <c r="D4" s="5">
        <v>2.336179634753544</v>
      </c>
      <c r="E4" s="5">
        <v>6.5323934585831349</v>
      </c>
      <c r="F4" s="5">
        <v>76.448572468121824</v>
      </c>
      <c r="G4" s="5">
        <v>6.5576094936870222</v>
      </c>
      <c r="H4" s="5">
        <v>26.279874289847083</v>
      </c>
      <c r="I4" s="5">
        <v>18.919578235074383</v>
      </c>
      <c r="J4" s="5">
        <v>6.4792661184913403</v>
      </c>
      <c r="K4" s="5">
        <v>1.0833909767190508</v>
      </c>
      <c r="L4" s="5">
        <v>8.3627027738298363</v>
      </c>
      <c r="M4" s="5">
        <v>23.211886763421283</v>
      </c>
      <c r="N4" s="5">
        <v>17.252164769716622</v>
      </c>
      <c r="O4" s="5">
        <v>110.99808940274222</v>
      </c>
      <c r="P4" s="5">
        <v>16.851194346930217</v>
      </c>
      <c r="Q4" s="5">
        <v>2.2580011976786012</v>
      </c>
      <c r="R4" s="5">
        <v>119.25852229855315</v>
      </c>
      <c r="S4" s="5">
        <v>0.7125345048866828</v>
      </c>
      <c r="T4" s="5">
        <v>10.775951270526361</v>
      </c>
      <c r="U4" s="5">
        <v>0.31484733240190388</v>
      </c>
      <c r="V4" s="5">
        <v>2.6246212872782944</v>
      </c>
      <c r="W4" s="5">
        <v>112.52332793355899</v>
      </c>
      <c r="X4" s="5">
        <v>1.9225820763087842</v>
      </c>
      <c r="Y4" s="5">
        <v>29.370454834513559</v>
      </c>
      <c r="Z4" s="5">
        <v>202.71154255013568</v>
      </c>
      <c r="AA4" s="5">
        <v>233.06613953549368</v>
      </c>
    </row>
    <row r="5" spans="1:27" ht="12.75" x14ac:dyDescent="0.2">
      <c r="A5" s="6">
        <v>3</v>
      </c>
      <c r="B5" s="4"/>
      <c r="C5" s="5">
        <v>1124.0155566358776</v>
      </c>
      <c r="D5" s="5">
        <v>2.6354549343690308</v>
      </c>
      <c r="E5" s="5">
        <v>11.922354950860461</v>
      </c>
      <c r="F5" s="5">
        <v>58.443880342935778</v>
      </c>
      <c r="G5" s="5">
        <v>7.2813096405128421</v>
      </c>
      <c r="H5" s="5">
        <v>31.785657838784626</v>
      </c>
      <c r="I5" s="5">
        <v>16.840834766570989</v>
      </c>
      <c r="J5" s="5">
        <v>4.9016637203180951</v>
      </c>
      <c r="K5" s="5">
        <v>1.0364993925147996</v>
      </c>
      <c r="L5" s="5">
        <v>8.1258741758870645</v>
      </c>
      <c r="M5" s="5">
        <v>25.820516955239199</v>
      </c>
      <c r="N5" s="5">
        <v>14.887801241387772</v>
      </c>
      <c r="O5" s="5">
        <v>116.71860576436637</v>
      </c>
      <c r="P5" s="5">
        <v>17.58385497070979</v>
      </c>
      <c r="Q5" s="5">
        <v>2.2158436161190278</v>
      </c>
      <c r="R5" s="5">
        <v>110.61077110321118</v>
      </c>
      <c r="S5" s="5">
        <v>0.68159813282577653</v>
      </c>
      <c r="T5" s="5">
        <v>9.6246312659902742</v>
      </c>
      <c r="U5" s="5">
        <v>0.53605472542565535</v>
      </c>
      <c r="V5" s="5">
        <v>2.3895952521866826</v>
      </c>
      <c r="W5" s="5">
        <v>112.52332793355899</v>
      </c>
      <c r="X5" s="5">
        <v>3.591614906832298</v>
      </c>
      <c r="Y5" s="5">
        <v>35.995068497357842</v>
      </c>
      <c r="Z5" s="5">
        <v>142.61650191865388</v>
      </c>
      <c r="AA5" s="5">
        <v>167.88490243154453</v>
      </c>
    </row>
    <row r="6" spans="1:27" ht="12.75" x14ac:dyDescent="0.2">
      <c r="A6" s="6">
        <v>4</v>
      </c>
      <c r="B6" s="4"/>
      <c r="C6" s="5">
        <v>1276.1302868254741</v>
      </c>
      <c r="D6" s="5">
        <v>2.7128186172628297</v>
      </c>
      <c r="E6" s="5">
        <v>21.811912808650085</v>
      </c>
      <c r="F6" s="5">
        <v>57.075563117456902</v>
      </c>
      <c r="G6" s="5">
        <v>6.9750909389307605</v>
      </c>
      <c r="H6" s="5">
        <v>27.399017225384299</v>
      </c>
      <c r="I6" s="5">
        <v>17.4534113442459</v>
      </c>
      <c r="J6" s="5">
        <v>4.8428051598969528</v>
      </c>
      <c r="K6" s="5">
        <v>1.0706911726637329</v>
      </c>
      <c r="L6" s="5">
        <v>8.9356117887702364</v>
      </c>
      <c r="M6" s="5">
        <v>23.930490552110747</v>
      </c>
      <c r="N6" s="5">
        <v>20.010588886100283</v>
      </c>
      <c r="O6" s="5">
        <v>102.86893457306581</v>
      </c>
      <c r="P6" s="5">
        <v>18.511128572680818</v>
      </c>
      <c r="Q6" s="5">
        <v>2.1932224747943789</v>
      </c>
      <c r="R6" s="5">
        <v>377.28328470840756</v>
      </c>
      <c r="S6" s="5">
        <v>0.7145303998583542</v>
      </c>
      <c r="T6" s="5">
        <v>9.7690512314715559</v>
      </c>
      <c r="U6" s="5">
        <v>0.31620443297260176</v>
      </c>
      <c r="V6" s="5">
        <v>2.4013957225678513</v>
      </c>
      <c r="W6" s="5">
        <v>100.48874740590561</v>
      </c>
      <c r="X6" s="5">
        <v>1.9994454303460516</v>
      </c>
      <c r="Y6" s="5">
        <v>47.723236492604826</v>
      </c>
      <c r="Z6" s="5">
        <v>301.05770759002428</v>
      </c>
      <c r="AA6" s="5">
        <v>164.12249092944452</v>
      </c>
    </row>
    <row r="7" spans="1:27" ht="12.75" x14ac:dyDescent="0.2">
      <c r="A7" s="6">
        <v>5</v>
      </c>
      <c r="B7" s="4"/>
      <c r="C7" s="5">
        <v>832.03694701020913</v>
      </c>
      <c r="D7" s="5">
        <v>2.2537262358798893</v>
      </c>
      <c r="E7" s="5">
        <v>14.077119869515547</v>
      </c>
      <c r="F7" s="5">
        <v>56.858994923496219</v>
      </c>
      <c r="G7" s="5">
        <v>8.8941271105818114</v>
      </c>
      <c r="H7" s="5">
        <v>31.316017499764545</v>
      </c>
      <c r="I7" s="5">
        <v>17.563875973006951</v>
      </c>
      <c r="J7" s="5">
        <v>4.8910498815536272</v>
      </c>
      <c r="K7" s="5">
        <v>0.80204147149354432</v>
      </c>
      <c r="L7" s="5">
        <v>7.9509551284438551</v>
      </c>
      <c r="M7" s="5">
        <v>20.967480409706251</v>
      </c>
      <c r="N7" s="5">
        <v>20.519984280415038</v>
      </c>
      <c r="O7" s="5">
        <v>135.98771350878457</v>
      </c>
      <c r="P7" s="5">
        <v>21.075440755909327</v>
      </c>
      <c r="Q7" s="5">
        <v>2.5500195675058883</v>
      </c>
      <c r="R7" s="5">
        <v>122.27517969227709</v>
      </c>
      <c r="S7" s="5">
        <v>0.68958171271246194</v>
      </c>
      <c r="T7" s="5">
        <v>10.907242148236618</v>
      </c>
      <c r="U7" s="5">
        <v>0.71247779961637736</v>
      </c>
      <c r="V7" s="5">
        <v>2.8606306949016704</v>
      </c>
      <c r="W7" s="5">
        <v>116.53485477611011</v>
      </c>
      <c r="X7" s="5">
        <v>2.5175244010647733</v>
      </c>
      <c r="Y7" s="5">
        <v>39.067208066078685</v>
      </c>
      <c r="Z7" s="5">
        <v>95.268599954237601</v>
      </c>
      <c r="AA7" s="5">
        <v>166.3596004712337</v>
      </c>
    </row>
    <row r="8" spans="1:27" ht="12.75" x14ac:dyDescent="0.2">
      <c r="A8" s="6">
        <v>6</v>
      </c>
      <c r="B8" s="4"/>
      <c r="C8" s="5">
        <v>462.77588721438991</v>
      </c>
      <c r="D8" s="5">
        <v>1.6846959893320763</v>
      </c>
      <c r="E8" s="5">
        <v>9.0002091295711324</v>
      </c>
      <c r="F8" s="5">
        <v>54.417680737030317</v>
      </c>
      <c r="G8" s="5">
        <v>5.8299708426607904</v>
      </c>
      <c r="H8" s="5">
        <v>22.063103586305079</v>
      </c>
      <c r="I8" s="5">
        <v>15.726146239982212</v>
      </c>
      <c r="J8" s="5">
        <v>5.4294609752421108</v>
      </c>
      <c r="K8" s="5">
        <v>1.2650958655105236</v>
      </c>
      <c r="L8" s="5">
        <v>7.8064995106115429</v>
      </c>
      <c r="M8" s="5">
        <v>17.837124179524753</v>
      </c>
      <c r="N8" s="5">
        <v>17.031106391051729</v>
      </c>
      <c r="O8" s="5">
        <v>120.83336314728902</v>
      </c>
      <c r="P8" s="5">
        <v>13.909104029565363</v>
      </c>
      <c r="Q8" s="5">
        <v>2.4790714424422164</v>
      </c>
      <c r="R8" s="5">
        <v>108.19744518823202</v>
      </c>
      <c r="S8" s="5">
        <v>0.65664944567988426</v>
      </c>
      <c r="T8" s="5">
        <v>10.755752673955554</v>
      </c>
      <c r="U8" s="5">
        <v>0.45598579175448151</v>
      </c>
      <c r="V8" s="5">
        <v>2.7268920305817574</v>
      </c>
      <c r="W8" s="5">
        <v>83.289326068467673</v>
      </c>
      <c r="X8" s="5">
        <v>2.1621561668145519</v>
      </c>
      <c r="Y8" s="5">
        <v>28.269688213799252</v>
      </c>
      <c r="Z8" s="5">
        <v>114.55920508101536</v>
      </c>
      <c r="AA8" s="5">
        <v>192.39142059387174</v>
      </c>
    </row>
    <row r="9" spans="1:27" ht="12.75" x14ac:dyDescent="0.2">
      <c r="A9" s="6">
        <v>7</v>
      </c>
      <c r="B9" s="4"/>
      <c r="C9" s="5">
        <v>532.70782693242586</v>
      </c>
      <c r="D9" s="5">
        <v>1.7447546378943679</v>
      </c>
      <c r="E9" s="5">
        <v>10.753496622344729</v>
      </c>
      <c r="F9" s="5">
        <v>53.256087696695737</v>
      </c>
      <c r="G9" s="5">
        <v>5.8348939729113054</v>
      </c>
      <c r="H9" s="5">
        <v>32.64499973571499</v>
      </c>
      <c r="I9" s="5">
        <v>16.368849534591956</v>
      </c>
      <c r="J9" s="5">
        <v>4.4896537973700976</v>
      </c>
      <c r="K9" s="5">
        <v>1.0316148524935236</v>
      </c>
      <c r="L9" s="5">
        <v>7.4350422076141651</v>
      </c>
      <c r="M9" s="5">
        <v>18.654166843377155</v>
      </c>
      <c r="N9" s="5">
        <v>14.368794613218023</v>
      </c>
      <c r="O9" s="5">
        <v>97.720469847604079</v>
      </c>
      <c r="P9" s="5">
        <v>17.995976571585803</v>
      </c>
      <c r="Q9" s="5">
        <v>2.2837070400929753</v>
      </c>
      <c r="R9" s="5">
        <v>105.48245353388049</v>
      </c>
      <c r="S9" s="5">
        <v>0.62671102110481347</v>
      </c>
      <c r="T9" s="5">
        <v>8.9287896141259182</v>
      </c>
      <c r="U9" s="5">
        <v>0.33384674039167395</v>
      </c>
      <c r="V9" s="5">
        <v>2.2548732153350053</v>
      </c>
      <c r="W9" s="5">
        <v>110.21669999909209</v>
      </c>
      <c r="X9" s="5">
        <v>3.643522626441881</v>
      </c>
      <c r="Y9" s="5">
        <v>30.711388717929172</v>
      </c>
      <c r="Z9" s="5">
        <v>97.375324318863051</v>
      </c>
      <c r="AA9" s="5">
        <v>158.63140387232556</v>
      </c>
    </row>
    <row r="10" spans="1:27" ht="12.75" x14ac:dyDescent="0.2">
      <c r="A10" s="6">
        <v>8</v>
      </c>
      <c r="B10" s="4"/>
      <c r="C10" s="5">
        <v>354.66212931453572</v>
      </c>
      <c r="D10" s="5">
        <v>1.8679257646068641</v>
      </c>
      <c r="E10" s="5">
        <v>9.342735439753568</v>
      </c>
      <c r="F10" s="5">
        <v>48.698311614704949</v>
      </c>
      <c r="G10" s="5">
        <v>9.4730872280424698</v>
      </c>
      <c r="H10" s="5">
        <v>29.197639800354818</v>
      </c>
      <c r="I10" s="5">
        <v>18.558057631856403</v>
      </c>
      <c r="J10" s="5">
        <v>3.4195858710250651</v>
      </c>
      <c r="K10" s="5">
        <v>0.64671309881696271</v>
      </c>
      <c r="L10" s="5">
        <v>6.4425240170656188</v>
      </c>
      <c r="M10" s="5">
        <v>19.028234568996325</v>
      </c>
      <c r="N10" s="5">
        <v>13.177001615198602</v>
      </c>
      <c r="O10" s="5">
        <v>136.69023306196647</v>
      </c>
      <c r="P10" s="5">
        <v>18.247828661010029</v>
      </c>
      <c r="Q10" s="5">
        <v>2.4482244315449675</v>
      </c>
      <c r="R10" s="5">
        <v>82.093303207874186</v>
      </c>
      <c r="S10" s="5">
        <v>0.62072333618979936</v>
      </c>
      <c r="T10" s="5">
        <v>9.4620325635952653</v>
      </c>
      <c r="U10" s="5">
        <v>0.44241478604750289</v>
      </c>
      <c r="V10" s="5">
        <v>1.8772581631376037</v>
      </c>
      <c r="W10" s="5">
        <v>100.9901882612245</v>
      </c>
      <c r="X10" s="5">
        <v>2.1142413487133984</v>
      </c>
      <c r="Y10" s="5">
        <v>23.146119942838112</v>
      </c>
      <c r="Z10" s="5">
        <v>116.11255023465624</v>
      </c>
      <c r="AA10" s="5">
        <v>111.55041669739816</v>
      </c>
    </row>
    <row r="11" spans="1:27" ht="12.75" x14ac:dyDescent="0.2">
      <c r="A11" s="6">
        <v>9</v>
      </c>
      <c r="B11" s="4"/>
      <c r="C11" s="5">
        <v>399.68400583373847</v>
      </c>
      <c r="D11" s="5">
        <v>1.7457725810903391</v>
      </c>
      <c r="E11" s="5">
        <v>6.3250481550899096</v>
      </c>
      <c r="F11" s="5">
        <v>62.529144001739617</v>
      </c>
      <c r="G11" s="5">
        <v>8.0808259931966067</v>
      </c>
      <c r="H11" s="5">
        <v>27.069269753306369</v>
      </c>
      <c r="I11" s="5">
        <v>17.192313130810692</v>
      </c>
      <c r="J11" s="5">
        <v>4.813858326902948</v>
      </c>
      <c r="K11" s="5">
        <v>0.87433266380843144</v>
      </c>
      <c r="L11" s="5">
        <v>8.4875045661067343</v>
      </c>
      <c r="M11" s="5">
        <v>15.002084574832077</v>
      </c>
      <c r="N11" s="5">
        <v>11.802595173934268</v>
      </c>
      <c r="O11" s="5">
        <v>114.51068716865178</v>
      </c>
      <c r="P11" s="5">
        <v>16.885537813669885</v>
      </c>
      <c r="Q11" s="5">
        <v>2.5130031544291902</v>
      </c>
      <c r="R11" s="5">
        <v>96.020204842233056</v>
      </c>
      <c r="S11" s="5">
        <v>0.70854271494334009</v>
      </c>
      <c r="T11" s="5">
        <v>10.876944253380405</v>
      </c>
      <c r="U11" s="5">
        <v>0.40034466835586913</v>
      </c>
      <c r="V11" s="5">
        <v>2.4987496032124938</v>
      </c>
      <c r="W11" s="5">
        <v>117.036295631429</v>
      </c>
      <c r="X11" s="5">
        <v>1.9096051464063886</v>
      </c>
      <c r="Y11" s="5">
        <v>29.340433926675896</v>
      </c>
      <c r="Z11" s="5">
        <v>87.17178834088449</v>
      </c>
      <c r="AA11" s="5">
        <v>172.76586870453917</v>
      </c>
    </row>
    <row r="12" spans="1:27" ht="12.75" x14ac:dyDescent="0.2">
      <c r="A12" s="6">
        <v>10</v>
      </c>
      <c r="B12" s="4"/>
      <c r="C12" s="5">
        <v>540.05833738454066</v>
      </c>
      <c r="D12" s="5">
        <v>1.6877498189199893</v>
      </c>
      <c r="E12" s="5">
        <v>9.5653267214448245</v>
      </c>
      <c r="F12" s="5">
        <v>55.175669415892713</v>
      </c>
      <c r="G12" s="5">
        <v>7.0942306909932427</v>
      </c>
      <c r="H12" s="5">
        <v>33.973981971665431</v>
      </c>
      <c r="I12" s="5">
        <v>16.770539093723048</v>
      </c>
      <c r="J12" s="5">
        <v>4.466496330974894</v>
      </c>
      <c r="K12" s="5">
        <v>0.9642082001999126</v>
      </c>
      <c r="L12" s="5">
        <v>8.023674282998897</v>
      </c>
      <c r="M12" s="5">
        <v>18.979015131414858</v>
      </c>
      <c r="N12" s="5">
        <v>12.177433294279087</v>
      </c>
      <c r="O12" s="5">
        <v>109.39233042404071</v>
      </c>
      <c r="P12" s="5">
        <v>16.828298702437102</v>
      </c>
      <c r="Q12" s="5">
        <v>2.4122362521648446</v>
      </c>
      <c r="R12" s="5">
        <v>106.78967173782753</v>
      </c>
      <c r="S12" s="5">
        <v>0.66363507808073408</v>
      </c>
      <c r="T12" s="5">
        <v>9.511519125193745</v>
      </c>
      <c r="U12" s="5">
        <v>0.38541656207819264</v>
      </c>
      <c r="V12" s="5">
        <v>2.2863411363514556</v>
      </c>
      <c r="W12" s="5">
        <v>112.62361610462276</v>
      </c>
      <c r="X12" s="5">
        <v>2.1232253771073646</v>
      </c>
      <c r="Y12" s="5">
        <v>30.070942684059027</v>
      </c>
      <c r="Z12" s="5">
        <v>89.152303411776614</v>
      </c>
      <c r="AA12" s="5">
        <v>154.97067916757959</v>
      </c>
    </row>
    <row r="13" spans="1:27" ht="12.75" x14ac:dyDescent="0.2">
      <c r="A13" s="6">
        <v>11</v>
      </c>
      <c r="B13" s="4"/>
      <c r="C13" s="5">
        <v>740.35974720466709</v>
      </c>
      <c r="D13" s="5">
        <v>1.8536745598632693</v>
      </c>
      <c r="E13" s="5">
        <v>5.8768163960677899</v>
      </c>
      <c r="F13" s="5">
        <v>63.887617218402099</v>
      </c>
      <c r="G13" s="5">
        <v>7.3187254304167624</v>
      </c>
      <c r="H13" s="5">
        <v>26.269881942208357</v>
      </c>
      <c r="I13" s="5">
        <v>17.674340601768005</v>
      </c>
      <c r="J13" s="5">
        <v>9.2967578632411119</v>
      </c>
      <c r="K13" s="5">
        <v>0.94662385612331845</v>
      </c>
      <c r="L13" s="5">
        <v>9.1242885141022381</v>
      </c>
      <c r="M13" s="5">
        <v>14.598485186664023</v>
      </c>
      <c r="N13" s="5">
        <v>16.838881713951825</v>
      </c>
      <c r="O13" s="5">
        <v>108.68981087085879</v>
      </c>
      <c r="P13" s="5">
        <v>12.64984358244422</v>
      </c>
      <c r="Q13" s="5">
        <v>2.4286879913100439</v>
      </c>
      <c r="R13" s="5">
        <v>110.40966061029626</v>
      </c>
      <c r="S13" s="5">
        <v>0.77839903895183848</v>
      </c>
      <c r="T13" s="5">
        <v>11.068830920803087</v>
      </c>
      <c r="U13" s="5">
        <v>0.38134526036609917</v>
      </c>
      <c r="V13" s="5">
        <v>2.7288587756452856</v>
      </c>
      <c r="W13" s="5">
        <v>103.7982570510103</v>
      </c>
      <c r="X13" s="5">
        <v>2.0882874889086072</v>
      </c>
      <c r="Y13" s="5">
        <v>26.538482528494022</v>
      </c>
      <c r="Z13" s="5">
        <v>109.41374925957993</v>
      </c>
      <c r="AA13" s="5">
        <v>344.92161662495403</v>
      </c>
    </row>
    <row r="14" spans="1:27" ht="12.75" x14ac:dyDescent="0.2">
      <c r="A14" s="6">
        <v>12</v>
      </c>
      <c r="B14" s="4"/>
      <c r="C14" s="5">
        <v>510.24793388429754</v>
      </c>
      <c r="D14" s="5">
        <v>2.3443231803213123</v>
      </c>
      <c r="E14" s="5">
        <v>8.796929420264048</v>
      </c>
      <c r="F14" s="5">
        <v>71.989236474294984</v>
      </c>
      <c r="G14" s="5">
        <v>10.446882391594491</v>
      </c>
      <c r="H14" s="5">
        <v>51.580498511099101</v>
      </c>
      <c r="I14" s="5">
        <v>20.144731390424209</v>
      </c>
      <c r="J14" s="5">
        <v>5.351304526158299</v>
      </c>
      <c r="K14" s="5">
        <v>0.95346221215310512</v>
      </c>
      <c r="L14" s="5">
        <v>8.9454387015479444</v>
      </c>
      <c r="M14" s="5">
        <v>16.262102176917711</v>
      </c>
      <c r="N14" s="5">
        <v>18.49201393701102</v>
      </c>
      <c r="O14" s="5">
        <v>130.16683721099156</v>
      </c>
      <c r="P14" s="5">
        <v>20.548840932567757</v>
      </c>
      <c r="Q14" s="5">
        <v>2.4286879913100439</v>
      </c>
      <c r="R14" s="5">
        <v>86.909899513186758</v>
      </c>
      <c r="S14" s="5">
        <v>0.76243187917846744</v>
      </c>
      <c r="T14" s="5">
        <v>11.341511974509002</v>
      </c>
      <c r="U14" s="5">
        <v>0.58219614482938264</v>
      </c>
      <c r="V14" s="5">
        <v>2.8094953232499393</v>
      </c>
      <c r="W14" s="5">
        <v>133.38326751482481</v>
      </c>
      <c r="X14" s="5">
        <v>2.1831188997338065</v>
      </c>
      <c r="Y14" s="5">
        <v>39.267347451663106</v>
      </c>
      <c r="Z14" s="5">
        <v>147.27653737957652</v>
      </c>
      <c r="AA14" s="5">
        <v>186.29021275262846</v>
      </c>
    </row>
    <row r="15" spans="1:27" ht="12.75" x14ac:dyDescent="0.2">
      <c r="A15" s="6">
        <v>13</v>
      </c>
      <c r="B15" s="4"/>
      <c r="C15" s="5">
        <v>562.0077783179388</v>
      </c>
      <c r="D15" s="5">
        <v>1.843495127903559</v>
      </c>
      <c r="E15" s="5">
        <v>13.213181104960441</v>
      </c>
      <c r="F15" s="5">
        <v>64.881862108857959</v>
      </c>
      <c r="G15" s="5">
        <v>7.9685786234848459</v>
      </c>
      <c r="H15" s="5">
        <v>33.50434163264535</v>
      </c>
      <c r="I15" s="5">
        <v>20.034266761663162</v>
      </c>
      <c r="J15" s="5">
        <v>5.0811340848809232</v>
      </c>
      <c r="K15" s="5">
        <v>1.3012414616679673</v>
      </c>
      <c r="L15" s="5">
        <v>9.1989730512128212</v>
      </c>
      <c r="M15" s="5">
        <v>25.682702530011081</v>
      </c>
      <c r="N15" s="5">
        <v>14.39762831478301</v>
      </c>
      <c r="O15" s="5">
        <v>112.00168876443067</v>
      </c>
      <c r="P15" s="5">
        <v>15.534694788576294</v>
      </c>
      <c r="Q15" s="5">
        <v>2.6631252741291331</v>
      </c>
      <c r="R15" s="5">
        <v>103.47134860473119</v>
      </c>
      <c r="S15" s="5">
        <v>0.75844008923512463</v>
      </c>
      <c r="T15" s="5">
        <v>10.796149867097169</v>
      </c>
      <c r="U15" s="5">
        <v>0.47091389803215794</v>
      </c>
      <c r="V15" s="5">
        <v>2.5577519551183379</v>
      </c>
      <c r="W15" s="5">
        <v>119.14234722376833</v>
      </c>
      <c r="X15" s="5">
        <v>2.4276841171251107</v>
      </c>
      <c r="Y15" s="5">
        <v>29.540573312260314</v>
      </c>
      <c r="Z15" s="5">
        <v>103.97704122183681</v>
      </c>
      <c r="AA15" s="5">
        <v>174.69791785426622</v>
      </c>
    </row>
    <row r="16" spans="1:27" ht="12.75" x14ac:dyDescent="0.2">
      <c r="A16" s="6">
        <v>14</v>
      </c>
      <c r="B16" s="4"/>
      <c r="C16" s="5">
        <v>526.78658240155573</v>
      </c>
      <c r="D16" s="5">
        <v>1.9167870380134742</v>
      </c>
      <c r="E16" s="5">
        <v>7.0385599347577736</v>
      </c>
      <c r="F16" s="5">
        <v>59.762977524332683</v>
      </c>
      <c r="G16" s="5">
        <v>8.8153570265735599</v>
      </c>
      <c r="H16" s="5">
        <v>24.751045101122138</v>
      </c>
      <c r="I16" s="5">
        <v>19.451816900923081</v>
      </c>
      <c r="J16" s="5">
        <v>4.2339567725897247</v>
      </c>
      <c r="K16" s="5">
        <v>0.73268100319142304</v>
      </c>
      <c r="L16" s="5">
        <v>8.1917144914977111</v>
      </c>
      <c r="M16" s="5">
        <v>16.596794352471708</v>
      </c>
      <c r="N16" s="5">
        <v>13.003999405808685</v>
      </c>
      <c r="O16" s="5">
        <v>124.94812053021164</v>
      </c>
      <c r="P16" s="5">
        <v>15.202707943426173</v>
      </c>
      <c r="Q16" s="5">
        <v>2.562358371864788</v>
      </c>
      <c r="R16" s="5">
        <v>109.50466339217908</v>
      </c>
      <c r="S16" s="5">
        <v>0.73149550711756095</v>
      </c>
      <c r="T16" s="5">
        <v>11.089029517373895</v>
      </c>
      <c r="U16" s="5">
        <v>0.46955679746146006</v>
      </c>
      <c r="V16" s="5">
        <v>2.3728779191466933</v>
      </c>
      <c r="W16" s="5">
        <v>118.13946551313055</v>
      </c>
      <c r="X16" s="5">
        <v>2.3797692990239572</v>
      </c>
      <c r="Y16" s="5">
        <v>26.79866372975377</v>
      </c>
      <c r="Z16" s="5">
        <v>92.705580450730139</v>
      </c>
      <c r="AA16" s="5">
        <v>136.76874244120376</v>
      </c>
    </row>
    <row r="17" spans="1:27" ht="12.75" x14ac:dyDescent="0.2">
      <c r="A17" s="6">
        <v>15</v>
      </c>
      <c r="B17" s="4"/>
      <c r="C17" s="5">
        <v>628.97909577053963</v>
      </c>
      <c r="D17" s="5">
        <v>1.108540140412466</v>
      </c>
      <c r="E17" s="5">
        <v>1.7319431232963531</v>
      </c>
      <c r="F17" s="5">
        <v>61.456147040752583</v>
      </c>
      <c r="G17" s="5">
        <v>3.4767145829142456</v>
      </c>
      <c r="H17" s="5">
        <v>8.1097893435893127</v>
      </c>
      <c r="I17" s="5">
        <v>17.543791495050396</v>
      </c>
      <c r="J17" s="5">
        <v>4.9248211867132996</v>
      </c>
      <c r="K17" s="5">
        <v>0.54511466637441874</v>
      </c>
      <c r="L17" s="5">
        <v>8.013847370221189</v>
      </c>
      <c r="M17" s="5">
        <v>1.8988859018931152</v>
      </c>
      <c r="N17" s="5">
        <v>32.370635623624281</v>
      </c>
      <c r="O17" s="5">
        <v>99.346300813539358</v>
      </c>
      <c r="P17" s="5">
        <v>16.564998790766321</v>
      </c>
      <c r="Q17" s="5">
        <v>2.1932224747943789</v>
      </c>
      <c r="R17" s="5">
        <v>61.24820061724175</v>
      </c>
      <c r="S17" s="5">
        <v>0.65066176076487015</v>
      </c>
      <c r="T17" s="5">
        <v>14.4116986532719</v>
      </c>
      <c r="U17" s="5">
        <v>0.36234585237632905</v>
      </c>
      <c r="V17" s="5">
        <v>2.0355811407516184</v>
      </c>
      <c r="W17" s="5">
        <v>90.33958449425127</v>
      </c>
      <c r="X17" s="5">
        <v>2.395740905057675</v>
      </c>
      <c r="Y17" s="5">
        <v>17.752363501338007</v>
      </c>
      <c r="Z17" s="5">
        <v>65.230788045706959</v>
      </c>
      <c r="AA17" s="5">
        <v>170.63044596010403</v>
      </c>
    </row>
    <row r="18" spans="1:27" ht="12.75" x14ac:dyDescent="0.2">
      <c r="A18" s="6">
        <v>16</v>
      </c>
      <c r="B18" s="4"/>
      <c r="C18" s="5">
        <v>724.84200291686932</v>
      </c>
      <c r="D18" s="5">
        <v>2.3280360891857756</v>
      </c>
      <c r="E18" s="5">
        <v>7.2530200280767474</v>
      </c>
      <c r="F18" s="5">
        <v>74.853843039865879</v>
      </c>
      <c r="G18" s="5">
        <v>5.3356885655090052</v>
      </c>
      <c r="H18" s="5">
        <v>31.236078718654746</v>
      </c>
      <c r="I18" s="5">
        <v>19.431732422966526</v>
      </c>
      <c r="J18" s="5">
        <v>6.8082951201898583</v>
      </c>
      <c r="K18" s="5">
        <v>0.68676632699142715</v>
      </c>
      <c r="L18" s="5">
        <v>8.153389531664649</v>
      </c>
      <c r="M18" s="5">
        <v>11.28109509367294</v>
      </c>
      <c r="N18" s="5">
        <v>15.752812288337353</v>
      </c>
      <c r="O18" s="5">
        <v>114.51068716865178</v>
      </c>
      <c r="P18" s="5">
        <v>20.331332309883198</v>
      </c>
      <c r="Q18" s="5">
        <v>2.6559276382531092</v>
      </c>
      <c r="R18" s="5">
        <v>130.11848891595935</v>
      </c>
      <c r="S18" s="5">
        <v>0.72949961214588965</v>
      </c>
      <c r="T18" s="5">
        <v>11.694987414498151</v>
      </c>
      <c r="U18" s="5">
        <v>0.51026981458239595</v>
      </c>
      <c r="V18" s="5">
        <v>2.790811245146422</v>
      </c>
      <c r="W18" s="5">
        <v>132.98211483056971</v>
      </c>
      <c r="X18" s="5">
        <v>2.2719609582963618</v>
      </c>
      <c r="Y18" s="5">
        <v>33.043012559987659</v>
      </c>
      <c r="Z18" s="5">
        <v>103.5887049334266</v>
      </c>
      <c r="AA18" s="5">
        <v>242.92975887883702</v>
      </c>
    </row>
    <row r="19" spans="1:27" ht="12.75" x14ac:dyDescent="0.2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2.75" x14ac:dyDescent="0.2">
      <c r="A20" s="6" t="s">
        <v>108</v>
      </c>
      <c r="B20" s="4"/>
      <c r="C20" s="5">
        <f>MIN(C3:C18)</f>
        <v>354.66212931453572</v>
      </c>
      <c r="D20" s="5">
        <f t="shared" ref="D20:AA20" si="0">MIN(D3:D18)</f>
        <v>1.108540140412466</v>
      </c>
      <c r="E20" s="5">
        <f t="shared" si="0"/>
        <v>1.2227274514821087</v>
      </c>
      <c r="F20" s="5">
        <f t="shared" si="0"/>
        <v>48.698311614704949</v>
      </c>
      <c r="G20" s="5">
        <f t="shared" si="0"/>
        <v>3.4767145829142456</v>
      </c>
      <c r="H20" s="5">
        <f t="shared" si="0"/>
        <v>8.1097893435893127</v>
      </c>
      <c r="I20" s="5">
        <f t="shared" si="0"/>
        <v>15.726146239982212</v>
      </c>
      <c r="J20" s="5">
        <f t="shared" si="0"/>
        <v>3.4195858710250651</v>
      </c>
      <c r="K20" s="5">
        <f t="shared" si="0"/>
        <v>0.54511466637441874</v>
      </c>
      <c r="L20" s="5">
        <f t="shared" si="0"/>
        <v>6.4425240170656188</v>
      </c>
      <c r="M20" s="5">
        <f t="shared" si="0"/>
        <v>1.8988859018931152</v>
      </c>
      <c r="N20" s="5">
        <f t="shared" si="0"/>
        <v>11.67764913381933</v>
      </c>
      <c r="O20" s="5">
        <f t="shared" si="0"/>
        <v>97.720469847604079</v>
      </c>
      <c r="P20" s="5">
        <f t="shared" si="0"/>
        <v>12.64984358244422</v>
      </c>
      <c r="Q20" s="5">
        <f t="shared" si="0"/>
        <v>2.1932224747943789</v>
      </c>
      <c r="R20" s="5">
        <f t="shared" si="0"/>
        <v>61.24820061724175</v>
      </c>
      <c r="S20" s="5">
        <f t="shared" si="0"/>
        <v>0.62072333618979936</v>
      </c>
      <c r="T20" s="5">
        <f t="shared" si="0"/>
        <v>8.9287896141259182</v>
      </c>
      <c r="U20" s="5">
        <f t="shared" si="0"/>
        <v>0.31484733240190388</v>
      </c>
      <c r="V20" s="5">
        <f t="shared" si="0"/>
        <v>1.8772581631376037</v>
      </c>
      <c r="W20" s="5">
        <f t="shared" si="0"/>
        <v>83.289326068467673</v>
      </c>
      <c r="X20" s="5">
        <f t="shared" si="0"/>
        <v>1.9096051464063886</v>
      </c>
      <c r="Y20" s="5">
        <f t="shared" si="0"/>
        <v>17.752363501338007</v>
      </c>
      <c r="Z20" s="5">
        <f t="shared" si="0"/>
        <v>60.580460991994563</v>
      </c>
      <c r="AA20" s="5">
        <f t="shared" si="0"/>
        <v>111.55041669739816</v>
      </c>
    </row>
    <row r="21" spans="1:27" ht="12.75" x14ac:dyDescent="0.2">
      <c r="A21" s="6" t="s">
        <v>109</v>
      </c>
      <c r="B21" s="4"/>
      <c r="C21" s="5">
        <f>MAX(C3:C18)</f>
        <v>1311.8619348565874</v>
      </c>
      <c r="D21" s="5">
        <f t="shared" ref="D21:AA21" si="1">MAX(D3:D18)</f>
        <v>2.7128186172628297</v>
      </c>
      <c r="E21" s="5">
        <f t="shared" si="1"/>
        <v>21.811912808650085</v>
      </c>
      <c r="F21" s="5">
        <f t="shared" si="1"/>
        <v>76.448572468121824</v>
      </c>
      <c r="G21" s="5">
        <f t="shared" si="1"/>
        <v>10.446882391594491</v>
      </c>
      <c r="H21" s="5">
        <f t="shared" si="1"/>
        <v>51.580498511099101</v>
      </c>
      <c r="I21" s="5">
        <f t="shared" si="1"/>
        <v>20.144731390424209</v>
      </c>
      <c r="J21" s="5">
        <f t="shared" si="1"/>
        <v>9.2967578632411119</v>
      </c>
      <c r="K21" s="5">
        <f t="shared" si="1"/>
        <v>2.8564790044422943</v>
      </c>
      <c r="L21" s="5">
        <f t="shared" si="1"/>
        <v>9.1989730512128212</v>
      </c>
      <c r="M21" s="5">
        <f t="shared" si="1"/>
        <v>25.820516955239199</v>
      </c>
      <c r="N21" s="5">
        <f t="shared" si="1"/>
        <v>32.370635623624281</v>
      </c>
      <c r="O21" s="5">
        <f t="shared" si="1"/>
        <v>161.88057704034651</v>
      </c>
      <c r="P21" s="5">
        <f t="shared" si="1"/>
        <v>21.075440755909327</v>
      </c>
      <c r="Q21" s="5">
        <f t="shared" si="1"/>
        <v>2.6631252741291331</v>
      </c>
      <c r="R21" s="5">
        <f t="shared" si="1"/>
        <v>377.28328470840756</v>
      </c>
      <c r="S21" s="5">
        <f t="shared" si="1"/>
        <v>0.77839903895183848</v>
      </c>
      <c r="T21" s="5">
        <f t="shared" si="1"/>
        <v>14.4116986532719</v>
      </c>
      <c r="U21" s="5">
        <f t="shared" si="1"/>
        <v>0.71247779961637736</v>
      </c>
      <c r="V21" s="5">
        <f t="shared" si="1"/>
        <v>2.8606306949016704</v>
      </c>
      <c r="W21" s="5">
        <f t="shared" si="1"/>
        <v>133.38326751482481</v>
      </c>
      <c r="X21" s="5">
        <f t="shared" si="1"/>
        <v>3.8681233362910379</v>
      </c>
      <c r="Y21" s="5">
        <f t="shared" si="1"/>
        <v>47.723236492604826</v>
      </c>
      <c r="Z21" s="5">
        <f t="shared" si="1"/>
        <v>301.05770759002428</v>
      </c>
      <c r="AA21" s="5">
        <f t="shared" si="1"/>
        <v>344.92161662495403</v>
      </c>
    </row>
    <row r="22" spans="1:27" ht="12.75" x14ac:dyDescent="0.2">
      <c r="A22" s="6" t="s">
        <v>110</v>
      </c>
      <c r="B22" s="4"/>
      <c r="C22" s="5">
        <f>AVERAGE(C3:C18)</f>
        <v>725.64596499756919</v>
      </c>
      <c r="D22" s="5">
        <f t="shared" ref="D22:AA22" si="2">AVERAGE(D3:D18)</f>
        <v>1.9568685513548338</v>
      </c>
      <c r="E22" s="5">
        <f t="shared" si="2"/>
        <v>9.028985913419918</v>
      </c>
      <c r="F22" s="5">
        <f t="shared" si="2"/>
        <v>60.709848122359652</v>
      </c>
      <c r="G22" s="5">
        <f t="shared" si="2"/>
        <v>7.3122638219629605</v>
      </c>
      <c r="H22" s="5">
        <f t="shared" si="2"/>
        <v>28.13757662023157</v>
      </c>
      <c r="I22" s="5">
        <f t="shared" si="2"/>
        <v>17.935438815203213</v>
      </c>
      <c r="J22" s="5">
        <f t="shared" si="2"/>
        <v>5.2401004427396645</v>
      </c>
      <c r="K22" s="5">
        <f t="shared" si="2"/>
        <v>1.0498097640727775</v>
      </c>
      <c r="L22" s="5">
        <f t="shared" si="2"/>
        <v>8.2591516804347336</v>
      </c>
      <c r="M22" s="5">
        <f t="shared" si="2"/>
        <v>17.053612257524726</v>
      </c>
      <c r="N22" s="5">
        <f t="shared" si="2"/>
        <v>16.48506816766481</v>
      </c>
      <c r="O22" s="5">
        <f t="shared" si="2"/>
        <v>118.57902808109633</v>
      </c>
      <c r="P22" s="5">
        <f t="shared" si="2"/>
        <v>17.085159214094201</v>
      </c>
      <c r="Q22" s="5">
        <f t="shared" si="2"/>
        <v>2.4283024036738281</v>
      </c>
      <c r="R22" s="5">
        <f t="shared" si="2"/>
        <v>119.71290631848282</v>
      </c>
      <c r="S22" s="5">
        <f t="shared" si="2"/>
        <v>0.70105810879957242</v>
      </c>
      <c r="T22" s="5">
        <f t="shared" si="2"/>
        <v>10.704688096999977</v>
      </c>
      <c r="U22" s="5">
        <f t="shared" si="2"/>
        <v>0.45250822154206827</v>
      </c>
      <c r="V22" s="5">
        <f t="shared" si="2"/>
        <v>2.4794509172766244</v>
      </c>
      <c r="W22" s="5">
        <f t="shared" si="2"/>
        <v>110.43169276581007</v>
      </c>
      <c r="X22" s="5">
        <f t="shared" si="2"/>
        <v>2.4749126552795024</v>
      </c>
      <c r="Y22" s="5">
        <f t="shared" si="2"/>
        <v>30.638212755074868</v>
      </c>
      <c r="Z22" s="5">
        <f t="shared" si="2"/>
        <v>120.54989910519366</v>
      </c>
      <c r="AA22" s="5">
        <f t="shared" si="2"/>
        <v>182.43246987800904</v>
      </c>
    </row>
    <row r="23" spans="1:27" ht="12.75" x14ac:dyDescent="0.25"/>
    <row r="24" spans="1:27" ht="12.75" x14ac:dyDescent="0.25"/>
    <row r="25" spans="1:27" ht="25.5" x14ac:dyDescent="0.25">
      <c r="A25" s="11"/>
      <c r="B25" s="12" t="s">
        <v>126</v>
      </c>
      <c r="C25" s="12" t="s">
        <v>127</v>
      </c>
      <c r="D25" s="12"/>
      <c r="E25" s="12" t="s">
        <v>212</v>
      </c>
      <c r="F25" s="12"/>
      <c r="G25" s="12"/>
      <c r="H25" s="12"/>
      <c r="I25" s="12"/>
    </row>
    <row r="26" spans="1:27" ht="12.75" x14ac:dyDescent="0.25">
      <c r="A26" s="12" t="s">
        <v>12</v>
      </c>
      <c r="B26" s="11">
        <v>650</v>
      </c>
      <c r="C26" s="11">
        <f>C22</f>
        <v>725.64596499756919</v>
      </c>
      <c r="D26" s="11"/>
      <c r="E26" s="11">
        <f>C26/B26</f>
        <v>1.1163784076885679</v>
      </c>
      <c r="F26" s="11"/>
      <c r="G26" s="11"/>
      <c r="H26" s="11"/>
      <c r="I26" s="11"/>
      <c r="J26" s="11"/>
    </row>
    <row r="27" spans="1:27" ht="12.75" x14ac:dyDescent="0.25">
      <c r="A27" s="12" t="s">
        <v>14</v>
      </c>
      <c r="B27" s="11">
        <v>23</v>
      </c>
      <c r="C27" s="11">
        <f>E22</f>
        <v>9.028985913419918</v>
      </c>
      <c r="D27" s="11"/>
      <c r="E27" s="11">
        <f t="shared" ref="E27:E38" si="3">C27/B27</f>
        <v>0.3925646049313008</v>
      </c>
      <c r="F27" s="11"/>
      <c r="G27" s="11"/>
      <c r="I27" s="11"/>
      <c r="J27" s="11"/>
    </row>
    <row r="28" spans="1:27" ht="12.75" x14ac:dyDescent="0.25">
      <c r="A28" s="12" t="s">
        <v>15</v>
      </c>
      <c r="B28" s="11">
        <v>100</v>
      </c>
      <c r="C28" s="11">
        <f>F22</f>
        <v>60.709848122359652</v>
      </c>
      <c r="D28" s="11"/>
      <c r="E28" s="11">
        <f t="shared" si="3"/>
        <v>0.60709848122359655</v>
      </c>
      <c r="F28" s="11"/>
      <c r="G28" s="11"/>
      <c r="I28" s="11"/>
      <c r="J28" s="11"/>
    </row>
    <row r="29" spans="1:27" ht="12.75" x14ac:dyDescent="0.25">
      <c r="A29" s="12" t="s">
        <v>16</v>
      </c>
      <c r="B29" s="11">
        <v>15</v>
      </c>
      <c r="C29" s="11">
        <f>G22</f>
        <v>7.3122638219629605</v>
      </c>
      <c r="D29" s="11"/>
      <c r="E29" s="11">
        <f t="shared" si="3"/>
        <v>0.48748425479753071</v>
      </c>
      <c r="F29" s="11"/>
      <c r="G29" s="11"/>
      <c r="I29" s="11"/>
      <c r="J29" s="11"/>
    </row>
    <row r="30" spans="1:27" ht="12.75" x14ac:dyDescent="0.25">
      <c r="A30" s="12" t="s">
        <v>19</v>
      </c>
      <c r="B30" s="11">
        <v>5</v>
      </c>
      <c r="C30" s="11">
        <f>J22</f>
        <v>5.2401004427396645</v>
      </c>
      <c r="D30" s="11"/>
      <c r="E30" s="11">
        <f t="shared" si="3"/>
        <v>1.0480200885479329</v>
      </c>
      <c r="F30" s="11"/>
      <c r="G30" s="11"/>
      <c r="I30" s="11"/>
      <c r="J30" s="11"/>
    </row>
    <row r="31" spans="1:27" ht="12.75" x14ac:dyDescent="0.25">
      <c r="A31" s="12" t="s">
        <v>21</v>
      </c>
      <c r="B31" s="11">
        <v>19</v>
      </c>
      <c r="C31" s="11">
        <f>L22</f>
        <v>8.2591516804347336</v>
      </c>
      <c r="D31" s="11"/>
      <c r="E31" s="11">
        <f t="shared" si="3"/>
        <v>0.43469219370709122</v>
      </c>
      <c r="F31" s="11"/>
      <c r="G31" s="11"/>
      <c r="I31" s="11"/>
      <c r="J31" s="11"/>
    </row>
    <row r="32" spans="1:27" ht="15" customHeight="1" x14ac:dyDescent="0.25">
      <c r="A32" s="12" t="s">
        <v>22</v>
      </c>
      <c r="B32" s="11">
        <v>55</v>
      </c>
      <c r="C32" s="11">
        <f>M22</f>
        <v>17.053612257524726</v>
      </c>
      <c r="D32" s="11"/>
      <c r="E32" s="11">
        <f t="shared" si="3"/>
        <v>0.3100656774095405</v>
      </c>
      <c r="F32" s="11"/>
      <c r="G32" s="11"/>
      <c r="I32" s="11"/>
      <c r="J32" s="11"/>
    </row>
    <row r="33" spans="1:10" ht="15" customHeight="1" x14ac:dyDescent="0.25">
      <c r="A33" s="12" t="s">
        <v>23</v>
      </c>
      <c r="B33" s="11">
        <v>20</v>
      </c>
      <c r="C33" s="11">
        <f>N22</f>
        <v>16.48506816766481</v>
      </c>
      <c r="D33" s="11"/>
      <c r="E33" s="11">
        <f t="shared" si="3"/>
        <v>0.82425340838324046</v>
      </c>
      <c r="F33" s="11"/>
      <c r="G33" s="11"/>
      <c r="I33" s="11"/>
      <c r="J33" s="11"/>
    </row>
    <row r="34" spans="1:10" ht="15" customHeight="1" x14ac:dyDescent="0.25">
      <c r="A34" s="12" t="s">
        <v>24</v>
      </c>
      <c r="B34" s="11">
        <v>160</v>
      </c>
      <c r="C34" s="11">
        <f>O22</f>
        <v>118.57902808109633</v>
      </c>
      <c r="D34" s="11"/>
      <c r="E34" s="11">
        <f t="shared" si="3"/>
        <v>0.74111892550685199</v>
      </c>
      <c r="F34" s="11"/>
      <c r="G34" s="11"/>
      <c r="I34" s="11"/>
      <c r="J34" s="11"/>
    </row>
    <row r="35" spans="1:10" ht="15" customHeight="1" x14ac:dyDescent="0.25">
      <c r="A35" s="12" t="s">
        <v>27</v>
      </c>
      <c r="B35" s="11">
        <v>200</v>
      </c>
      <c r="C35" s="11">
        <f>R22</f>
        <v>119.71290631848282</v>
      </c>
      <c r="D35" s="11"/>
      <c r="E35" s="11">
        <f t="shared" si="3"/>
        <v>0.59856453159241407</v>
      </c>
      <c r="F35" s="11"/>
      <c r="G35" s="11"/>
      <c r="I35" s="11"/>
      <c r="J35" s="11"/>
    </row>
    <row r="36" spans="1:10" ht="15" customHeight="1" x14ac:dyDescent="0.25">
      <c r="A36" s="12" t="s">
        <v>29</v>
      </c>
      <c r="B36" s="11">
        <v>14.6</v>
      </c>
      <c r="C36" s="11">
        <f>T22</f>
        <v>10.704688096999977</v>
      </c>
      <c r="D36" s="11"/>
      <c r="E36" s="11">
        <f t="shared" si="3"/>
        <v>0.73319781486301216</v>
      </c>
      <c r="F36" s="11"/>
      <c r="G36" s="11"/>
      <c r="I36" s="11"/>
      <c r="J36" s="11"/>
    </row>
    <row r="37" spans="1:10" ht="15" customHeight="1" x14ac:dyDescent="0.25">
      <c r="A37" s="12" t="s">
        <v>31</v>
      </c>
      <c r="B37" s="11">
        <v>3.1</v>
      </c>
      <c r="C37" s="11">
        <f>V22</f>
        <v>2.4794509172766244</v>
      </c>
      <c r="D37" s="11"/>
      <c r="E37" s="11">
        <f t="shared" si="3"/>
        <v>0.79982287654084649</v>
      </c>
      <c r="F37" s="11"/>
      <c r="G37" s="11"/>
      <c r="I37" s="11"/>
      <c r="J37" s="11"/>
    </row>
    <row r="38" spans="1:10" ht="15" customHeight="1" x14ac:dyDescent="0.25">
      <c r="A38" s="12" t="s">
        <v>32</v>
      </c>
      <c r="B38" s="11">
        <v>150</v>
      </c>
      <c r="C38" s="11">
        <f>W22</f>
        <v>110.43169276581007</v>
      </c>
      <c r="D38" s="11"/>
      <c r="E38" s="11">
        <f t="shared" si="3"/>
        <v>0.73621128510540046</v>
      </c>
      <c r="F38" s="11"/>
      <c r="G38" s="11"/>
      <c r="I38" s="11"/>
      <c r="J38" s="11"/>
    </row>
    <row r="39" spans="1:10" ht="15" customHeight="1" x14ac:dyDescent="0.25">
      <c r="A39" s="12" t="s">
        <v>34</v>
      </c>
      <c r="B39" s="11">
        <v>27</v>
      </c>
      <c r="C39" s="11">
        <f>Y22</f>
        <v>30.638212755074868</v>
      </c>
      <c r="D39" s="11"/>
      <c r="E39" s="11">
        <f>C39/B39</f>
        <v>1.1347486205583284</v>
      </c>
      <c r="F39" s="11"/>
      <c r="G39" s="11"/>
      <c r="I39" s="11"/>
      <c r="J39" s="11"/>
    </row>
    <row r="40" spans="1:10" ht="15" customHeight="1" x14ac:dyDescent="0.25">
      <c r="A40" s="12" t="s">
        <v>36</v>
      </c>
      <c r="B40" s="11">
        <v>210</v>
      </c>
      <c r="C40" s="11">
        <f>AA22</f>
        <v>182.43246987800904</v>
      </c>
      <c r="D40" s="11"/>
      <c r="E40" s="11">
        <f>C40/B40</f>
        <v>0.86872604703813827</v>
      </c>
      <c r="F40" s="11"/>
      <c r="G40" s="11"/>
      <c r="I40" s="11"/>
      <c r="J40" s="11"/>
    </row>
    <row r="41" spans="1:10" ht="15" customHeight="1" x14ac:dyDescent="0.25">
      <c r="A41" s="11"/>
      <c r="B41" s="11"/>
      <c r="C41" s="11"/>
      <c r="D41" s="11"/>
      <c r="E41" s="11"/>
      <c r="F41" s="11"/>
      <c r="G41" s="11"/>
      <c r="I41" s="11"/>
      <c r="J41" s="11"/>
    </row>
    <row r="42" spans="1:10" ht="15" customHeight="1" x14ac:dyDescent="0.25">
      <c r="A42" s="11"/>
      <c r="B42" s="11"/>
      <c r="C42" s="11"/>
      <c r="D42" s="11"/>
      <c r="E42" s="11"/>
      <c r="F42" s="11"/>
      <c r="G42" s="11"/>
      <c r="I42" s="11"/>
      <c r="J42" s="1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8BFD-EC02-439C-9AC0-CDAE11718548}">
  <dimension ref="A1:AV97"/>
  <sheetViews>
    <sheetView zoomScale="55" zoomScaleNormal="55" workbookViewId="0">
      <selection activeCell="J78" sqref="J78"/>
    </sheetView>
  </sheetViews>
  <sheetFormatPr defaultColWidth="9.28515625" defaultRowHeight="15" customHeight="1" x14ac:dyDescent="0.25"/>
  <cols>
    <col min="1" max="1" width="14.85546875" style="11" bestFit="1" customWidth="1"/>
    <col min="2" max="2" width="9.28515625" style="11"/>
    <col min="3" max="4" width="8.140625" style="11" bestFit="1" customWidth="1"/>
    <col min="5" max="5" width="8.5703125" style="11" bestFit="1" customWidth="1"/>
    <col min="6" max="6" width="8.140625" style="11" bestFit="1" customWidth="1"/>
    <col min="7" max="7" width="6.7109375" style="11" bestFit="1" customWidth="1"/>
    <col min="8" max="11" width="7.42578125" style="11" bestFit="1" customWidth="1"/>
    <col min="12" max="12" width="6.7109375" style="11" bestFit="1" customWidth="1"/>
    <col min="13" max="13" width="6.85546875" style="1" bestFit="1" customWidth="1"/>
    <col min="14" max="14" width="10.7109375" style="1" bestFit="1" customWidth="1"/>
    <col min="15" max="15" width="12.85546875" style="1" bestFit="1" customWidth="1"/>
    <col min="16" max="16" width="11.42578125" style="1" bestFit="1" customWidth="1"/>
    <col min="17" max="17" width="12" style="1" bestFit="1" customWidth="1"/>
    <col min="18" max="19" width="12.5703125" style="1" bestFit="1" customWidth="1"/>
    <col min="20" max="20" width="12" style="1" bestFit="1" customWidth="1"/>
    <col min="21" max="21" width="12.85546875" style="1" bestFit="1" customWidth="1"/>
    <col min="22" max="22" width="12" style="1" bestFit="1" customWidth="1"/>
    <col min="23" max="25" width="12.5703125" style="1" bestFit="1" customWidth="1"/>
    <col min="26" max="26" width="12" style="1" bestFit="1" customWidth="1"/>
    <col min="27" max="33" width="12.5703125" style="1" bestFit="1" customWidth="1"/>
    <col min="34" max="34" width="12.140625" style="1" bestFit="1" customWidth="1"/>
    <col min="35" max="37" width="12.5703125" style="1" bestFit="1" customWidth="1"/>
    <col min="38" max="39" width="9.28515625" style="1"/>
    <col min="40" max="42" width="12.5703125" style="1" bestFit="1" customWidth="1"/>
    <col min="43" max="43" width="12" style="1" bestFit="1" customWidth="1"/>
    <col min="44" max="45" width="12.5703125" style="1" bestFit="1" customWidth="1"/>
    <col min="46" max="47" width="9.28515625" style="1" customWidth="1"/>
    <col min="48" max="16384" width="9.28515625" style="1"/>
  </cols>
  <sheetData>
    <row r="1" spans="1:34" ht="12.75" x14ac:dyDescent="0.25"/>
    <row r="2" spans="1:34" ht="12.75" x14ac:dyDescent="0.25">
      <c r="B2" s="12"/>
      <c r="C2" s="12" t="s">
        <v>3</v>
      </c>
      <c r="D2" s="12" t="s">
        <v>2</v>
      </c>
      <c r="E2" s="12" t="s">
        <v>5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4</v>
      </c>
      <c r="K2" s="12" t="s">
        <v>11</v>
      </c>
      <c r="L2" s="12" t="s">
        <v>6</v>
      </c>
      <c r="N2" s="37" t="s">
        <v>208</v>
      </c>
      <c r="O2" s="37" t="s">
        <v>209</v>
      </c>
      <c r="P2" s="37" t="s">
        <v>166</v>
      </c>
      <c r="Q2" s="37" t="s">
        <v>167</v>
      </c>
      <c r="R2" s="37" t="s">
        <v>168</v>
      </c>
      <c r="S2" s="37" t="s">
        <v>169</v>
      </c>
      <c r="T2" s="37" t="s">
        <v>170</v>
      </c>
      <c r="U2" s="37" t="s">
        <v>171</v>
      </c>
      <c r="V2" s="37" t="s">
        <v>172</v>
      </c>
      <c r="X2" s="37" t="s">
        <v>173</v>
      </c>
      <c r="Y2" s="37" t="s">
        <v>174</v>
      </c>
      <c r="Z2" s="37" t="s">
        <v>175</v>
      </c>
      <c r="AA2" s="37" t="s">
        <v>176</v>
      </c>
      <c r="AE2" s="16"/>
      <c r="AF2" s="16"/>
      <c r="AG2" s="16"/>
      <c r="AH2" s="16"/>
    </row>
    <row r="3" spans="1:34" ht="12.75" x14ac:dyDescent="0.2">
      <c r="A3" s="6" t="s">
        <v>1</v>
      </c>
      <c r="C3" s="11" t="s">
        <v>51</v>
      </c>
      <c r="D3" s="11" t="s">
        <v>51</v>
      </c>
      <c r="E3" s="11" t="s">
        <v>51</v>
      </c>
      <c r="F3" s="11" t="s">
        <v>51</v>
      </c>
      <c r="G3" s="11" t="s">
        <v>51</v>
      </c>
      <c r="H3" s="11" t="s">
        <v>51</v>
      </c>
      <c r="I3" s="11" t="s">
        <v>51</v>
      </c>
      <c r="J3" s="11" t="s">
        <v>51</v>
      </c>
      <c r="K3" s="11" t="s">
        <v>51</v>
      </c>
      <c r="L3" s="11" t="s">
        <v>51</v>
      </c>
      <c r="N3" s="37"/>
      <c r="O3" s="37"/>
      <c r="P3" s="37"/>
      <c r="Q3" s="37"/>
      <c r="R3" s="37"/>
      <c r="S3" s="37"/>
      <c r="T3" s="37"/>
      <c r="U3" s="37"/>
      <c r="V3" s="37"/>
      <c r="X3" s="37"/>
      <c r="Y3" s="37"/>
      <c r="Z3" s="37"/>
      <c r="AA3" s="37"/>
      <c r="AE3" s="76"/>
      <c r="AF3" s="76"/>
      <c r="AG3" s="76"/>
      <c r="AH3" s="76"/>
    </row>
    <row r="4" spans="1:34" ht="12.75" x14ac:dyDescent="0.2">
      <c r="A4" s="6"/>
      <c r="N4" s="37"/>
      <c r="O4" s="37"/>
      <c r="P4" s="37"/>
      <c r="Q4" s="37"/>
      <c r="R4" s="37"/>
      <c r="S4" s="37"/>
      <c r="T4" s="37"/>
      <c r="U4" s="37"/>
      <c r="V4" s="37"/>
      <c r="W4" s="35"/>
      <c r="X4" s="37"/>
      <c r="Y4" s="37"/>
      <c r="Z4" s="37"/>
      <c r="AA4" s="37"/>
    </row>
    <row r="5" spans="1:34" ht="15" customHeight="1" x14ac:dyDescent="0.2">
      <c r="A5" s="6">
        <v>1</v>
      </c>
      <c r="C5" s="11">
        <v>73.889866999079061</v>
      </c>
      <c r="D5" s="11">
        <v>16.876245435480836</v>
      </c>
      <c r="E5" s="11">
        <v>1.3669242255686396</v>
      </c>
      <c r="F5" s="11">
        <v>0.85824735061101187</v>
      </c>
      <c r="G5" s="11">
        <v>0.51793008162012955</v>
      </c>
      <c r="H5" s="11">
        <v>0.71696381342691673</v>
      </c>
      <c r="I5" s="11">
        <v>4.8249280325664872</v>
      </c>
      <c r="J5" s="11">
        <v>0.90607951813756737</v>
      </c>
      <c r="K5" s="11">
        <v>3.0877276542728371E-2</v>
      </c>
      <c r="L5" s="11">
        <v>1.193726696660825E-2</v>
      </c>
      <c r="N5" s="1">
        <f>LN(J5/C5)</f>
        <v>-4.4012039092403539</v>
      </c>
      <c r="O5" s="1">
        <f>LN(D5/C5)</f>
        <v>-1.4766686631942474</v>
      </c>
      <c r="P5" s="1">
        <f>LN(E5/C5)</f>
        <v>-3.9900125757941645</v>
      </c>
      <c r="Q5" s="1">
        <f>LN(L5/C5)</f>
        <v>-8.7306657953011904</v>
      </c>
      <c r="R5" s="1">
        <f>LN(F5/C5)</f>
        <v>-4.4554386344291279</v>
      </c>
      <c r="S5" s="1">
        <f>LN(G5/C5)</f>
        <v>-4.9604907242138028</v>
      </c>
      <c r="T5" s="1">
        <f>LN(H5/C5)</f>
        <v>-4.6353056098882064</v>
      </c>
      <c r="U5" s="1">
        <f>LN(I5/C5)</f>
        <v>-2.72877988166409</v>
      </c>
      <c r="V5" s="1">
        <f>LN(K5/C5)</f>
        <v>-7.7803104533883296</v>
      </c>
      <c r="X5" s="11">
        <f>(-0.263*N5)+(0.604*O5)+(-1.725*P5)+(0.66*Q5)+(2.191*R5)+(0.144*S5)+(-1.304*T5)+(0.054*U5)+(-0.33*V5)+1.588</f>
        <v>0.96255116288853948</v>
      </c>
      <c r="Y5" s="11">
        <f>(-1.196*N5)+(1.064*O5)+(0.303*P5)+(0.436*Q5)+(0.838*R5)+(-0.407*S5)+(1.021*T5)+(-1.706*U5)+(-0.126*V5)-1.068</f>
        <v>-3.2026469627507499</v>
      </c>
      <c r="Z5" s="1">
        <f>(-1.773*H5)+0.607*C5+0.76*J5+(-1.5*E5)+0.616*L5+0.509*F5+(-1.224*G5)-9.09</f>
        <v>32.938461360676058</v>
      </c>
      <c r="AA5" s="1">
        <f>0.445*H5+0.07*C5+(-0.25*J5)+(-1.142*E5)+0.438*L5+1.475*F5+1.426*G5-6.861</f>
        <v>-1.1474960967503423</v>
      </c>
    </row>
    <row r="6" spans="1:34" ht="12.75" x14ac:dyDescent="0.2">
      <c r="A6" s="6">
        <v>2</v>
      </c>
      <c r="C6" s="11">
        <v>71.172751426633937</v>
      </c>
      <c r="D6" s="11">
        <v>16.94243007068118</v>
      </c>
      <c r="E6" s="11">
        <v>3.0007241066731098</v>
      </c>
      <c r="F6" s="11">
        <v>1.4190937303917861</v>
      </c>
      <c r="G6" s="11">
        <v>0.55902360900446324</v>
      </c>
      <c r="H6" s="11">
        <v>2.4270857958801835</v>
      </c>
      <c r="I6" s="11">
        <v>3.5143403082149463</v>
      </c>
      <c r="J6" s="11">
        <v>0.8606174888430681</v>
      </c>
      <c r="K6" s="11">
        <v>7.5349349471808727E-2</v>
      </c>
      <c r="L6" s="11">
        <v>2.8584114205519588E-2</v>
      </c>
      <c r="N6" s="1">
        <f t="shared" ref="N6:N20" si="0">LN(J6/C6)</f>
        <v>-4.415215177583705</v>
      </c>
      <c r="O6" s="1">
        <f t="shared" ref="O6:O20" si="1">LN(D6/C6)</f>
        <v>-1.4352889099159176</v>
      </c>
      <c r="P6" s="1">
        <f t="shared" ref="P6:P20" si="2">LN(E6/C6)</f>
        <v>-3.1662564120513341</v>
      </c>
      <c r="Q6" s="1">
        <f t="shared" ref="Q6:Q20" si="3">LN(L6/C6)</f>
        <v>-7.8200142033195119</v>
      </c>
      <c r="R6" s="1">
        <f t="shared" ref="R6:R20" si="4">LN(F6/C6)</f>
        <v>-3.9150915906543049</v>
      </c>
      <c r="S6" s="1">
        <f t="shared" ref="S6:S20" si="5">LN(G6/C6)</f>
        <v>-4.8466736128495471</v>
      </c>
      <c r="T6" s="1">
        <f t="shared" ref="T6:T20" si="6">LN(H6/C6)</f>
        <v>-3.3784187637767689</v>
      </c>
      <c r="U6" s="1">
        <f t="shared" ref="U6:U20" si="7">LN(I6/C6)</f>
        <v>-3.0082582118654457</v>
      </c>
      <c r="V6" s="1">
        <f t="shared" ref="V6:V20" si="8">LN(K6/C6)</f>
        <v>-6.8507300278525207</v>
      </c>
      <c r="X6" s="11">
        <f t="shared" ref="X6:X20" si="9">(-0.263*N6)+(0.604*O6)+(-1.725*P6)+(0.66*Q6)+(2.191*R6)+(0.144*S6)+(-1.304*T6)+(0.054*U6)+(-0.33*V6)+1.588</f>
        <v>-0.58926361494543711</v>
      </c>
      <c r="Y6" s="11">
        <f t="shared" ref="Y6:Y20" si="10">(-1.196*N6)+(1.064*O6)+(0.303*P6)+(0.436*Q6)+(0.838*R6)+(-0.407*S6)+(1.021*T6)+(-1.706*U6)+(-0.126*V6)-1.068</f>
        <v>-0.44578759066204066</v>
      </c>
      <c r="Z6" s="1">
        <f t="shared" ref="Z6:Z20" si="11">(-1.773*H6)+0.607*C6+0.76*J6+(-1.5*E6)+0.616*L6+0.509*F6+(-1.224*G6)-9.09</f>
        <v>26.017301757080855</v>
      </c>
      <c r="AA6" s="1">
        <f t="shared" ref="AA6:AA20" si="12">0.445*H6+0.07*C6+(-0.25*J6)+(-1.142*E6)+0.438*L6+1.475*F6+1.426*G6-6.861</f>
        <v>-1.5379847622101339</v>
      </c>
    </row>
    <row r="7" spans="1:34" ht="12.75" x14ac:dyDescent="0.2">
      <c r="A7" s="6">
        <v>3</v>
      </c>
      <c r="C7" s="11">
        <v>71.702591901946519</v>
      </c>
      <c r="D7" s="11">
        <v>15.926368123616276</v>
      </c>
      <c r="E7" s="11">
        <v>3.7165753527235617</v>
      </c>
      <c r="F7" s="11">
        <v>1.6954843965481801</v>
      </c>
      <c r="G7" s="11">
        <v>0.68031822093413108</v>
      </c>
      <c r="H7" s="11">
        <v>1.7800057089420167</v>
      </c>
      <c r="I7" s="11">
        <v>3.4651943094309421</v>
      </c>
      <c r="J7" s="11">
        <v>0.86189645419215855</v>
      </c>
      <c r="K7" s="11">
        <v>0.13505632313362623</v>
      </c>
      <c r="L7" s="11">
        <v>3.6509208532597773E-2</v>
      </c>
      <c r="N7" s="1">
        <f t="shared" si="0"/>
        <v>-4.421147034492944</v>
      </c>
      <c r="O7" s="1">
        <f t="shared" si="1"/>
        <v>-1.5045507880129683</v>
      </c>
      <c r="P7" s="1">
        <f t="shared" si="2"/>
        <v>-2.9597242560499977</v>
      </c>
      <c r="Q7" s="1">
        <f t="shared" si="3"/>
        <v>-7.5827176578610462</v>
      </c>
      <c r="R7" s="1">
        <f t="shared" si="4"/>
        <v>-3.7445584165326458</v>
      </c>
      <c r="S7" s="1">
        <f t="shared" si="5"/>
        <v>-4.657721514527025</v>
      </c>
      <c r="T7" s="1">
        <f t="shared" si="6"/>
        <v>-3.6959103246426226</v>
      </c>
      <c r="U7" s="1">
        <f t="shared" si="7"/>
        <v>-3.0297581873848536</v>
      </c>
      <c r="V7" s="1">
        <f t="shared" si="8"/>
        <v>-6.274590275365969</v>
      </c>
      <c r="W7" s="11"/>
      <c r="X7" s="11">
        <f t="shared" si="9"/>
        <v>-0.20562079501918307</v>
      </c>
      <c r="Y7" s="11">
        <f t="shared" si="10"/>
        <v>-0.64041742933010681</v>
      </c>
      <c r="Z7" s="1">
        <f t="shared" si="11"/>
        <v>26.410483166503756</v>
      </c>
      <c r="AA7" s="1">
        <f t="shared" si="12"/>
        <v>-2.0225548914449769</v>
      </c>
    </row>
    <row r="8" spans="1:34" ht="12.75" x14ac:dyDescent="0.2">
      <c r="A8" s="6">
        <v>4</v>
      </c>
      <c r="C8" s="11">
        <v>72.895662565144846</v>
      </c>
      <c r="D8" s="11">
        <v>18.383270703421552</v>
      </c>
      <c r="E8" s="11">
        <v>1.1698859465092244</v>
      </c>
      <c r="F8" s="11">
        <v>0.94519643119473917</v>
      </c>
      <c r="G8" s="11">
        <v>0.34714667046424702</v>
      </c>
      <c r="H8" s="11">
        <v>1.8965779132817906</v>
      </c>
      <c r="I8" s="11">
        <v>3.1673258430063385</v>
      </c>
      <c r="J8" s="11">
        <v>0.92464623879441254</v>
      </c>
      <c r="K8" s="11">
        <v>0.25939346222117937</v>
      </c>
      <c r="L8" s="11">
        <v>1.0894225961654578E-2</v>
      </c>
      <c r="N8" s="1">
        <f t="shared" si="0"/>
        <v>-4.3673731979908617</v>
      </c>
      <c r="O8" s="1">
        <f t="shared" si="1"/>
        <v>-1.3775880886839036</v>
      </c>
      <c r="P8" s="1">
        <f t="shared" si="2"/>
        <v>-4.1321228763820255</v>
      </c>
      <c r="Q8" s="1">
        <f t="shared" si="3"/>
        <v>-8.8085514972152108</v>
      </c>
      <c r="R8" s="1">
        <f t="shared" si="4"/>
        <v>-4.3453916482149246</v>
      </c>
      <c r="S8" s="1">
        <f t="shared" si="5"/>
        <v>-5.347037045710759</v>
      </c>
      <c r="T8" s="1">
        <f t="shared" si="6"/>
        <v>-3.6489779748520377</v>
      </c>
      <c r="U8" s="1">
        <f t="shared" si="7"/>
        <v>-3.1361414895987303</v>
      </c>
      <c r="V8" s="1">
        <f t="shared" si="8"/>
        <v>-5.6384383497064068</v>
      </c>
      <c r="W8" s="11"/>
      <c r="X8" s="11">
        <f t="shared" si="9"/>
        <v>-0.62230222254593492</v>
      </c>
      <c r="Y8" s="11">
        <f t="shared" si="10"/>
        <v>-1.5330370884975064</v>
      </c>
      <c r="Z8" s="1">
        <f t="shared" si="11"/>
        <v>30.80584506053648</v>
      </c>
      <c r="AA8" s="1">
        <f t="shared" si="12"/>
        <v>-0.5875302005761398</v>
      </c>
    </row>
    <row r="9" spans="1:34" ht="12.75" x14ac:dyDescent="0.2">
      <c r="A9" s="6">
        <v>5</v>
      </c>
      <c r="C9" s="11">
        <v>65.645454618172195</v>
      </c>
      <c r="D9" s="11">
        <v>15.55178018180955</v>
      </c>
      <c r="E9" s="11">
        <v>8.9996338454781242</v>
      </c>
      <c r="F9" s="11">
        <v>1.835123615908786</v>
      </c>
      <c r="G9" s="11">
        <v>0.79360785518329413</v>
      </c>
      <c r="H9" s="11">
        <v>1.8686029827881954</v>
      </c>
      <c r="I9" s="11">
        <v>4.138246304209841</v>
      </c>
      <c r="J9" s="11">
        <v>0.79470229817933002</v>
      </c>
      <c r="K9" s="11">
        <v>0.16666057534470366</v>
      </c>
      <c r="L9" s="11">
        <v>0.20618772292594689</v>
      </c>
      <c r="N9" s="1">
        <f t="shared" si="0"/>
        <v>-4.4140560639237965</v>
      </c>
      <c r="O9" s="1">
        <f t="shared" si="1"/>
        <v>-1.440093248548413</v>
      </c>
      <c r="P9" s="1">
        <f t="shared" si="2"/>
        <v>-1.9870844690936529</v>
      </c>
      <c r="Q9" s="1">
        <f t="shared" si="3"/>
        <v>-5.7632366105797139</v>
      </c>
      <c r="R9" s="1">
        <f t="shared" si="4"/>
        <v>-3.5771565169110593</v>
      </c>
      <c r="S9" s="1">
        <f t="shared" si="5"/>
        <v>-4.4154341866625257</v>
      </c>
      <c r="T9" s="1">
        <f t="shared" si="6"/>
        <v>-3.5590772781220856</v>
      </c>
      <c r="U9" s="1">
        <f t="shared" si="7"/>
        <v>-2.7639962616892064</v>
      </c>
      <c r="V9" s="1">
        <f t="shared" si="8"/>
        <v>-5.9760643795942237</v>
      </c>
      <c r="W9" s="11"/>
      <c r="X9" s="11">
        <f t="shared" si="9"/>
        <v>-0.50642526473279936</v>
      </c>
      <c r="Y9" s="11">
        <f t="shared" si="10"/>
        <v>0.19806246575740571</v>
      </c>
      <c r="Z9" s="1">
        <f t="shared" si="11"/>
        <v>14.637994386221759</v>
      </c>
      <c r="AA9" s="1">
        <f t="shared" si="12"/>
        <v>-7.981744917869646</v>
      </c>
    </row>
    <row r="10" spans="1:34" ht="12.75" x14ac:dyDescent="0.2">
      <c r="A10" s="6">
        <v>6</v>
      </c>
      <c r="C10" s="11">
        <v>71.809828428139625</v>
      </c>
      <c r="D10" s="11">
        <v>15.967304134398409</v>
      </c>
      <c r="E10" s="11">
        <v>3.3407018117632998</v>
      </c>
      <c r="F10" s="11">
        <v>1.351721237879691</v>
      </c>
      <c r="G10" s="11">
        <v>0.40514771650153086</v>
      </c>
      <c r="H10" s="11">
        <v>2.2169236982329039</v>
      </c>
      <c r="I10" s="11">
        <v>4.00846272207475</v>
      </c>
      <c r="J10" s="11">
        <v>0.73655450301448611</v>
      </c>
      <c r="K10" s="11">
        <v>0.11763080322667561</v>
      </c>
      <c r="L10" s="11">
        <v>4.5724944768634028E-2</v>
      </c>
      <c r="N10" s="1">
        <f t="shared" si="0"/>
        <v>-4.5797933959542121</v>
      </c>
      <c r="O10" s="1">
        <f t="shared" si="1"/>
        <v>-1.5034782130099962</v>
      </c>
      <c r="P10" s="1">
        <f t="shared" si="2"/>
        <v>-3.0678404446736791</v>
      </c>
      <c r="Q10" s="1">
        <f t="shared" si="3"/>
        <v>-7.3591326454808739</v>
      </c>
      <c r="R10" s="1">
        <f t="shared" si="4"/>
        <v>-3.9726425815104136</v>
      </c>
      <c r="S10" s="1">
        <f t="shared" si="5"/>
        <v>-5.1775248991435454</v>
      </c>
      <c r="T10" s="1">
        <f t="shared" si="6"/>
        <v>-3.4779008395043789</v>
      </c>
      <c r="U10" s="1">
        <f t="shared" si="7"/>
        <v>-2.8856135461336905</v>
      </c>
      <c r="V10" s="1">
        <f t="shared" si="8"/>
        <v>-6.4142256984881456</v>
      </c>
      <c r="W10" s="11"/>
      <c r="X10" s="11">
        <f t="shared" si="9"/>
        <v>-0.63418739431976734</v>
      </c>
      <c r="Y10" s="11">
        <f t="shared" si="10"/>
        <v>-0.37011486402187643</v>
      </c>
      <c r="Z10" s="1">
        <f t="shared" si="11"/>
        <v>26.336980714620243</v>
      </c>
      <c r="AA10" s="1">
        <f t="shared" si="12"/>
        <v>-2.2554440636915034</v>
      </c>
    </row>
    <row r="11" spans="1:34" ht="12.75" x14ac:dyDescent="0.2">
      <c r="A11" s="6">
        <v>7</v>
      </c>
      <c r="C11" s="11">
        <v>69.183394047181196</v>
      </c>
      <c r="D11" s="11">
        <v>15.375069939099239</v>
      </c>
      <c r="E11" s="11">
        <v>6.4992053285891265</v>
      </c>
      <c r="F11" s="11">
        <v>1.9227113555856878</v>
      </c>
      <c r="G11" s="11">
        <v>0.71868701414169933</v>
      </c>
      <c r="H11" s="11">
        <v>2.0976498704406215</v>
      </c>
      <c r="I11" s="11">
        <v>3.0180694674403106</v>
      </c>
      <c r="J11" s="11">
        <v>0.85075206553093863</v>
      </c>
      <c r="K11" s="11">
        <v>0.17406960274829664</v>
      </c>
      <c r="L11" s="11">
        <v>0.16039130924289491</v>
      </c>
      <c r="N11" s="1">
        <f t="shared" si="0"/>
        <v>-4.3983954011195898</v>
      </c>
      <c r="O11" s="1">
        <f t="shared" si="1"/>
        <v>-1.504013500842921</v>
      </c>
      <c r="P11" s="1">
        <f t="shared" si="2"/>
        <v>-2.3650809511222159</v>
      </c>
      <c r="Q11" s="1">
        <f t="shared" si="3"/>
        <v>-6.0668996302047313</v>
      </c>
      <c r="R11" s="1">
        <f t="shared" si="4"/>
        <v>-3.5830245091688009</v>
      </c>
      <c r="S11" s="1">
        <f t="shared" si="5"/>
        <v>-4.5670901866186933</v>
      </c>
      <c r="T11" s="1">
        <f t="shared" si="6"/>
        <v>-3.4959432546646858</v>
      </c>
      <c r="U11" s="1">
        <f t="shared" si="7"/>
        <v>-3.1321434856217123</v>
      </c>
      <c r="V11" s="1">
        <f t="shared" si="8"/>
        <v>-5.9850609073674477</v>
      </c>
      <c r="W11" s="11"/>
      <c r="X11" s="11">
        <f t="shared" si="9"/>
        <v>-0.23145861043547167</v>
      </c>
      <c r="Y11" s="11">
        <f t="shared" si="10"/>
        <v>0.61485033293951652</v>
      </c>
      <c r="Z11" s="1">
        <f t="shared" si="11"/>
        <v>20.280738764444887</v>
      </c>
      <c r="AA11" s="1">
        <f t="shared" si="12"/>
        <v>-4.7883904008794147</v>
      </c>
    </row>
    <row r="12" spans="1:34" ht="12.75" x14ac:dyDescent="0.2">
      <c r="A12" s="6">
        <v>8</v>
      </c>
      <c r="C12" s="11">
        <v>70.553539553415419</v>
      </c>
      <c r="D12" s="11">
        <v>17.763148194047751</v>
      </c>
      <c r="E12" s="11">
        <v>3.6533140892333411</v>
      </c>
      <c r="F12" s="11">
        <v>1.9632995893567438</v>
      </c>
      <c r="G12" s="11">
        <v>0.22646637355994487</v>
      </c>
      <c r="H12" s="11">
        <v>1.4599808802755219</v>
      </c>
      <c r="I12" s="11">
        <v>3.4504298925613757</v>
      </c>
      <c r="J12" s="11">
        <v>0.81892241628059503</v>
      </c>
      <c r="K12" s="11">
        <v>7.3990082107937172E-2</v>
      </c>
      <c r="L12" s="11">
        <v>3.6908929161367496E-2</v>
      </c>
      <c r="N12" s="1">
        <f t="shared" si="0"/>
        <v>-4.4561377773219135</v>
      </c>
      <c r="O12" s="1">
        <f t="shared" si="1"/>
        <v>-1.3792458628564424</v>
      </c>
      <c r="P12" s="1">
        <f t="shared" si="2"/>
        <v>-2.960737122597302</v>
      </c>
      <c r="Q12" s="1">
        <f t="shared" si="3"/>
        <v>-7.5556736224054291</v>
      </c>
      <c r="R12" s="1">
        <f t="shared" si="4"/>
        <v>-3.5817453261267342</v>
      </c>
      <c r="S12" s="1">
        <f t="shared" si="5"/>
        <v>-5.7415306540740554</v>
      </c>
      <c r="T12" s="1">
        <f t="shared" si="6"/>
        <v>-3.8779485079567717</v>
      </c>
      <c r="U12" s="1">
        <f t="shared" si="7"/>
        <v>-3.0178730180695221</v>
      </c>
      <c r="V12" s="1">
        <f t="shared" si="8"/>
        <v>-6.8601960682181833</v>
      </c>
      <c r="W12" s="11"/>
      <c r="X12" s="11">
        <f t="shared" si="9"/>
        <v>0.5307866701446744</v>
      </c>
      <c r="Y12" s="11">
        <f t="shared" si="10"/>
        <v>-8.5628242058257698E-3</v>
      </c>
      <c r="Z12" s="1">
        <f t="shared" si="11"/>
        <v>27.034722860826509</v>
      </c>
      <c r="AA12" s="1">
        <f t="shared" si="12"/>
        <v>-2.4144019795425784</v>
      </c>
    </row>
    <row r="13" spans="1:34" ht="12.75" x14ac:dyDescent="0.2">
      <c r="A13" s="6">
        <v>9</v>
      </c>
      <c r="C13" s="11">
        <v>71.075320958830233</v>
      </c>
      <c r="D13" s="11">
        <v>17.150726188756366</v>
      </c>
      <c r="E13" s="11">
        <v>4.0764165964033046</v>
      </c>
      <c r="F13" s="11">
        <v>1.4303806832000405</v>
      </c>
      <c r="G13" s="11">
        <v>0.35478671123264871</v>
      </c>
      <c r="H13" s="11">
        <v>1.7280583071024376</v>
      </c>
      <c r="I13" s="11">
        <v>3.2225153216726712</v>
      </c>
      <c r="J13" s="11">
        <v>0.8451611179078703</v>
      </c>
      <c r="K13" s="11">
        <v>9.4386084855120497E-2</v>
      </c>
      <c r="L13" s="11">
        <v>2.2248030039308784E-2</v>
      </c>
      <c r="N13" s="1">
        <f t="shared" si="0"/>
        <v>-4.4319681710238399</v>
      </c>
      <c r="O13" s="1">
        <f t="shared" si="1"/>
        <v>-1.4216996572203735</v>
      </c>
      <c r="P13" s="1">
        <f t="shared" si="2"/>
        <v>-2.8585218560012065</v>
      </c>
      <c r="Q13" s="1">
        <f t="shared" si="3"/>
        <v>-8.0692419851523098</v>
      </c>
      <c r="R13" s="1">
        <f t="shared" si="4"/>
        <v>-3.9057995524319034</v>
      </c>
      <c r="S13" s="1">
        <f t="shared" si="5"/>
        <v>-5.299978656800179</v>
      </c>
      <c r="T13" s="1">
        <f t="shared" si="6"/>
        <v>-3.7167417609548554</v>
      </c>
      <c r="U13" s="1">
        <f t="shared" si="7"/>
        <v>-3.0935779628916982</v>
      </c>
      <c r="V13" s="1">
        <f t="shared" si="8"/>
        <v>-6.6241017961953856</v>
      </c>
      <c r="W13" s="11"/>
      <c r="X13" s="11">
        <f t="shared" si="9"/>
        <v>-0.95512057950434981</v>
      </c>
      <c r="Y13" s="11">
        <f t="shared" si="10"/>
        <v>-0.46285734917405075</v>
      </c>
      <c r="Z13" s="1">
        <f t="shared" si="11"/>
        <v>25.824079618226623</v>
      </c>
      <c r="AA13" s="1">
        <f t="shared" si="12"/>
        <v>-3.3578176236958055</v>
      </c>
    </row>
    <row r="14" spans="1:34" ht="12.75" x14ac:dyDescent="0.2">
      <c r="A14" s="6">
        <v>10</v>
      </c>
      <c r="C14" s="11">
        <v>69.642307786147072</v>
      </c>
      <c r="D14" s="11">
        <v>17.460270355142722</v>
      </c>
      <c r="E14" s="11">
        <v>5.2176630154752948</v>
      </c>
      <c r="F14" s="11">
        <v>1.6461728824387241</v>
      </c>
      <c r="G14" s="11">
        <v>0.48213622360060876</v>
      </c>
      <c r="H14" s="11">
        <v>1.5889903742997256</v>
      </c>
      <c r="I14" s="11">
        <v>2.8240928771681144</v>
      </c>
      <c r="J14" s="11">
        <v>0.8495246005126863</v>
      </c>
      <c r="K14" s="11">
        <v>0.16153611907734314</v>
      </c>
      <c r="L14" s="11">
        <v>0.12730576613755698</v>
      </c>
      <c r="M14" s="11"/>
      <c r="N14" s="1">
        <f t="shared" si="0"/>
        <v>-4.4064506326277835</v>
      </c>
      <c r="O14" s="1">
        <f t="shared" si="1"/>
        <v>-1.3834442186030986</v>
      </c>
      <c r="P14" s="1">
        <f t="shared" si="2"/>
        <v>-2.5913226496895785</v>
      </c>
      <c r="Q14" s="1">
        <f t="shared" si="3"/>
        <v>-6.3045357319368502</v>
      </c>
      <c r="R14" s="1">
        <f t="shared" si="4"/>
        <v>-3.7449191245548672</v>
      </c>
      <c r="S14" s="1">
        <f t="shared" si="5"/>
        <v>-4.9729008364360281</v>
      </c>
      <c r="T14" s="1">
        <f t="shared" si="6"/>
        <v>-3.7802734233257556</v>
      </c>
      <c r="U14" s="1">
        <f t="shared" si="7"/>
        <v>-3.2051850455467612</v>
      </c>
      <c r="V14" s="1">
        <f t="shared" si="8"/>
        <v>-6.0663987669396429</v>
      </c>
      <c r="W14" s="11"/>
      <c r="X14" s="11">
        <f t="shared" si="9"/>
        <v>5.7426818281878234E-2</v>
      </c>
      <c r="Y14" s="11">
        <f t="shared" si="10"/>
        <v>0.45466314722278067</v>
      </c>
      <c r="Z14" s="1">
        <f t="shared" si="11"/>
        <v>23.510932677149452</v>
      </c>
      <c r="AA14" s="1">
        <f t="shared" si="12"/>
        <v>-4.2784988701874482</v>
      </c>
      <c r="AB14" s="11"/>
    </row>
    <row r="15" spans="1:34" ht="12.75" x14ac:dyDescent="0.2">
      <c r="A15" s="6">
        <v>11</v>
      </c>
      <c r="C15" s="11">
        <v>72.349123580356164</v>
      </c>
      <c r="D15" s="11">
        <v>17.573715771832962</v>
      </c>
      <c r="E15" s="11">
        <v>2.9740319144063752</v>
      </c>
      <c r="F15" s="11">
        <v>1.3033796734278373</v>
      </c>
      <c r="G15" s="11">
        <v>0.36136945486876537</v>
      </c>
      <c r="H15" s="11">
        <v>1.6691521601300969</v>
      </c>
      <c r="I15" s="11">
        <v>2.8810657294645976</v>
      </c>
      <c r="J15" s="11">
        <v>0.76042146990765802</v>
      </c>
      <c r="K15" s="11">
        <v>9.9172080599400289E-2</v>
      </c>
      <c r="L15" s="11">
        <v>2.8568165006164874E-2</v>
      </c>
      <c r="M15" s="11"/>
      <c r="N15" s="1">
        <f t="shared" si="0"/>
        <v>-4.5553857731431728</v>
      </c>
      <c r="O15" s="1">
        <f t="shared" si="1"/>
        <v>-1.4150989756717365</v>
      </c>
      <c r="P15" s="1">
        <f t="shared" si="2"/>
        <v>-3.1915847602756253</v>
      </c>
      <c r="Q15" s="1">
        <f t="shared" si="3"/>
        <v>-7.8369656321924612</v>
      </c>
      <c r="R15" s="1">
        <f t="shared" si="4"/>
        <v>-4.0165426996378502</v>
      </c>
      <c r="S15" s="1">
        <f t="shared" si="5"/>
        <v>-5.2993577626927468</v>
      </c>
      <c r="T15" s="1">
        <f t="shared" si="6"/>
        <v>-3.7691875304283236</v>
      </c>
      <c r="U15" s="1">
        <f t="shared" si="7"/>
        <v>-3.2233430687435787</v>
      </c>
      <c r="V15" s="1">
        <f t="shared" si="8"/>
        <v>-6.5924020892697799</v>
      </c>
      <c r="W15" s="11"/>
      <c r="X15" s="11">
        <f t="shared" si="9"/>
        <v>-0.38246679804952111</v>
      </c>
      <c r="Y15" s="11">
        <f t="shared" si="10"/>
        <v>-0.23708982635827158</v>
      </c>
      <c r="Z15" s="1">
        <f t="shared" si="11"/>
        <v>28.222085709544988</v>
      </c>
      <c r="AA15" s="1">
        <f t="shared" si="12"/>
        <v>-2.1899277346245505</v>
      </c>
      <c r="AB15" s="11"/>
    </row>
    <row r="16" spans="1:34" ht="12.75" x14ac:dyDescent="0.2">
      <c r="A16" s="6">
        <v>12</v>
      </c>
      <c r="C16" s="11">
        <v>67.211408948119896</v>
      </c>
      <c r="D16" s="11">
        <v>17.988640956404694</v>
      </c>
      <c r="E16" s="11">
        <v>6.4803109294626795</v>
      </c>
      <c r="F16" s="11">
        <v>1.9662827576252095</v>
      </c>
      <c r="G16" s="11">
        <v>0.47626726682706039</v>
      </c>
      <c r="H16" s="11">
        <v>1.2942088227894732</v>
      </c>
      <c r="I16" s="11">
        <v>3.4076029765648483</v>
      </c>
      <c r="J16" s="11">
        <v>0.89906228240211772</v>
      </c>
      <c r="K16" s="11">
        <v>0.13508830304939839</v>
      </c>
      <c r="L16" s="11">
        <v>0.14112675675462066</v>
      </c>
      <c r="M16" s="11"/>
      <c r="N16" s="1">
        <f t="shared" si="0"/>
        <v>-4.3142459763963128</v>
      </c>
      <c r="O16" s="1">
        <f t="shared" si="1"/>
        <v>-1.3181025084147233</v>
      </c>
      <c r="P16" s="1">
        <f t="shared" si="2"/>
        <v>-2.3390745169776661</v>
      </c>
      <c r="Q16" s="1">
        <f t="shared" si="3"/>
        <v>-6.16593981750529</v>
      </c>
      <c r="R16" s="1">
        <f t="shared" si="4"/>
        <v>-3.5316981739316531</v>
      </c>
      <c r="S16" s="1">
        <f t="shared" si="5"/>
        <v>-4.9496191065260771</v>
      </c>
      <c r="T16" s="1">
        <f t="shared" si="6"/>
        <v>-3.9499434483384572</v>
      </c>
      <c r="U16" s="1">
        <f t="shared" si="7"/>
        <v>-2.9818339044386066</v>
      </c>
      <c r="V16" s="1">
        <f t="shared" si="8"/>
        <v>-6.2096696268419578</v>
      </c>
      <c r="W16" s="11"/>
      <c r="X16" s="11">
        <f t="shared" si="9"/>
        <v>0.48009839117022235</v>
      </c>
      <c r="Y16" s="11">
        <f t="shared" si="10"/>
        <v>0.18375443954235715</v>
      </c>
      <c r="Z16" s="1">
        <f t="shared" si="11"/>
        <v>20.880334800330392</v>
      </c>
      <c r="AA16" s="1">
        <f t="shared" si="12"/>
        <v>-5.5643213900861035</v>
      </c>
      <c r="AB16" s="11"/>
    </row>
    <row r="17" spans="1:47" ht="12.75" x14ac:dyDescent="0.2">
      <c r="A17" s="6">
        <v>13</v>
      </c>
      <c r="C17" s="11">
        <v>71.490066624050598</v>
      </c>
      <c r="D17" s="11">
        <v>17.614755255951081</v>
      </c>
      <c r="E17" s="11">
        <v>3.4372759122995613</v>
      </c>
      <c r="F17" s="11">
        <v>1.5535708847804595</v>
      </c>
      <c r="G17" s="11">
        <v>0.4096229163567664</v>
      </c>
      <c r="H17" s="11">
        <v>1.481122620623633</v>
      </c>
      <c r="I17" s="11">
        <v>3.0039467775293716</v>
      </c>
      <c r="J17" s="11">
        <v>0.83878076103080546</v>
      </c>
      <c r="K17" s="11">
        <v>0.11726667805350389</v>
      </c>
      <c r="L17" s="11">
        <v>5.3591569324238329E-2</v>
      </c>
      <c r="M17" s="11"/>
      <c r="N17" s="1">
        <f t="shared" si="0"/>
        <v>-4.4453644282318834</v>
      </c>
      <c r="O17" s="1">
        <f t="shared" si="1"/>
        <v>-1.400821594087226</v>
      </c>
      <c r="P17" s="1">
        <f t="shared" si="2"/>
        <v>-3.034879239995004</v>
      </c>
      <c r="Q17" s="1">
        <f t="shared" si="3"/>
        <v>-7.1959220237170172</v>
      </c>
      <c r="R17" s="1">
        <f t="shared" si="4"/>
        <v>-3.8290024338205679</v>
      </c>
      <c r="S17" s="1">
        <f t="shared" si="5"/>
        <v>-5.1620767703988113</v>
      </c>
      <c r="T17" s="1">
        <f t="shared" si="6"/>
        <v>-3.8767581840256971</v>
      </c>
      <c r="U17" s="1">
        <f t="shared" si="7"/>
        <v>-3.1696314951692419</v>
      </c>
      <c r="V17" s="1">
        <f t="shared" si="8"/>
        <v>-6.4128631499582838</v>
      </c>
      <c r="W17" s="11"/>
      <c r="X17" s="11">
        <f t="shared" si="9"/>
        <v>0.26458677841276179</v>
      </c>
      <c r="Y17" s="11">
        <f t="shared" si="10"/>
        <v>-0.14930554422866749</v>
      </c>
      <c r="Z17" s="1">
        <f t="shared" si="11"/>
        <v>27.482401081803392</v>
      </c>
      <c r="AA17" s="1">
        <f t="shared" si="12"/>
        <v>-2.4335476111027976</v>
      </c>
      <c r="AB17" s="11"/>
    </row>
    <row r="18" spans="1:47" ht="12.75" x14ac:dyDescent="0.2">
      <c r="A18" s="6">
        <v>14</v>
      </c>
      <c r="C18" s="11">
        <v>72.274618320973403</v>
      </c>
      <c r="D18" s="11">
        <v>17.376230846430904</v>
      </c>
      <c r="E18" s="11">
        <v>3.1789707389320747</v>
      </c>
      <c r="F18" s="11">
        <v>1.4950251789961511</v>
      </c>
      <c r="G18" s="11">
        <v>0.31593649629119108</v>
      </c>
      <c r="H18" s="11">
        <v>1.2643144643330444</v>
      </c>
      <c r="I18" s="11">
        <v>3.1958277177242289</v>
      </c>
      <c r="J18" s="11">
        <v>0.76413170318217538</v>
      </c>
      <c r="K18" s="11">
        <v>0.10710322647230144</v>
      </c>
      <c r="L18" s="11">
        <v>2.784130666453832E-2</v>
      </c>
      <c r="M18" s="11"/>
      <c r="N18" s="1">
        <f t="shared" si="0"/>
        <v>-4.5494881252694173</v>
      </c>
      <c r="O18" s="1">
        <f t="shared" si="1"/>
        <v>-1.425369777936913</v>
      </c>
      <c r="P18" s="1">
        <f t="shared" si="2"/>
        <v>-3.123915529562959</v>
      </c>
      <c r="Q18" s="1">
        <f t="shared" si="3"/>
        <v>-7.8617075167889521</v>
      </c>
      <c r="R18" s="1">
        <f t="shared" si="4"/>
        <v>-3.8783299581223667</v>
      </c>
      <c r="S18" s="1">
        <f t="shared" si="5"/>
        <v>-5.4326870536555214</v>
      </c>
      <c r="T18" s="1">
        <f t="shared" si="6"/>
        <v>-4.045942957104681</v>
      </c>
      <c r="U18" s="1">
        <f t="shared" si="7"/>
        <v>-3.1186268861031832</v>
      </c>
      <c r="V18" s="1">
        <f t="shared" si="8"/>
        <v>-6.5144351831514928</v>
      </c>
      <c r="W18" s="11"/>
      <c r="X18" s="11">
        <f t="shared" si="9"/>
        <v>0.10115885916978362</v>
      </c>
      <c r="Y18" s="11">
        <f t="shared" si="10"/>
        <v>-0.54630486118371879</v>
      </c>
      <c r="Z18" s="1">
        <f t="shared" si="11"/>
        <v>28.742759551142687</v>
      </c>
      <c r="AA18" s="1">
        <f t="shared" si="12"/>
        <v>-2.3926922155100003</v>
      </c>
      <c r="AB18" s="11"/>
    </row>
    <row r="19" spans="1:47" ht="12.75" x14ac:dyDescent="0.2">
      <c r="A19" s="6">
        <v>15</v>
      </c>
      <c r="C19" s="11">
        <v>76.070410038439519</v>
      </c>
      <c r="D19" s="11">
        <v>17.610920138669997</v>
      </c>
      <c r="E19" s="11">
        <v>1.1008777736527371</v>
      </c>
      <c r="F19" s="11">
        <v>0.70153548943966493</v>
      </c>
      <c r="G19" s="11">
        <v>0.39065755659441337</v>
      </c>
      <c r="H19" s="11">
        <v>0.72153071163812854</v>
      </c>
      <c r="I19" s="11">
        <v>2.6165252325371489</v>
      </c>
      <c r="J19" s="11">
        <v>0.75973632143010694</v>
      </c>
      <c r="K19" s="11">
        <v>2.0430210664688232E-2</v>
      </c>
      <c r="L19" s="11">
        <v>7.3765269336103839E-3</v>
      </c>
      <c r="M19" s="11"/>
      <c r="N19" s="1">
        <f t="shared" si="0"/>
        <v>-4.6064432106605491</v>
      </c>
      <c r="O19" s="1">
        <f t="shared" si="1"/>
        <v>-1.4631401872112668</v>
      </c>
      <c r="P19" s="1">
        <f t="shared" si="2"/>
        <v>-4.2355515216339237</v>
      </c>
      <c r="Q19" s="1">
        <f t="shared" si="3"/>
        <v>-9.2411117156135614</v>
      </c>
      <c r="R19" s="1">
        <f t="shared" si="4"/>
        <v>-4.686143149201186</v>
      </c>
      <c r="S19" s="1">
        <f t="shared" si="5"/>
        <v>-5.2715832763553427</v>
      </c>
      <c r="T19" s="1">
        <f t="shared" si="6"/>
        <v>-4.6580396945736995</v>
      </c>
      <c r="U19" s="1">
        <f t="shared" si="7"/>
        <v>-3.369812168866881</v>
      </c>
      <c r="V19" s="1">
        <f t="shared" si="8"/>
        <v>-8.2223999179419689</v>
      </c>
      <c r="W19" s="11"/>
      <c r="X19" s="11">
        <f t="shared" si="9"/>
        <v>0.70200877967286424</v>
      </c>
      <c r="Y19" s="11">
        <f t="shared" si="10"/>
        <v>-2.1803620422714927</v>
      </c>
      <c r="Z19" s="1">
        <f t="shared" si="11"/>
        <v>34.615008540850496</v>
      </c>
      <c r="AA19" s="1">
        <f t="shared" si="12"/>
        <v>-1.0670531870751585</v>
      </c>
      <c r="AB19" s="11"/>
    </row>
    <row r="20" spans="1:47" ht="12.75" x14ac:dyDescent="0.2">
      <c r="A20" s="6">
        <v>16</v>
      </c>
      <c r="C20" s="11">
        <v>72.590421285759064</v>
      </c>
      <c r="D20" s="11">
        <v>16.591932715290447</v>
      </c>
      <c r="E20" s="11">
        <v>3.3206127155176546</v>
      </c>
      <c r="F20" s="11">
        <v>1.4345271855278059</v>
      </c>
      <c r="G20" s="11">
        <v>0.48178189224846329</v>
      </c>
      <c r="H20" s="11">
        <v>1.6367170000985756</v>
      </c>
      <c r="I20" s="11">
        <v>3.0020690094724447</v>
      </c>
      <c r="J20" s="11">
        <v>0.86604278012450975</v>
      </c>
      <c r="K20" s="11">
        <v>3.7849322477117309E-2</v>
      </c>
      <c r="L20" s="11">
        <v>3.8046093483923467E-2</v>
      </c>
      <c r="M20" s="11"/>
      <c r="N20" s="1">
        <f t="shared" si="0"/>
        <v>-4.4286539468713979</v>
      </c>
      <c r="O20" s="1">
        <f t="shared" si="1"/>
        <v>-1.4759163786845984</v>
      </c>
      <c r="P20" s="1">
        <f t="shared" si="2"/>
        <v>-3.0846836561460784</v>
      </c>
      <c r="Q20" s="1">
        <f t="shared" si="3"/>
        <v>-7.5537898428238304</v>
      </c>
      <c r="R20" s="1">
        <f t="shared" si="4"/>
        <v>-3.9239976674318502</v>
      </c>
      <c r="S20" s="1">
        <f t="shared" si="5"/>
        <v>-5.0150967479651767</v>
      </c>
      <c r="T20" s="1">
        <f t="shared" si="6"/>
        <v>-3.7921405686236329</v>
      </c>
      <c r="U20" s="1">
        <f t="shared" si="7"/>
        <v>-3.1855312541341396</v>
      </c>
      <c r="V20" s="1">
        <f t="shared" si="8"/>
        <v>-7.5589751743806053</v>
      </c>
      <c r="W20" s="11"/>
      <c r="X20" s="11">
        <f t="shared" si="9"/>
        <v>0.14460210614734414</v>
      </c>
      <c r="Y20" s="11">
        <f t="shared" si="10"/>
        <v>-0.30181042367166699</v>
      </c>
      <c r="Z20" s="1">
        <f t="shared" si="11"/>
        <v>27.911669613806755</v>
      </c>
      <c r="AA20" s="1">
        <f t="shared" si="12"/>
        <v>-2.2403690951595054</v>
      </c>
      <c r="AB20" s="11"/>
    </row>
    <row r="21" spans="1:47" ht="12.75" x14ac:dyDescent="0.25"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47" ht="12.75" x14ac:dyDescent="0.25"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47" ht="15" customHeight="1" x14ac:dyDescent="0.25">
      <c r="B23" s="12"/>
      <c r="C23" s="12" t="s">
        <v>2</v>
      </c>
      <c r="D23" s="12" t="s">
        <v>8</v>
      </c>
      <c r="E23" s="12" t="s">
        <v>5</v>
      </c>
      <c r="F23" s="12" t="s">
        <v>10</v>
      </c>
      <c r="G23" s="12" t="s">
        <v>7</v>
      </c>
      <c r="H23" s="12" t="s">
        <v>6</v>
      </c>
      <c r="I23" s="12" t="s">
        <v>9</v>
      </c>
      <c r="J23" s="12" t="s">
        <v>11</v>
      </c>
      <c r="K23" s="12" t="s">
        <v>3</v>
      </c>
      <c r="L23" s="12" t="s">
        <v>4</v>
      </c>
      <c r="M23" s="12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</row>
    <row r="24" spans="1:47" ht="15" customHeight="1" x14ac:dyDescent="0.25">
      <c r="C24" s="11" t="s">
        <v>51</v>
      </c>
      <c r="D24" s="11" t="s">
        <v>51</v>
      </c>
      <c r="E24" s="11" t="s">
        <v>51</v>
      </c>
      <c r="F24" s="11" t="s">
        <v>51</v>
      </c>
      <c r="G24" s="11" t="s">
        <v>51</v>
      </c>
      <c r="H24" s="11" t="s">
        <v>51</v>
      </c>
      <c r="I24" s="11" t="s">
        <v>51</v>
      </c>
      <c r="J24" s="11" t="s">
        <v>51</v>
      </c>
      <c r="K24" s="11" t="s">
        <v>51</v>
      </c>
      <c r="L24" s="11" t="s">
        <v>51</v>
      </c>
      <c r="M24" s="1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</row>
    <row r="25" spans="1:47" ht="15" customHeight="1" x14ac:dyDescent="0.25"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</row>
    <row r="26" spans="1:47" ht="15" customHeight="1" x14ac:dyDescent="0.2">
      <c r="A26" s="6" t="s">
        <v>1</v>
      </c>
      <c r="M26" s="21"/>
      <c r="N26" s="34" t="s">
        <v>177</v>
      </c>
      <c r="O26" s="34"/>
      <c r="P26" s="34" t="s">
        <v>178</v>
      </c>
      <c r="Q26" s="34" t="s">
        <v>179</v>
      </c>
      <c r="R26" s="34" t="s">
        <v>180</v>
      </c>
      <c r="S26" s="34" t="s">
        <v>181</v>
      </c>
      <c r="T26" s="34" t="s">
        <v>182</v>
      </c>
      <c r="U26" s="34" t="s">
        <v>183</v>
      </c>
      <c r="V26" s="34" t="s">
        <v>184</v>
      </c>
      <c r="W26" s="34" t="s">
        <v>185</v>
      </c>
      <c r="X26" s="34" t="s">
        <v>186</v>
      </c>
      <c r="Y26" s="34"/>
      <c r="Z26" s="34" t="s">
        <v>187</v>
      </c>
      <c r="AA26" s="34" t="s">
        <v>188</v>
      </c>
      <c r="AB26" s="34" t="s">
        <v>189</v>
      </c>
      <c r="AC26" s="34" t="s">
        <v>190</v>
      </c>
      <c r="AD26" s="34" t="s">
        <v>191</v>
      </c>
      <c r="AE26" s="34" t="s">
        <v>192</v>
      </c>
      <c r="AF26" s="34" t="s">
        <v>52</v>
      </c>
      <c r="AG26" s="34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</row>
    <row r="27" spans="1:47" ht="15" customHeight="1" x14ac:dyDescent="0.2">
      <c r="A27" s="6"/>
      <c r="M27" s="1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11"/>
    </row>
    <row r="28" spans="1:47" ht="15" customHeight="1" x14ac:dyDescent="0.2">
      <c r="A28" s="6">
        <v>1</v>
      </c>
      <c r="C28" s="11">
        <v>16.876245435480836</v>
      </c>
      <c r="D28" s="11">
        <v>0.51793008162012955</v>
      </c>
      <c r="E28" s="11">
        <v>1.3669242255686396</v>
      </c>
      <c r="F28" s="11">
        <v>4.8249280325664872</v>
      </c>
      <c r="G28" s="11">
        <v>0.85824735061101187</v>
      </c>
      <c r="H28" s="11">
        <v>1.193726696660825E-2</v>
      </c>
      <c r="I28" s="11">
        <v>0.71696381342691673</v>
      </c>
      <c r="J28" s="11">
        <v>3.0877276542728371E-2</v>
      </c>
      <c r="K28" s="11">
        <v>73.889866999079061</v>
      </c>
      <c r="L28" s="11">
        <v>0.90607951813756737</v>
      </c>
      <c r="M28" s="11"/>
      <c r="N28" s="21">
        <f t="shared" ref="N28:N43" si="13">(C28*D28*E28*F28*G28*H28*I28*J28*K28*L28)^(1/10)</f>
        <v>0.98677628790435645</v>
      </c>
      <c r="O28" s="21"/>
      <c r="P28" s="21">
        <f t="shared" ref="P28:P43" si="14">(SQRT(1/2))*(LN(N28/L28))</f>
        <v>6.0327723336098829E-2</v>
      </c>
      <c r="Q28" s="21">
        <f t="shared" ref="Q28:Q43" si="15">(SQRT(2/3))*(LN(N28/C28))</f>
        <v>-2.3182125745838844</v>
      </c>
      <c r="R28" s="21">
        <f t="shared" ref="R28:R43" si="16">(SQRT(3/4))*(LN(N28/E28))</f>
        <v>-0.28221607082178052</v>
      </c>
      <c r="S28" s="21">
        <f t="shared" ref="S28:S43" si="17">(SQRT(4/5))*(LN(N28/H28))</f>
        <v>3.9486976380084164</v>
      </c>
      <c r="T28" s="21">
        <f t="shared" ref="T28:T43" si="18">(SQRT(5/6))*(LN(N28/G28))</f>
        <v>0.12739205990841485</v>
      </c>
      <c r="U28" s="21">
        <f t="shared" ref="U28:U43" si="19">(SQRT(6/7))*(LN(N28/D28))</f>
        <v>0.59678650589505577</v>
      </c>
      <c r="V28" s="21">
        <f t="shared" ref="V28:V43" si="20">(SQRT(7/8))*(LN(N28/I28))</f>
        <v>0.29878816592635765</v>
      </c>
      <c r="W28" s="21">
        <f t="shared" ref="W28:W43" si="21">(SQRT(8/9))*(LN(N28/F28))</f>
        <v>-1.4963395301098601</v>
      </c>
      <c r="X28" s="21">
        <f t="shared" ref="X28:X43" si="22">(SQRT(9/10))*(LN(N28/J28))</f>
        <v>3.2866400749507654</v>
      </c>
      <c r="Y28" s="21"/>
      <c r="Z28" s="21">
        <f>(3.0005*P28)+(2.8243*Q28)+(-1.0596*R28)+(-0.7056*S28)+(-0.3044*T28)+(0.6277*U28)+(-1.1838*V28)+(1.5915*W28)+(0.1526*X28)-5.9948</f>
        <v>-16.746043116105049</v>
      </c>
      <c r="AA28" s="21">
        <f t="shared" ref="AA28" si="23">Z28-(-1.00378)</f>
        <v>-15.74226311610505</v>
      </c>
      <c r="AB28" s="21">
        <f t="shared" ref="AB28" si="24">Z28-0.84703</f>
        <v>-17.59307311610505</v>
      </c>
      <c r="AC28" s="21">
        <f t="shared" ref="AC28" si="25">2.718-(AA28^2/2)</f>
        <v>-121.19142400834075</v>
      </c>
      <c r="AD28" s="21">
        <f>2.718-(AB28^2/2)</f>
        <v>-152.04011083430913</v>
      </c>
      <c r="AE28" s="21">
        <f t="shared" ref="AE28" si="26">AC28/(AC28+AD28)</f>
        <v>0.44354845087018652</v>
      </c>
      <c r="AF28" s="21">
        <f>AD28/(AC28+AD28)</f>
        <v>0.55645154912981354</v>
      </c>
      <c r="AG28" s="21">
        <f t="shared" ref="AG28" si="27">AE28+AF28</f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12"/>
    </row>
    <row r="29" spans="1:47" ht="15" customHeight="1" x14ac:dyDescent="0.2">
      <c r="A29" s="6">
        <v>2</v>
      </c>
      <c r="C29" s="11">
        <v>16.94243007068118</v>
      </c>
      <c r="D29" s="11">
        <v>0.55902360900446324</v>
      </c>
      <c r="E29" s="11">
        <v>3.0007241066731098</v>
      </c>
      <c r="F29" s="11">
        <v>3.5143403082149463</v>
      </c>
      <c r="G29" s="11">
        <v>1.4190937303917861</v>
      </c>
      <c r="H29" s="11">
        <v>2.8584114205519588E-2</v>
      </c>
      <c r="I29" s="11">
        <v>2.4270857958801835</v>
      </c>
      <c r="J29" s="11">
        <v>7.5349349471808727E-2</v>
      </c>
      <c r="K29" s="11">
        <v>71.172751426633937</v>
      </c>
      <c r="L29" s="11">
        <v>0.8606174888430681</v>
      </c>
      <c r="M29" s="11"/>
      <c r="N29" s="21">
        <f t="shared" si="13"/>
        <v>1.4645021414127084</v>
      </c>
      <c r="O29" s="21"/>
      <c r="P29" s="21">
        <f t="shared" si="14"/>
        <v>0.37591245109028865</v>
      </c>
      <c r="Q29" s="21">
        <f t="shared" si="15"/>
        <v>-1.9990332993100473</v>
      </c>
      <c r="R29" s="21">
        <f t="shared" si="16"/>
        <v>-0.62123317266521239</v>
      </c>
      <c r="S29" s="21">
        <f t="shared" si="17"/>
        <v>3.5208406470129119</v>
      </c>
      <c r="T29" s="21">
        <f t="shared" si="18"/>
        <v>2.8752604065519015E-2</v>
      </c>
      <c r="U29" s="21">
        <f t="shared" si="19"/>
        <v>0.8916378235277117</v>
      </c>
      <c r="V29" s="21">
        <f t="shared" si="20"/>
        <v>-0.47254880991654574</v>
      </c>
      <c r="W29" s="21">
        <f t="shared" si="21"/>
        <v>-0.82527514694232162</v>
      </c>
      <c r="X29" s="21">
        <f t="shared" si="22"/>
        <v>2.8148717371398941</v>
      </c>
      <c r="Y29" s="21"/>
      <c r="Z29" s="21">
        <f t="shared" ref="Z29:Z42" si="28">(3.0005*P29)+(2.8243*Q29)+(-1.0596*R29)+(-0.7056*S29)+(-0.3044*T29)+(0.6277*U29)+(-1.1838*V29)+(1.5915*W29)+(0.1526*X29)-5.9948</f>
        <v>-12.112334847462357</v>
      </c>
      <c r="AA29" s="21">
        <f t="shared" ref="AA29:AA43" si="29">Z29-(-1.00378)</f>
        <v>-11.108554847462358</v>
      </c>
      <c r="AB29" s="21">
        <f t="shared" ref="AB29:AB43" si="30">Z29-0.84703</f>
        <v>-12.959364847462357</v>
      </c>
      <c r="AC29" s="21">
        <f t="shared" ref="AC29:AC43" si="31">2.718-(AA29^2/2)</f>
        <v>-58.981995399539727</v>
      </c>
      <c r="AD29" s="21">
        <f t="shared" ref="AD29:AD43" si="32">2.718-(AB29^2/2)</f>
        <v>-81.254568624821516</v>
      </c>
      <c r="AE29" s="21">
        <f t="shared" ref="AE29:AE43" si="33">AC29/(AC29+AD29)</f>
        <v>0.42058927933583456</v>
      </c>
      <c r="AF29" s="21">
        <f t="shared" ref="AF29:AF43" si="34">AD29/(AC29+AD29)</f>
        <v>0.57941072066416532</v>
      </c>
      <c r="AG29" s="21">
        <f t="shared" ref="AG29:AG43" si="35">AE29+AF29</f>
        <v>0.99999999999999989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11"/>
    </row>
    <row r="30" spans="1:47" ht="15" customHeight="1" x14ac:dyDescent="0.2">
      <c r="A30" s="6">
        <v>3</v>
      </c>
      <c r="C30" s="11">
        <v>15.926368123616276</v>
      </c>
      <c r="D30" s="11">
        <v>0.68031822093413108</v>
      </c>
      <c r="E30" s="11">
        <v>3.7165753527235617</v>
      </c>
      <c r="F30" s="11">
        <v>3.4651943094309421</v>
      </c>
      <c r="G30" s="11">
        <v>1.6954843965481801</v>
      </c>
      <c r="H30" s="11">
        <v>3.6509208532597773E-2</v>
      </c>
      <c r="I30" s="11">
        <v>1.7800057089420167</v>
      </c>
      <c r="J30" s="11">
        <v>0.13505632313362623</v>
      </c>
      <c r="K30" s="11">
        <v>71.702591901946519</v>
      </c>
      <c r="L30" s="11">
        <v>0.86189645419215855</v>
      </c>
      <c r="M30" s="11"/>
      <c r="N30" s="21">
        <f t="shared" si="13"/>
        <v>1.6249207587154051</v>
      </c>
      <c r="O30" s="21"/>
      <c r="P30" s="21">
        <f t="shared" si="14"/>
        <v>0.44836169435536427</v>
      </c>
      <c r="Q30" s="21">
        <f t="shared" si="15"/>
        <v>-1.8636673733367666</v>
      </c>
      <c r="R30" s="21">
        <f t="shared" si="16"/>
        <v>-0.71650056611065294</v>
      </c>
      <c r="S30" s="21">
        <f t="shared" si="17"/>
        <v>3.394932399701069</v>
      </c>
      <c r="T30" s="21">
        <f t="shared" si="18"/>
        <v>-3.8805621908278333E-2</v>
      </c>
      <c r="U30" s="21">
        <f t="shared" si="19"/>
        <v>0.80606866673796729</v>
      </c>
      <c r="V30" s="21">
        <f t="shared" si="20"/>
        <v>-8.5270052806847893E-2</v>
      </c>
      <c r="W30" s="21">
        <f t="shared" si="21"/>
        <v>-0.71399839293613165</v>
      </c>
      <c r="X30" s="21">
        <f t="shared" si="22"/>
        <v>2.3598709827522018</v>
      </c>
      <c r="Y30" s="21"/>
      <c r="Z30" s="21">
        <f t="shared" si="28"/>
        <v>-11.706794508436804</v>
      </c>
      <c r="AA30" s="21">
        <f t="shared" si="29"/>
        <v>-10.703014508436805</v>
      </c>
      <c r="AB30" s="21">
        <f t="shared" si="30"/>
        <v>-12.553824508436804</v>
      </c>
      <c r="AC30" s="21">
        <f t="shared" si="31"/>
        <v>-54.559259783904366</v>
      </c>
      <c r="AD30" s="21">
        <f t="shared" si="32"/>
        <v>-76.081254894314284</v>
      </c>
      <c r="AE30" s="21">
        <f t="shared" si="33"/>
        <v>0.4176289409015998</v>
      </c>
      <c r="AF30" s="21">
        <f t="shared" si="34"/>
        <v>0.58237105909840003</v>
      </c>
      <c r="AG30" s="21">
        <f t="shared" si="35"/>
        <v>0.99999999999999978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11"/>
    </row>
    <row r="31" spans="1:47" ht="15" customHeight="1" x14ac:dyDescent="0.2">
      <c r="A31" s="6">
        <v>4</v>
      </c>
      <c r="C31" s="11">
        <v>18.383270703421552</v>
      </c>
      <c r="D31" s="11">
        <v>0.34714667046424702</v>
      </c>
      <c r="E31" s="11">
        <v>1.1698859465092244</v>
      </c>
      <c r="F31" s="11">
        <v>3.1673258430063385</v>
      </c>
      <c r="G31" s="11">
        <v>0.94519643119473917</v>
      </c>
      <c r="H31" s="11">
        <v>1.0894225961654578E-2</v>
      </c>
      <c r="I31" s="11">
        <v>1.8965779132817906</v>
      </c>
      <c r="J31" s="11">
        <v>0.25939346222117937</v>
      </c>
      <c r="K31" s="11">
        <v>72.895662565144846</v>
      </c>
      <c r="L31" s="11">
        <v>0.92464623879441254</v>
      </c>
      <c r="M31" s="11"/>
      <c r="N31" s="21">
        <f t="shared" si="13"/>
        <v>1.2322809981132534</v>
      </c>
      <c r="O31" s="21"/>
      <c r="P31" s="21">
        <f t="shared" si="14"/>
        <v>0.20308883240620776</v>
      </c>
      <c r="Q31" s="21">
        <f t="shared" si="15"/>
        <v>-2.2066425353394972</v>
      </c>
      <c r="R31" s="21">
        <f t="shared" si="16"/>
        <v>4.4999251164698086E-2</v>
      </c>
      <c r="S31" s="21">
        <f t="shared" si="17"/>
        <v>4.2291999420041506</v>
      </c>
      <c r="T31" s="21">
        <f t="shared" si="18"/>
        <v>0.24212023746797837</v>
      </c>
      <c r="U31" s="21">
        <f t="shared" si="19"/>
        <v>1.1728981804686398</v>
      </c>
      <c r="V31" s="21">
        <f t="shared" si="20"/>
        <v>-0.40333592601947282</v>
      </c>
      <c r="W31" s="21">
        <f t="shared" si="21"/>
        <v>-0.89003127707968788</v>
      </c>
      <c r="X31" s="21">
        <f t="shared" si="22"/>
        <v>1.4783105410053854</v>
      </c>
      <c r="Y31" s="21"/>
      <c r="Z31" s="21">
        <f t="shared" si="28"/>
        <v>-14.700355888634892</v>
      </c>
      <c r="AA31" s="21">
        <f t="shared" si="29"/>
        <v>-13.696575888634893</v>
      </c>
      <c r="AB31" s="21">
        <f t="shared" si="30"/>
        <v>-15.547385888634892</v>
      </c>
      <c r="AC31" s="21">
        <f t="shared" si="31"/>
        <v>-91.080095536567356</v>
      </c>
      <c r="AD31" s="21">
        <f t="shared" si="32"/>
        <v>-118.14260398506168</v>
      </c>
      <c r="AE31" s="21">
        <f t="shared" si="33"/>
        <v>0.43532606999534329</v>
      </c>
      <c r="AF31" s="21">
        <f t="shared" si="34"/>
        <v>0.56467393000465671</v>
      </c>
      <c r="AG31" s="21">
        <f t="shared" si="35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11"/>
    </row>
    <row r="32" spans="1:47" ht="15" customHeight="1" x14ac:dyDescent="0.2">
      <c r="A32" s="6">
        <v>5</v>
      </c>
      <c r="C32" s="11">
        <v>15.55178018180955</v>
      </c>
      <c r="D32" s="11">
        <v>0.79360785518329413</v>
      </c>
      <c r="E32" s="11">
        <v>8.9996338454781242</v>
      </c>
      <c r="F32" s="11">
        <v>4.138246304209841</v>
      </c>
      <c r="G32" s="11">
        <v>1.835123615908786</v>
      </c>
      <c r="H32" s="11">
        <v>0.20618772292594689</v>
      </c>
      <c r="I32" s="11">
        <v>1.8686029827881954</v>
      </c>
      <c r="J32" s="11">
        <v>0.16666057534470366</v>
      </c>
      <c r="K32" s="11">
        <v>65.645454618172224</v>
      </c>
      <c r="L32" s="11">
        <v>0.79470229817933002</v>
      </c>
      <c r="M32" s="11"/>
      <c r="N32" s="21">
        <f t="shared" si="13"/>
        <v>2.2136626695930852</v>
      </c>
      <c r="O32" s="21"/>
      <c r="P32" s="21">
        <f t="shared" si="14"/>
        <v>0.7243857573337743</v>
      </c>
      <c r="Q32" s="21">
        <f t="shared" si="15"/>
        <v>-1.5917818465726239</v>
      </c>
      <c r="R32" s="21">
        <f t="shared" si="16"/>
        <v>-1.214631314182486</v>
      </c>
      <c r="S32" s="21">
        <f t="shared" si="17"/>
        <v>2.1230273256014813</v>
      </c>
      <c r="T32" s="21">
        <f t="shared" si="18"/>
        <v>0.17119672435329913</v>
      </c>
      <c r="U32" s="21">
        <f t="shared" si="19"/>
        <v>0.94971948382573568</v>
      </c>
      <c r="V32" s="21">
        <f t="shared" si="20"/>
        <v>0.15851286123367769</v>
      </c>
      <c r="W32" s="21">
        <f t="shared" si="21"/>
        <v>-0.58984362425285075</v>
      </c>
      <c r="X32" s="21">
        <f t="shared" si="22"/>
        <v>2.4537166776911401</v>
      </c>
      <c r="Y32" s="21"/>
      <c r="Z32" s="21">
        <f t="shared" si="28"/>
        <v>-8.7358545958386156</v>
      </c>
      <c r="AA32" s="21">
        <f t="shared" si="29"/>
        <v>-7.7320745958386157</v>
      </c>
      <c r="AB32" s="21">
        <f t="shared" si="30"/>
        <v>-9.5828845958386157</v>
      </c>
      <c r="AC32" s="21">
        <f t="shared" si="31"/>
        <v>-27.174488777806445</v>
      </c>
      <c r="AD32" s="21">
        <f t="shared" si="32"/>
        <v>-43.19783858858051</v>
      </c>
      <c r="AE32" s="21">
        <f t="shared" si="33"/>
        <v>0.38615304900071024</v>
      </c>
      <c r="AF32" s="21">
        <f t="shared" si="34"/>
        <v>0.61384695099928976</v>
      </c>
      <c r="AG32" s="21">
        <f t="shared" si="35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11"/>
    </row>
    <row r="33" spans="1:47" ht="15" customHeight="1" x14ac:dyDescent="0.2">
      <c r="A33" s="6">
        <v>6</v>
      </c>
      <c r="C33" s="11">
        <v>15.967304134398409</v>
      </c>
      <c r="D33" s="11">
        <v>0.40514771650153086</v>
      </c>
      <c r="E33" s="11">
        <v>3.3407018117632998</v>
      </c>
      <c r="F33" s="11">
        <v>4.00846272207475</v>
      </c>
      <c r="G33" s="11">
        <v>1.351721237879691</v>
      </c>
      <c r="H33" s="11">
        <v>4.5724944768634028E-2</v>
      </c>
      <c r="I33" s="11">
        <v>2.2169236982329039</v>
      </c>
      <c r="J33" s="11">
        <v>0.11763080322667561</v>
      </c>
      <c r="K33" s="11">
        <v>71.809828428139625</v>
      </c>
      <c r="L33" s="11">
        <v>0.73655450301448611</v>
      </c>
      <c r="M33" s="11"/>
      <c r="N33" s="21">
        <f t="shared" si="13"/>
        <v>1.5375744256934012</v>
      </c>
      <c r="O33" s="21"/>
      <c r="P33" s="21">
        <f t="shared" si="14"/>
        <v>0.52041515450419262</v>
      </c>
      <c r="Q33" s="21">
        <f t="shared" si="15"/>
        <v>-1.9108771696432918</v>
      </c>
      <c r="R33" s="21">
        <f t="shared" si="16"/>
        <v>-0.67201387366232623</v>
      </c>
      <c r="S33" s="21">
        <f t="shared" si="17"/>
        <v>3.1441954846306195</v>
      </c>
      <c r="T33" s="21">
        <f t="shared" si="18"/>
        <v>0.11760274737206283</v>
      </c>
      <c r="U33" s="21">
        <f t="shared" si="19"/>
        <v>1.2347752222964028</v>
      </c>
      <c r="V33" s="21">
        <f t="shared" si="20"/>
        <v>-0.34228156715426067</v>
      </c>
      <c r="W33" s="21">
        <f t="shared" si="21"/>
        <v>-0.90340120780467359</v>
      </c>
      <c r="X33" s="21">
        <f t="shared" si="22"/>
        <v>2.4385054840137483</v>
      </c>
      <c r="Y33" s="21"/>
      <c r="Z33" s="21">
        <f t="shared" si="28"/>
        <v>-11.257847187984511</v>
      </c>
      <c r="AA33" s="21">
        <f t="shared" si="29"/>
        <v>-10.254067187984511</v>
      </c>
      <c r="AB33" s="21">
        <f t="shared" si="30"/>
        <v>-12.104877187984512</v>
      </c>
      <c r="AC33" s="21">
        <f t="shared" si="31"/>
        <v>-49.85494694785028</v>
      </c>
      <c r="AD33" s="21">
        <f t="shared" si="32"/>
        <v>-70.546025868093906</v>
      </c>
      <c r="AE33" s="21">
        <f t="shared" si="33"/>
        <v>0.41407428679220937</v>
      </c>
      <c r="AF33" s="21">
        <f t="shared" si="34"/>
        <v>0.58592571320779063</v>
      </c>
      <c r="AG33" s="21">
        <f t="shared" si="35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11"/>
    </row>
    <row r="34" spans="1:47" ht="15" customHeight="1" x14ac:dyDescent="0.2">
      <c r="A34" s="6">
        <v>7</v>
      </c>
      <c r="C34" s="11">
        <v>15.375069939099239</v>
      </c>
      <c r="D34" s="11">
        <v>0.71868701414169933</v>
      </c>
      <c r="E34" s="11">
        <v>6.4992053285891265</v>
      </c>
      <c r="F34" s="11">
        <v>3.0180694674403106</v>
      </c>
      <c r="G34" s="11">
        <v>1.9227113555856878</v>
      </c>
      <c r="H34" s="11">
        <v>0.16039130924289491</v>
      </c>
      <c r="I34" s="11">
        <v>2.0976498704406215</v>
      </c>
      <c r="J34" s="11">
        <v>0.17406960274829664</v>
      </c>
      <c r="K34" s="11">
        <v>69.183394047181196</v>
      </c>
      <c r="L34" s="11">
        <v>0.85075206553093863</v>
      </c>
      <c r="M34" s="11"/>
      <c r="N34" s="21">
        <f t="shared" si="13"/>
        <v>2.0688557584306739</v>
      </c>
      <c r="O34" s="21"/>
      <c r="P34" s="21">
        <f t="shared" si="14"/>
        <v>0.62835645343081059</v>
      </c>
      <c r="Q34" s="21">
        <f t="shared" si="15"/>
        <v>-1.637689390404361</v>
      </c>
      <c r="R34" s="21">
        <f t="shared" si="16"/>
        <v>-0.99132562383451672</v>
      </c>
      <c r="S34" s="21">
        <f t="shared" si="17"/>
        <v>2.2871705809148568</v>
      </c>
      <c r="T34" s="21">
        <f t="shared" si="18"/>
        <v>6.6876309448903729E-2</v>
      </c>
      <c r="U34" s="21">
        <f t="shared" si="19"/>
        <v>0.97889274064494136</v>
      </c>
      <c r="V34" s="21">
        <f t="shared" si="20"/>
        <v>-1.2929229758016211E-2</v>
      </c>
      <c r="W34" s="21">
        <f t="shared" si="21"/>
        <v>-0.35602515027759224</v>
      </c>
      <c r="X34" s="21">
        <f t="shared" si="22"/>
        <v>2.3482717117533896</v>
      </c>
      <c r="Y34" s="21"/>
      <c r="Z34" s="21">
        <f t="shared" si="28"/>
        <v>-8.8970298542374557</v>
      </c>
      <c r="AA34" s="21">
        <f t="shared" si="29"/>
        <v>-7.8932498542374558</v>
      </c>
      <c r="AB34" s="21">
        <f t="shared" si="30"/>
        <v>-9.7440598542374559</v>
      </c>
      <c r="AC34" s="21">
        <f t="shared" si="31"/>
        <v>-28.433696630709807</v>
      </c>
      <c r="AD34" s="21">
        <f t="shared" si="32"/>
        <v>-44.755351221481035</v>
      </c>
      <c r="AE34" s="21">
        <f t="shared" si="33"/>
        <v>0.38849660523160739</v>
      </c>
      <c r="AF34" s="21">
        <f t="shared" si="34"/>
        <v>0.61150339476839266</v>
      </c>
      <c r="AG34" s="21">
        <f t="shared" si="35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11"/>
    </row>
    <row r="35" spans="1:47" ht="15" customHeight="1" x14ac:dyDescent="0.2">
      <c r="A35" s="6">
        <v>8</v>
      </c>
      <c r="C35" s="11">
        <v>17.763148194047751</v>
      </c>
      <c r="D35" s="11">
        <v>0.22646637355994487</v>
      </c>
      <c r="E35" s="11">
        <v>3.6533140892333411</v>
      </c>
      <c r="F35" s="11">
        <v>3.4504298925613757</v>
      </c>
      <c r="G35" s="11">
        <v>1.9632995893567438</v>
      </c>
      <c r="H35" s="11">
        <v>3.6908929161367496E-2</v>
      </c>
      <c r="I35" s="11">
        <v>1.4599808802755219</v>
      </c>
      <c r="J35" s="11">
        <v>7.3990082107937172E-2</v>
      </c>
      <c r="K35" s="11">
        <v>70.553539553415419</v>
      </c>
      <c r="L35" s="11">
        <v>0.81892241628059503</v>
      </c>
      <c r="M35" s="11"/>
      <c r="N35" s="21">
        <f t="shared" si="13"/>
        <v>1.3678813075193419</v>
      </c>
      <c r="O35" s="21"/>
      <c r="P35" s="21">
        <f t="shared" si="14"/>
        <v>0.36276627166437247</v>
      </c>
      <c r="Q35" s="21">
        <f t="shared" si="15"/>
        <v>-2.0933853188485378</v>
      </c>
      <c r="R35" s="21">
        <f t="shared" si="16"/>
        <v>-0.85075882509260736</v>
      </c>
      <c r="S35" s="21">
        <f t="shared" si="17"/>
        <v>3.2311762100203265</v>
      </c>
      <c r="T35" s="21">
        <f t="shared" si="18"/>
        <v>-0.3298782064791011</v>
      </c>
      <c r="U35" s="21">
        <f t="shared" si="19"/>
        <v>1.665015104109852</v>
      </c>
      <c r="V35" s="21">
        <f t="shared" si="20"/>
        <v>-6.0951868235364207E-2</v>
      </c>
      <c r="W35" s="21">
        <f t="shared" si="21"/>
        <v>-0.87232065699284067</v>
      </c>
      <c r="X35" s="21">
        <f t="shared" si="22"/>
        <v>2.7673919741445703</v>
      </c>
      <c r="Y35" s="21"/>
      <c r="Z35" s="21">
        <f t="shared" si="28"/>
        <v>-11.945416422447821</v>
      </c>
      <c r="AA35" s="21">
        <f t="shared" si="29"/>
        <v>-10.941636422447822</v>
      </c>
      <c r="AB35" s="21">
        <f t="shared" si="30"/>
        <v>-12.792446422447821</v>
      </c>
      <c r="AC35" s="21">
        <f t="shared" si="31"/>
        <v>-57.141703800518385</v>
      </c>
      <c r="AD35" s="21">
        <f t="shared" si="32"/>
        <v>-79.105342735599024</v>
      </c>
      <c r="AE35" s="21">
        <f t="shared" si="33"/>
        <v>0.41939774294755683</v>
      </c>
      <c r="AF35" s="21">
        <f t="shared" si="34"/>
        <v>0.58060225705244317</v>
      </c>
      <c r="AG35" s="21">
        <f t="shared" si="35"/>
        <v>1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11"/>
    </row>
    <row r="36" spans="1:47" ht="15" customHeight="1" x14ac:dyDescent="0.2">
      <c r="A36" s="6">
        <v>9</v>
      </c>
      <c r="C36" s="11">
        <v>17.150726188756366</v>
      </c>
      <c r="D36" s="11">
        <v>0.35478671123264871</v>
      </c>
      <c r="E36" s="11">
        <v>4.0764165964033046</v>
      </c>
      <c r="F36" s="11">
        <v>3.2225153216726712</v>
      </c>
      <c r="G36" s="11">
        <v>1.4303806832000405</v>
      </c>
      <c r="H36" s="11">
        <v>2.2248030039308784E-2</v>
      </c>
      <c r="I36" s="11">
        <v>1.7280583071024376</v>
      </c>
      <c r="J36" s="11">
        <v>9.4386084855120497E-2</v>
      </c>
      <c r="K36" s="11">
        <v>71.075320958830233</v>
      </c>
      <c r="L36" s="11">
        <v>0.8451611179078703</v>
      </c>
      <c r="M36" s="11"/>
      <c r="N36" s="21">
        <f t="shared" si="13"/>
        <v>1.3793012542491951</v>
      </c>
      <c r="O36" s="21"/>
      <c r="P36" s="21">
        <f t="shared" si="14"/>
        <v>0.34634445899016547</v>
      </c>
      <c r="Q36" s="21">
        <f t="shared" si="15"/>
        <v>-2.0579498159343026</v>
      </c>
      <c r="R36" s="21">
        <f t="shared" si="16"/>
        <v>-0.93846088041751285</v>
      </c>
      <c r="S36" s="21">
        <f t="shared" si="17"/>
        <v>3.6913715386235597</v>
      </c>
      <c r="T36" s="21">
        <f t="shared" si="18"/>
        <v>-3.3195261850182831E-2</v>
      </c>
      <c r="U36" s="21">
        <f t="shared" si="19"/>
        <v>1.2570928973596325</v>
      </c>
      <c r="V36" s="21">
        <f t="shared" si="20"/>
        <v>-0.21086239188601236</v>
      </c>
      <c r="W36" s="21">
        <f t="shared" si="21"/>
        <v>-0.80005377740499517</v>
      </c>
      <c r="X36" s="21">
        <f t="shared" si="22"/>
        <v>2.5443104096546101</v>
      </c>
      <c r="Y36" s="21"/>
      <c r="Z36" s="21">
        <f t="shared" si="28"/>
        <v>-12.214322794037905</v>
      </c>
      <c r="AA36" s="21">
        <f t="shared" si="29"/>
        <v>-11.210542794037906</v>
      </c>
      <c r="AB36" s="21">
        <f t="shared" si="30"/>
        <v>-13.061352794037905</v>
      </c>
      <c r="AC36" s="21">
        <f t="shared" si="31"/>
        <v>-60.120134868477606</v>
      </c>
      <c r="AD36" s="21">
        <f t="shared" si="32"/>
        <v>-82.581468405160891</v>
      </c>
      <c r="AE36" s="21">
        <f t="shared" si="33"/>
        <v>0.42129964547906162</v>
      </c>
      <c r="AF36" s="21">
        <f t="shared" si="34"/>
        <v>0.57870035452093826</v>
      </c>
      <c r="AG36" s="21">
        <f t="shared" si="35"/>
        <v>0.99999999999999989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11"/>
    </row>
    <row r="37" spans="1:47" ht="15" customHeight="1" x14ac:dyDescent="0.2">
      <c r="A37" s="6">
        <v>10</v>
      </c>
      <c r="C37" s="11">
        <v>17.460270355142722</v>
      </c>
      <c r="D37" s="11">
        <v>0.48213622360060876</v>
      </c>
      <c r="E37" s="11">
        <v>5.2176630154752948</v>
      </c>
      <c r="F37" s="11">
        <v>2.8240928771681144</v>
      </c>
      <c r="G37" s="11">
        <v>1.6461728824387241</v>
      </c>
      <c r="H37" s="11">
        <v>0.12730576613755698</v>
      </c>
      <c r="I37" s="11">
        <v>1.5889903742997256</v>
      </c>
      <c r="J37" s="11">
        <v>0.16153611907734314</v>
      </c>
      <c r="K37" s="11">
        <v>69.642307786147072</v>
      </c>
      <c r="L37" s="11">
        <v>0.8495246005126863</v>
      </c>
      <c r="M37" s="11"/>
      <c r="N37" s="21">
        <f t="shared" si="13"/>
        <v>1.818167653565913</v>
      </c>
      <c r="O37" s="21"/>
      <c r="P37" s="21">
        <f t="shared" si="14"/>
        <v>0.53804291650613256</v>
      </c>
      <c r="Q37" s="21">
        <f t="shared" si="15"/>
        <v>-1.8469959558129674</v>
      </c>
      <c r="R37" s="21">
        <f t="shared" si="16"/>
        <v>-0.91298164176503416</v>
      </c>
      <c r="S37" s="21">
        <f t="shared" si="17"/>
        <v>2.3782753616854779</v>
      </c>
      <c r="T37" s="21">
        <f t="shared" si="18"/>
        <v>9.0717535937793747E-2</v>
      </c>
      <c r="U37" s="21">
        <f t="shared" si="19"/>
        <v>1.2288945247842611</v>
      </c>
      <c r="V37" s="21">
        <f t="shared" si="20"/>
        <v>0.1260287307239514</v>
      </c>
      <c r="W37" s="21">
        <f t="shared" si="21"/>
        <v>-0.41517350149986371</v>
      </c>
      <c r="X37" s="21">
        <f t="shared" si="22"/>
        <v>2.2966253923237447</v>
      </c>
      <c r="Y37" s="21"/>
      <c r="Z37" s="21">
        <f t="shared" si="28"/>
        <v>-10.023302383548781</v>
      </c>
      <c r="AA37" s="21">
        <f t="shared" si="29"/>
        <v>-9.0195223835487823</v>
      </c>
      <c r="AB37" s="21">
        <f t="shared" si="30"/>
        <v>-10.870332383548782</v>
      </c>
      <c r="AC37" s="21">
        <f t="shared" si="31"/>
        <v>-37.957892013668754</v>
      </c>
      <c r="AD37" s="21">
        <f t="shared" si="32"/>
        <v>-56.364063064414665</v>
      </c>
      <c r="AE37" s="21">
        <f t="shared" si="33"/>
        <v>0.40242902071151643</v>
      </c>
      <c r="AF37" s="21">
        <f t="shared" si="34"/>
        <v>0.59757097928848357</v>
      </c>
      <c r="AG37" s="21">
        <f t="shared" si="35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11"/>
    </row>
    <row r="38" spans="1:47" ht="15" customHeight="1" x14ac:dyDescent="0.2">
      <c r="A38" s="6">
        <v>11</v>
      </c>
      <c r="C38" s="11">
        <v>17.573715771832962</v>
      </c>
      <c r="D38" s="11">
        <v>0.36136945486876537</v>
      </c>
      <c r="E38" s="11">
        <v>2.9740319144063752</v>
      </c>
      <c r="F38" s="11">
        <v>2.8810657294645976</v>
      </c>
      <c r="G38" s="11">
        <v>1.3033796734278373</v>
      </c>
      <c r="H38" s="11">
        <v>2.8568165006164874E-2</v>
      </c>
      <c r="I38" s="11">
        <v>1.6691521601300969</v>
      </c>
      <c r="J38" s="11">
        <v>9.9172080599400289E-2</v>
      </c>
      <c r="K38" s="11">
        <v>72.349123580356164</v>
      </c>
      <c r="L38" s="11">
        <v>0.76042146990765802</v>
      </c>
      <c r="M38" s="11"/>
      <c r="N38" s="21">
        <f t="shared" si="13"/>
        <v>1.3384557314653218</v>
      </c>
      <c r="O38" s="21"/>
      <c r="P38" s="21">
        <f t="shared" si="14"/>
        <v>0.39979742733402157</v>
      </c>
      <c r="Q38" s="21">
        <f t="shared" si="15"/>
        <v>-2.1023871286826719</v>
      </c>
      <c r="R38" s="21">
        <f t="shared" si="16"/>
        <v>-0.69143647412734943</v>
      </c>
      <c r="S38" s="21">
        <f t="shared" si="17"/>
        <v>3.440842444591822</v>
      </c>
      <c r="T38" s="21">
        <f t="shared" si="18"/>
        <v>2.4242082116612971E-2</v>
      </c>
      <c r="U38" s="21">
        <f t="shared" si="19"/>
        <v>1.212241928280416</v>
      </c>
      <c r="V38" s="21">
        <f t="shared" si="20"/>
        <v>-0.20653883181605784</v>
      </c>
      <c r="W38" s="21">
        <f t="shared" si="21"/>
        <v>-0.72279866903599876</v>
      </c>
      <c r="X38" s="21">
        <f t="shared" si="22"/>
        <v>2.4688678918147402</v>
      </c>
      <c r="Y38" s="21"/>
      <c r="Z38" s="21">
        <f t="shared" si="28"/>
        <v>-12.203731331532081</v>
      </c>
      <c r="AA38" s="21">
        <f t="shared" si="29"/>
        <v>-11.19995133153208</v>
      </c>
      <c r="AB38" s="21">
        <f t="shared" si="30"/>
        <v>-13.050761331532081</v>
      </c>
      <c r="AC38" s="21">
        <f t="shared" si="31"/>
        <v>-60.001454914343611</v>
      </c>
      <c r="AD38" s="21">
        <f t="shared" si="32"/>
        <v>-82.443185666306505</v>
      </c>
      <c r="AE38" s="21">
        <f t="shared" si="33"/>
        <v>0.42122648258129197</v>
      </c>
      <c r="AF38" s="21">
        <f t="shared" si="34"/>
        <v>0.57877351741870808</v>
      </c>
      <c r="AG38" s="21">
        <f t="shared" si="35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11"/>
    </row>
    <row r="39" spans="1:47" ht="15" customHeight="1" x14ac:dyDescent="0.2">
      <c r="A39" s="6">
        <v>12</v>
      </c>
      <c r="C39" s="11">
        <v>17.988640956404694</v>
      </c>
      <c r="D39" s="11">
        <v>0.47626726682706039</v>
      </c>
      <c r="E39" s="11">
        <v>6.4803109294626795</v>
      </c>
      <c r="F39" s="11">
        <v>3.4076029765648483</v>
      </c>
      <c r="G39" s="11">
        <v>1.9662827576252095</v>
      </c>
      <c r="H39" s="11">
        <v>0.14112675675462066</v>
      </c>
      <c r="I39" s="11">
        <v>1.2942088227894732</v>
      </c>
      <c r="J39" s="11">
        <v>0.13508830304939839</v>
      </c>
      <c r="K39" s="11">
        <v>67.211408948119896</v>
      </c>
      <c r="L39" s="11">
        <v>0.89906228240211772</v>
      </c>
      <c r="M39" s="11"/>
      <c r="N39" s="21">
        <f t="shared" si="13"/>
        <v>1.8810503190717494</v>
      </c>
      <c r="O39" s="21"/>
      <c r="P39" s="21">
        <f t="shared" si="14"/>
        <v>0.52200975022503626</v>
      </c>
      <c r="Q39" s="21">
        <f t="shared" si="15"/>
        <v>-1.8435759579518392</v>
      </c>
      <c r="R39" s="21">
        <f t="shared" si="16"/>
        <v>-1.0712198962820147</v>
      </c>
      <c r="S39" s="21">
        <f t="shared" si="17"/>
        <v>2.3165012295056306</v>
      </c>
      <c r="T39" s="21">
        <f t="shared" si="18"/>
        <v>-4.0453449833498557E-2</v>
      </c>
      <c r="U39" s="21">
        <f t="shared" si="19"/>
        <v>1.2717124129898856</v>
      </c>
      <c r="V39" s="21">
        <f t="shared" si="20"/>
        <v>0.34978017924117089</v>
      </c>
      <c r="W39" s="21">
        <f t="shared" si="21"/>
        <v>-0.56019714825476763</v>
      </c>
      <c r="X39" s="21">
        <f t="shared" si="22"/>
        <v>2.4985063317602392</v>
      </c>
      <c r="Y39" s="21"/>
      <c r="Z39" s="21">
        <f t="shared" si="28"/>
        <v>-10.248563547575387</v>
      </c>
      <c r="AA39" s="21">
        <f t="shared" si="29"/>
        <v>-9.2447835475753877</v>
      </c>
      <c r="AB39" s="21">
        <f t="shared" si="30"/>
        <v>-11.095593547575387</v>
      </c>
      <c r="AC39" s="21">
        <f t="shared" si="31"/>
        <v>-40.015011420760288</v>
      </c>
      <c r="AD39" s="21">
        <f t="shared" si="32"/>
        <v>-58.838098086498277</v>
      </c>
      <c r="AE39" s="21">
        <f t="shared" si="33"/>
        <v>0.40479264254021341</v>
      </c>
      <c r="AF39" s="21">
        <f t="shared" si="34"/>
        <v>0.59520735745978659</v>
      </c>
      <c r="AG39" s="21">
        <f t="shared" si="35"/>
        <v>1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11"/>
    </row>
    <row r="40" spans="1:47" ht="15" customHeight="1" x14ac:dyDescent="0.2">
      <c r="A40" s="6">
        <v>13</v>
      </c>
      <c r="C40" s="11">
        <v>17.614755255951081</v>
      </c>
      <c r="D40" s="11">
        <v>0.4096229163567664</v>
      </c>
      <c r="E40" s="11">
        <v>3.4372759122995613</v>
      </c>
      <c r="F40" s="11">
        <v>3.0039467775293716</v>
      </c>
      <c r="G40" s="11">
        <v>1.5535708847804595</v>
      </c>
      <c r="H40" s="11">
        <v>5.3591569324238329E-2</v>
      </c>
      <c r="I40" s="11">
        <v>1.481122620623633</v>
      </c>
      <c r="J40" s="11">
        <v>0.11726667805350389</v>
      </c>
      <c r="K40" s="11">
        <v>71.490066624050598</v>
      </c>
      <c r="L40" s="11">
        <v>0.83878076103080546</v>
      </c>
      <c r="M40" s="11"/>
      <c r="N40" s="21">
        <f t="shared" si="13"/>
        <v>1.5171393874634391</v>
      </c>
      <c r="O40" s="21"/>
      <c r="P40" s="21">
        <f t="shared" si="14"/>
        <v>0.41905445687923804</v>
      </c>
      <c r="Q40" s="21">
        <f t="shared" si="15"/>
        <v>-2.0019764075984403</v>
      </c>
      <c r="R40" s="21">
        <f t="shared" si="16"/>
        <v>-0.70828120777817838</v>
      </c>
      <c r="S40" s="21">
        <f t="shared" si="17"/>
        <v>2.9902401227665343</v>
      </c>
      <c r="T40" s="21">
        <f t="shared" si="18"/>
        <v>-2.1661968997489574E-2</v>
      </c>
      <c r="U40" s="21">
        <f t="shared" si="19"/>
        <v>1.2122177689782663</v>
      </c>
      <c r="V40" s="21">
        <f t="shared" si="20"/>
        <v>2.2474500897886406E-2</v>
      </c>
      <c r="W40" s="21">
        <f t="shared" si="21"/>
        <v>-0.64403326809647909</v>
      </c>
      <c r="X40" s="21">
        <f t="shared" si="22"/>
        <v>2.4287537273513107</v>
      </c>
      <c r="Y40" s="21"/>
      <c r="Z40" s="21">
        <f t="shared" si="28"/>
        <v>-11.66448117757059</v>
      </c>
      <c r="AA40" s="21">
        <f t="shared" si="29"/>
        <v>-10.660701177570591</v>
      </c>
      <c r="AB40" s="21">
        <f t="shared" si="30"/>
        <v>-12.51151117757059</v>
      </c>
      <c r="AC40" s="21">
        <f t="shared" si="31"/>
        <v>-54.107274798727488</v>
      </c>
      <c r="AD40" s="21">
        <f t="shared" si="32"/>
        <v>-75.550955973236896</v>
      </c>
      <c r="AE40" s="21">
        <f t="shared" si="33"/>
        <v>0.41730690351535282</v>
      </c>
      <c r="AF40" s="21">
        <f t="shared" si="34"/>
        <v>0.58269309648464718</v>
      </c>
      <c r="AG40" s="21">
        <f t="shared" si="35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11"/>
    </row>
    <row r="41" spans="1:47" ht="15" customHeight="1" x14ac:dyDescent="0.2">
      <c r="A41" s="6">
        <v>14</v>
      </c>
      <c r="C41" s="11">
        <v>17.376230846430904</v>
      </c>
      <c r="D41" s="11">
        <v>0.31593649629119108</v>
      </c>
      <c r="E41" s="11">
        <v>3.1789707389320747</v>
      </c>
      <c r="F41" s="11">
        <v>3.1958277177242289</v>
      </c>
      <c r="G41" s="11">
        <v>1.4950251789961511</v>
      </c>
      <c r="H41" s="11">
        <v>2.784130666453832E-2</v>
      </c>
      <c r="I41" s="11">
        <v>1.2643144643330444</v>
      </c>
      <c r="J41" s="11">
        <v>0.10710322647230144</v>
      </c>
      <c r="K41" s="11">
        <v>72.274618320973403</v>
      </c>
      <c r="L41" s="11">
        <v>0.76413170318217538</v>
      </c>
      <c r="M41" s="11"/>
      <c r="N41" s="21">
        <f t="shared" si="13"/>
        <v>1.3303242482427056</v>
      </c>
      <c r="O41" s="21"/>
      <c r="P41" s="21">
        <f t="shared" si="14"/>
        <v>0.39204674686438767</v>
      </c>
      <c r="Q41" s="21">
        <f t="shared" si="15"/>
        <v>-2.0981353593364251</v>
      </c>
      <c r="R41" s="21">
        <f t="shared" si="16"/>
        <v>-0.75442484025280054</v>
      </c>
      <c r="S41" s="21">
        <f t="shared" si="17"/>
        <v>3.4584433540726445</v>
      </c>
      <c r="T41" s="21">
        <f t="shared" si="18"/>
        <v>-0.10655060582024795</v>
      </c>
      <c r="U41" s="21">
        <f t="shared" si="19"/>
        <v>1.3309930038452185</v>
      </c>
      <c r="V41" s="21">
        <f t="shared" si="20"/>
        <v>4.7605722748052283E-2</v>
      </c>
      <c r="W41" s="21">
        <f t="shared" si="21"/>
        <v>-0.82629991771605715</v>
      </c>
      <c r="X41" s="21">
        <f t="shared" si="22"/>
        <v>2.3900983611740747</v>
      </c>
      <c r="Y41" s="21"/>
      <c r="Z41" s="21">
        <f t="shared" si="28"/>
        <v>-12.52390115210282</v>
      </c>
      <c r="AA41" s="21">
        <f t="shared" si="29"/>
        <v>-11.520121152102821</v>
      </c>
      <c r="AB41" s="21">
        <f t="shared" si="30"/>
        <v>-13.37093115210282</v>
      </c>
      <c r="AC41" s="21">
        <f t="shared" si="31"/>
        <v>-63.638595679563409</v>
      </c>
      <c r="AD41" s="21">
        <f t="shared" si="32"/>
        <v>-86.672899937136819</v>
      </c>
      <c r="AE41" s="21">
        <f t="shared" si="33"/>
        <v>0.42337810171115681</v>
      </c>
      <c r="AF41" s="21">
        <f t="shared" si="34"/>
        <v>0.57662189828884325</v>
      </c>
      <c r="AG41" s="21">
        <f t="shared" si="35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11"/>
    </row>
    <row r="42" spans="1:47" ht="15" customHeight="1" x14ac:dyDescent="0.2">
      <c r="A42" s="6">
        <v>15</v>
      </c>
      <c r="C42" s="11">
        <v>17.610920138669997</v>
      </c>
      <c r="D42" s="11">
        <v>0.39065755659441337</v>
      </c>
      <c r="E42" s="11">
        <v>1.1008777736527371</v>
      </c>
      <c r="F42" s="11">
        <v>2.6165252325371489</v>
      </c>
      <c r="G42" s="11">
        <v>0.70153548943966493</v>
      </c>
      <c r="H42" s="11">
        <v>7.3765269336103839E-3</v>
      </c>
      <c r="I42" s="11">
        <v>0.72153071163812854</v>
      </c>
      <c r="J42" s="11">
        <v>2.0430210664688232E-2</v>
      </c>
      <c r="K42" s="11">
        <v>76.070410038439519</v>
      </c>
      <c r="L42" s="11">
        <v>0.75973632143010694</v>
      </c>
      <c r="M42" s="11"/>
      <c r="N42" s="21">
        <f t="shared" si="13"/>
        <v>0.7836732449309205</v>
      </c>
      <c r="O42" s="21"/>
      <c r="P42" s="21">
        <f t="shared" si="14"/>
        <v>2.19349660334596E-2</v>
      </c>
      <c r="Q42" s="21">
        <f t="shared" si="15"/>
        <v>-2.541167854377957</v>
      </c>
      <c r="R42" s="21">
        <f t="shared" si="16"/>
        <v>-0.29433688759594784</v>
      </c>
      <c r="S42" s="21">
        <f t="shared" si="17"/>
        <v>4.1731193133265663</v>
      </c>
      <c r="T42" s="21">
        <f t="shared" si="18"/>
        <v>0.10107367633320821</v>
      </c>
      <c r="U42" s="21">
        <f t="shared" si="19"/>
        <v>0.64451965404559286</v>
      </c>
      <c r="V42" s="21">
        <f t="shared" si="20"/>
        <v>7.7281323861891529E-2</v>
      </c>
      <c r="W42" s="21">
        <f t="shared" si="21"/>
        <v>-1.1366603059261713</v>
      </c>
      <c r="X42" s="21">
        <f t="shared" si="22"/>
        <v>3.4598265797525913</v>
      </c>
      <c r="Y42" s="21"/>
      <c r="Z42" s="21">
        <f t="shared" si="28"/>
        <v>-16.737390939153201</v>
      </c>
      <c r="AA42" s="21">
        <f t="shared" si="29"/>
        <v>-15.733610939153202</v>
      </c>
      <c r="AB42" s="21">
        <f t="shared" si="30"/>
        <v>-17.584420939153201</v>
      </c>
      <c r="AC42" s="21">
        <f t="shared" si="31"/>
        <v>-121.05525659232065</v>
      </c>
      <c r="AD42" s="21">
        <f t="shared" si="32"/>
        <v>-151.88792988266479</v>
      </c>
      <c r="AE42" s="21">
        <f t="shared" si="33"/>
        <v>0.44351814806490891</v>
      </c>
      <c r="AF42" s="21">
        <f t="shared" si="34"/>
        <v>0.55648185193509103</v>
      </c>
      <c r="AG42" s="21">
        <f t="shared" si="35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11"/>
    </row>
    <row r="43" spans="1:47" ht="15" customHeight="1" x14ac:dyDescent="0.2">
      <c r="A43" s="6">
        <v>16</v>
      </c>
      <c r="C43" s="11">
        <v>16.591932715290447</v>
      </c>
      <c r="D43" s="11">
        <v>0.48178189224846329</v>
      </c>
      <c r="E43" s="11">
        <v>3.3206127155176546</v>
      </c>
      <c r="F43" s="11">
        <v>3.0020690094724447</v>
      </c>
      <c r="G43" s="11">
        <v>1.4345271855278059</v>
      </c>
      <c r="H43" s="11">
        <v>3.8046093483923467E-2</v>
      </c>
      <c r="I43" s="11">
        <v>1.6367170000985756</v>
      </c>
      <c r="J43" s="11">
        <v>3.7849322477117309E-2</v>
      </c>
      <c r="K43" s="11">
        <v>72.590421285759064</v>
      </c>
      <c r="L43" s="11">
        <v>0.86604278012450975</v>
      </c>
      <c r="M43" s="11"/>
      <c r="N43" s="21">
        <f t="shared" si="13"/>
        <v>1.3270447151559275</v>
      </c>
      <c r="O43" s="21"/>
      <c r="P43" s="21">
        <f t="shared" si="14"/>
        <v>0.30177579576391861</v>
      </c>
      <c r="Q43" s="21">
        <f t="shared" si="15"/>
        <v>-2.0624394549629459</v>
      </c>
      <c r="R43" s="21">
        <f t="shared" si="16"/>
        <v>-0.79431405552770906</v>
      </c>
      <c r="S43" s="21">
        <f t="shared" si="17"/>
        <v>3.1769260638392494</v>
      </c>
      <c r="T43" s="21">
        <f t="shared" si="18"/>
        <v>-7.1095169632068855E-2</v>
      </c>
      <c r="U43" s="21">
        <f t="shared" si="19"/>
        <v>0.93805779747487728</v>
      </c>
      <c r="V43" s="21">
        <f t="shared" si="20"/>
        <v>-0.19619189223032238</v>
      </c>
      <c r="W43" s="21">
        <f t="shared" si="21"/>
        <v>-0.76965958682330338</v>
      </c>
      <c r="X43" s="21">
        <f t="shared" si="22"/>
        <v>3.3745581820462967</v>
      </c>
      <c r="Y43" s="21"/>
      <c r="Z43" s="21">
        <f>(3.0005*P43)+(2.8243*Q43)+(-1.0596*R43)+(-0.7056*S43)+(-0.3044*T43)+(0.6277*U43)+(-1.1838*V43)+(1.5915*W43)+(0.1526*X43)-5.9948</f>
        <v>-12.181496777585808</v>
      </c>
      <c r="AA43" s="21">
        <f t="shared" si="29"/>
        <v>-11.177716777585808</v>
      </c>
      <c r="AB43" s="21">
        <f t="shared" si="30"/>
        <v>-13.028526777585808</v>
      </c>
      <c r="AC43" s="21">
        <f t="shared" si="31"/>
        <v>-59.752676179961625</v>
      </c>
      <c r="AD43" s="21">
        <f t="shared" si="32"/>
        <v>-82.153254997135221</v>
      </c>
      <c r="AE43" s="21">
        <f t="shared" si="33"/>
        <v>0.42107243639725689</v>
      </c>
      <c r="AF43" s="21">
        <f t="shared" si="34"/>
        <v>0.57892756360274311</v>
      </c>
      <c r="AG43" s="21">
        <f t="shared" si="35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11"/>
    </row>
    <row r="44" spans="1:47" ht="15" customHeight="1" x14ac:dyDescent="0.25">
      <c r="M44" s="1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11"/>
    </row>
    <row r="45" spans="1:47" ht="15" customHeight="1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11"/>
    </row>
    <row r="46" spans="1:47" ht="15" customHeight="1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11"/>
    </row>
    <row r="47" spans="1:47" ht="15" customHeight="1" x14ac:dyDescent="0.25">
      <c r="B47" s="12"/>
      <c r="C47" s="12" t="s">
        <v>3</v>
      </c>
      <c r="D47" s="12" t="s">
        <v>9</v>
      </c>
      <c r="E47" s="12" t="s">
        <v>5</v>
      </c>
      <c r="F47" s="12" t="s">
        <v>2</v>
      </c>
      <c r="G47" s="12" t="s">
        <v>10</v>
      </c>
      <c r="H47" s="12" t="s">
        <v>7</v>
      </c>
      <c r="I47" s="12" t="s">
        <v>4</v>
      </c>
      <c r="J47" s="12" t="s">
        <v>6</v>
      </c>
      <c r="K47" s="12" t="s">
        <v>11</v>
      </c>
      <c r="L47" s="12" t="s">
        <v>8</v>
      </c>
      <c r="M47" s="12" t="s">
        <v>15</v>
      </c>
      <c r="N47" s="12" t="s">
        <v>21</v>
      </c>
      <c r="O47" s="12" t="s">
        <v>22</v>
      </c>
      <c r="P47" s="12" t="s">
        <v>32</v>
      </c>
      <c r="Q47" s="12" t="s">
        <v>34</v>
      </c>
      <c r="R47" s="12" t="s">
        <v>36</v>
      </c>
      <c r="S47" s="12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</row>
    <row r="48" spans="1:47" ht="15" customHeight="1" x14ac:dyDescent="0.25">
      <c r="C48" s="11" t="s">
        <v>51</v>
      </c>
      <c r="D48" s="11" t="s">
        <v>51</v>
      </c>
      <c r="E48" s="11" t="s">
        <v>51</v>
      </c>
      <c r="F48" s="11" t="s">
        <v>51</v>
      </c>
      <c r="G48" s="11" t="s">
        <v>51</v>
      </c>
      <c r="H48" s="11" t="s">
        <v>51</v>
      </c>
      <c r="I48" s="11" t="s">
        <v>51</v>
      </c>
      <c r="J48" s="11" t="s">
        <v>51</v>
      </c>
      <c r="K48" s="11" t="s">
        <v>51</v>
      </c>
      <c r="L48" s="11" t="s">
        <v>51</v>
      </c>
      <c r="M48" s="11" t="s">
        <v>52</v>
      </c>
      <c r="N48" s="11" t="s">
        <v>83</v>
      </c>
      <c r="O48" s="11" t="s">
        <v>83</v>
      </c>
      <c r="P48" s="11" t="s">
        <v>83</v>
      </c>
      <c r="Q48" s="11" t="s">
        <v>83</v>
      </c>
      <c r="R48" s="11" t="s">
        <v>83</v>
      </c>
      <c r="S48" s="1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</row>
    <row r="49" spans="1:46" ht="15" customHeight="1" x14ac:dyDescent="0.2">
      <c r="A49" s="6" t="s">
        <v>1</v>
      </c>
      <c r="M49" s="11"/>
      <c r="N49" s="11"/>
      <c r="O49" s="11"/>
      <c r="P49" s="11"/>
      <c r="Q49" s="11"/>
      <c r="R49" s="11"/>
      <c r="S49" s="1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</row>
    <row r="50" spans="1:46" ht="15" customHeight="1" x14ac:dyDescent="0.2">
      <c r="A50" s="6"/>
      <c r="M50" s="11"/>
      <c r="N50" s="11"/>
      <c r="O50" s="11"/>
      <c r="P50" s="11"/>
      <c r="Q50" s="11"/>
      <c r="R50" s="11"/>
      <c r="S50" s="11"/>
      <c r="T50" s="34" t="s">
        <v>177</v>
      </c>
      <c r="U50" s="34"/>
      <c r="V50" s="34" t="s">
        <v>193</v>
      </c>
      <c r="W50" s="34" t="s">
        <v>194</v>
      </c>
      <c r="X50" s="34" t="s">
        <v>195</v>
      </c>
      <c r="Y50" s="34" t="s">
        <v>196</v>
      </c>
      <c r="Z50" s="34" t="s">
        <v>197</v>
      </c>
      <c r="AA50" s="34" t="s">
        <v>198</v>
      </c>
      <c r="AB50" s="34" t="s">
        <v>199</v>
      </c>
      <c r="AC50" s="34" t="s">
        <v>200</v>
      </c>
      <c r="AD50" s="34" t="s">
        <v>201</v>
      </c>
      <c r="AE50" s="34" t="s">
        <v>202</v>
      </c>
      <c r="AF50" s="34" t="s">
        <v>203</v>
      </c>
      <c r="AG50" s="34" t="s">
        <v>204</v>
      </c>
      <c r="AH50" s="34" t="s">
        <v>205</v>
      </c>
      <c r="AI50" s="34" t="s">
        <v>206</v>
      </c>
      <c r="AJ50" s="34" t="s">
        <v>207</v>
      </c>
      <c r="AK50" s="34"/>
      <c r="AL50" s="34" t="s">
        <v>187</v>
      </c>
      <c r="AM50" s="34" t="s">
        <v>188</v>
      </c>
      <c r="AN50" s="34" t="s">
        <v>189</v>
      </c>
      <c r="AO50" s="34" t="s">
        <v>190</v>
      </c>
      <c r="AP50" s="34" t="s">
        <v>191</v>
      </c>
      <c r="AQ50" s="34" t="s">
        <v>192</v>
      </c>
      <c r="AR50" s="34" t="s">
        <v>52</v>
      </c>
      <c r="AS50" s="21"/>
      <c r="AT50" s="21"/>
    </row>
    <row r="51" spans="1:46" ht="15" customHeight="1" x14ac:dyDescent="0.2">
      <c r="A51" s="6">
        <v>1</v>
      </c>
      <c r="C51" s="11">
        <v>73.889866999079061</v>
      </c>
      <c r="D51" s="11">
        <v>0.71696381342691673</v>
      </c>
      <c r="E51" s="11">
        <v>1.3669242255686396</v>
      </c>
      <c r="F51" s="11">
        <v>16.876245435480836</v>
      </c>
      <c r="G51" s="11">
        <v>4.8249280325664872</v>
      </c>
      <c r="H51" s="11">
        <v>0.85824735061101187</v>
      </c>
      <c r="I51" s="11">
        <v>0.90607951813756737</v>
      </c>
      <c r="J51" s="11">
        <v>1.193726696660825E-2</v>
      </c>
      <c r="K51" s="11">
        <v>3.0877276542728371E-2</v>
      </c>
      <c r="L51" s="11">
        <v>0.51793008162012955</v>
      </c>
      <c r="M51" s="5">
        <v>51.621982233174201</v>
      </c>
      <c r="N51" s="5">
        <v>8.9483867753812572</v>
      </c>
      <c r="O51" s="5">
        <v>3.1067309001423911</v>
      </c>
      <c r="P51" s="5">
        <v>102.89566351143628</v>
      </c>
      <c r="Q51" s="5">
        <v>23.576419621844614</v>
      </c>
      <c r="R51" s="5">
        <v>140.93790113272001</v>
      </c>
      <c r="S51" s="11"/>
      <c r="T51" s="21">
        <f t="shared" ref="T51:T66" si="36">(C51*D51*E51*F51*G51*H51*I51*J51*K51*L51*M51*N51*O51*P51*Q51*R51)^(1/16)</f>
        <v>3.4638637605723019</v>
      </c>
      <c r="U51" s="21"/>
      <c r="V51" s="21">
        <f t="shared" ref="V51:V66" si="37">(SQRT(1/2))*(LN(T51/I51))</f>
        <v>0.94823929280841124</v>
      </c>
      <c r="W51" s="21">
        <f t="shared" ref="W51:W66" si="38">SQRT(2/3)*LN(T51/F51)</f>
        <v>-1.2929406072810392</v>
      </c>
      <c r="X51" s="21">
        <f t="shared" ref="X51:X66" si="39">SQRT(3/4)*LN(T51/E51)</f>
        <v>0.8052490701386904</v>
      </c>
      <c r="Y51" s="21">
        <f t="shared" ref="Y51:Y66" si="40">SQRT(4/5)*LN(T51/J51)</f>
        <v>5.0718268061473513</v>
      </c>
      <c r="Z51" s="21">
        <f t="shared" ref="Z51:Z66" si="41">SQRT(5/6)*LN(T51/H51)</f>
        <v>1.2736809670654665</v>
      </c>
      <c r="AA51" s="21">
        <f t="shared" ref="AA51:AA66" si="42">SQRT(6/7)*LN(T51/L51)</f>
        <v>1.7593356423333162</v>
      </c>
      <c r="AB51" s="21">
        <f t="shared" ref="AB51:AB66" si="43">SQRT(7/8)*LN(T51/D51)</f>
        <v>1.4733847654467516</v>
      </c>
      <c r="AC51" s="21">
        <f t="shared" ref="AC51:AC66" si="44">SQRT(8/9)*LN(T51/G51)</f>
        <v>-0.31245743748011046</v>
      </c>
      <c r="AD51" s="21">
        <f t="shared" ref="AD51:AD66" si="45">SQRT(9/10)*LN(T51/K51)</f>
        <v>4.4778984513599358</v>
      </c>
      <c r="AE51" s="21">
        <f t="shared" ref="AE51:AE66" si="46">SQRT(10/11)*LN(T51/M51)</f>
        <v>-2.5758391902550719</v>
      </c>
      <c r="AF51" s="21">
        <f t="shared" ref="AF51:AF66" si="47">SQRT(11/12)*LN(T51/N51)</f>
        <v>-0.90868316061857013</v>
      </c>
      <c r="AG51" s="21">
        <f t="shared" ref="AG51:AG66" si="48">SQRT(12/13)*LN(T51/O51)</f>
        <v>0.10454476754549107</v>
      </c>
      <c r="AH51" s="21">
        <f t="shared" ref="AH51:AH66" si="49">SQRT(13/14)*LN(T51/P51)</f>
        <v>-3.2679681674292782</v>
      </c>
      <c r="AI51" s="21">
        <f t="shared" ref="AI51:AI66" si="50">SQRT(14/15)*LN(T51/Q51)</f>
        <v>-1.8528310903810756</v>
      </c>
      <c r="AJ51" s="21">
        <f t="shared" ref="AJ51:AJ66" si="51">SQRT(15/16)*LN(T51/R51)</f>
        <v>-3.5882558593285845</v>
      </c>
      <c r="AK51" s="21"/>
      <c r="AL51" s="21">
        <f t="shared" ref="AL51:AL66" si="52">(3.2683*V51)+(5.3873*W51)+(1.5546*X51)+(3.2166*Y51)+(4.7542*Z51)+(2.039*AA51)+(4.049*AB51)+(3.1505*AC51)+(2.3688*AD51)+(2.8354*AE51)+(0.9011*AF51)+(1.9128*AG51)+(2.9094*AH51)+(4.1507*AI51)+(3.4871*AJ51)-3.2088</f>
        <v>-1.911402310343524</v>
      </c>
      <c r="AM51" s="21">
        <f t="shared" ref="AM51" si="53">AL51-(-1.37443)</f>
        <v>-0.536972310343524</v>
      </c>
      <c r="AN51" s="21">
        <f t="shared" ref="AN51" si="54">AL51-(1.10752)</f>
        <v>-3.0189223103435241</v>
      </c>
      <c r="AO51" s="21">
        <f t="shared" ref="AO51:AP51" si="55">2.718-(AM51^2/2)</f>
        <v>2.5738303689621689</v>
      </c>
      <c r="AP51" s="21">
        <f t="shared" si="55"/>
        <v>-1.838945957944941</v>
      </c>
      <c r="AQ51" s="21">
        <f t="shared" ref="AQ51" si="56">AO51/(AO51+AP51)</f>
        <v>3.5023608207982937</v>
      </c>
      <c r="AR51" s="21">
        <f t="shared" ref="AR51" si="57">AP51/(AO51+AP51)</f>
        <v>-2.5023608207982937</v>
      </c>
      <c r="AS51" s="21">
        <f>AQ51+AR51</f>
        <v>1</v>
      </c>
      <c r="AT51" s="21"/>
    </row>
    <row r="52" spans="1:46" ht="15" customHeight="1" x14ac:dyDescent="0.2">
      <c r="A52" s="6">
        <v>2</v>
      </c>
      <c r="C52" s="11">
        <v>71.172751426633937</v>
      </c>
      <c r="D52" s="11">
        <v>2.4270857958801835</v>
      </c>
      <c r="E52" s="11">
        <v>3.0007241066731098</v>
      </c>
      <c r="F52" s="11">
        <v>16.94243007068118</v>
      </c>
      <c r="G52" s="11">
        <v>3.5143403082149463</v>
      </c>
      <c r="H52" s="11">
        <v>1.4190937303917861</v>
      </c>
      <c r="I52" s="11">
        <v>0.8606174888430681</v>
      </c>
      <c r="J52" s="11">
        <v>2.8584114205519588E-2</v>
      </c>
      <c r="K52" s="11">
        <v>7.5349349471808727E-2</v>
      </c>
      <c r="L52" s="11">
        <v>0.55902360900446324</v>
      </c>
      <c r="M52" s="5">
        <v>76.448572468121824</v>
      </c>
      <c r="N52" s="5">
        <v>8.3627027738298363</v>
      </c>
      <c r="O52" s="5">
        <v>23.211886763421283</v>
      </c>
      <c r="P52" s="5">
        <v>112.52332793355899</v>
      </c>
      <c r="Q52" s="5">
        <v>29.370454834513559</v>
      </c>
      <c r="R52" s="5">
        <v>233.06613953549368</v>
      </c>
      <c r="S52" s="11"/>
      <c r="T52" s="21">
        <f t="shared" si="36"/>
        <v>5.3974041500210532</v>
      </c>
      <c r="U52" s="21"/>
      <c r="V52" s="21">
        <f t="shared" si="37"/>
        <v>1.2982644990681262</v>
      </c>
      <c r="W52" s="21">
        <f t="shared" si="38"/>
        <v>-0.93399289293483323</v>
      </c>
      <c r="X52" s="21">
        <f t="shared" si="39"/>
        <v>0.5084127677131729</v>
      </c>
      <c r="Y52" s="21">
        <f t="shared" si="40"/>
        <v>4.6875339574652601</v>
      </c>
      <c r="Z52" s="21">
        <f t="shared" si="41"/>
        <v>1.219503977785009</v>
      </c>
      <c r="AA52" s="21">
        <f t="shared" si="42"/>
        <v>2.099280131315135</v>
      </c>
      <c r="AB52" s="21">
        <f t="shared" si="43"/>
        <v>0.74760826018369098</v>
      </c>
      <c r="AC52" s="21">
        <f t="shared" si="44"/>
        <v>0.40452758369479508</v>
      </c>
      <c r="AD52" s="21">
        <f t="shared" si="45"/>
        <v>4.0523368642186499</v>
      </c>
      <c r="AE52" s="21">
        <f t="shared" si="46"/>
        <v>-2.5273434134751063</v>
      </c>
      <c r="AF52" s="21">
        <f t="shared" si="47"/>
        <v>-0.41922243046877633</v>
      </c>
      <c r="AG52" s="21">
        <f t="shared" si="48"/>
        <v>-1.4015181910020191</v>
      </c>
      <c r="AH52" s="21">
        <f t="shared" si="49"/>
        <v>-2.9267600428646858</v>
      </c>
      <c r="AI52" s="21">
        <f t="shared" si="50"/>
        <v>-1.6366281758673757</v>
      </c>
      <c r="AJ52" s="21">
        <f t="shared" si="51"/>
        <v>-3.6458368901274403</v>
      </c>
      <c r="AK52" s="21"/>
      <c r="AL52" s="21">
        <f t="shared" si="52"/>
        <v>-2.39645917297943</v>
      </c>
      <c r="AM52" s="21">
        <f t="shared" ref="AM52:AM66" si="58">AL52-(-1.37443)</f>
        <v>-1.02202917297943</v>
      </c>
      <c r="AN52" s="21">
        <f t="shared" ref="AN52:AN66" si="59">AL52-(1.10752)</f>
        <v>-3.5039791729794301</v>
      </c>
      <c r="AO52" s="21">
        <f t="shared" ref="AO52:AO66" si="60">2.718-(AM52^2/2)</f>
        <v>2.1957281847894912</v>
      </c>
      <c r="AP52" s="21">
        <f t="shared" ref="AP52:AP66" si="61">2.718-(AN52^2/2)</f>
        <v>-3.4209350223368054</v>
      </c>
      <c r="AQ52" s="21">
        <f t="shared" ref="AQ52:AQ66" si="62">AO52/(AO52+AP52)</f>
        <v>-1.7921285757635987</v>
      </c>
      <c r="AR52" s="21">
        <f t="shared" ref="AR52:AR66" si="63">AP52/(AO52+AP52)</f>
        <v>2.792128575763599</v>
      </c>
      <c r="AS52" s="21">
        <f t="shared" ref="AS52:AS66" si="64">AQ52+AR52</f>
        <v>1.0000000000000002</v>
      </c>
      <c r="AT52" s="21"/>
    </row>
    <row r="53" spans="1:46" ht="15" customHeight="1" x14ac:dyDescent="0.2">
      <c r="A53" s="6">
        <v>3</v>
      </c>
      <c r="C53" s="11">
        <v>71.702591901946519</v>
      </c>
      <c r="D53" s="11">
        <v>1.7800057089420167</v>
      </c>
      <c r="E53" s="11">
        <v>3.7165753527235617</v>
      </c>
      <c r="F53" s="11">
        <v>15.926368123616276</v>
      </c>
      <c r="G53" s="11">
        <v>3.4651943094309421</v>
      </c>
      <c r="H53" s="11">
        <v>1.6954843965481801</v>
      </c>
      <c r="I53" s="11">
        <v>0.86189645419215855</v>
      </c>
      <c r="J53" s="11">
        <v>3.6509208532597773E-2</v>
      </c>
      <c r="K53" s="11">
        <v>0.13505632313362623</v>
      </c>
      <c r="L53" s="11">
        <v>0.68031822093413108</v>
      </c>
      <c r="M53" s="5">
        <v>58.443880342935778</v>
      </c>
      <c r="N53" s="5">
        <v>8.1258741758870645</v>
      </c>
      <c r="O53" s="5">
        <v>25.820516955239199</v>
      </c>
      <c r="P53" s="5">
        <v>112.52332793355899</v>
      </c>
      <c r="Q53" s="5">
        <v>35.995068497357842</v>
      </c>
      <c r="R53" s="5">
        <v>167.88490243154453</v>
      </c>
      <c r="S53" s="11"/>
      <c r="T53" s="21">
        <f t="shared" si="36"/>
        <v>5.6472507542994954</v>
      </c>
      <c r="U53" s="21"/>
      <c r="V53" s="21">
        <f t="shared" si="37"/>
        <v>1.3292115299056497</v>
      </c>
      <c r="W53" s="21">
        <f t="shared" si="38"/>
        <v>-0.84654959399557717</v>
      </c>
      <c r="X53" s="21">
        <f t="shared" si="39"/>
        <v>0.36231575244568354</v>
      </c>
      <c r="Y53" s="21">
        <f t="shared" si="40"/>
        <v>4.5091291024705322</v>
      </c>
      <c r="Z53" s="21">
        <f t="shared" si="41"/>
        <v>1.0983666259569873</v>
      </c>
      <c r="AA53" s="21">
        <f t="shared" si="42"/>
        <v>1.9593718231089918</v>
      </c>
      <c r="AB53" s="21">
        <f t="shared" si="43"/>
        <v>1.0799847508222502</v>
      </c>
      <c r="AC53" s="21">
        <f t="shared" si="44"/>
        <v>0.46046805446424866</v>
      </c>
      <c r="AD53" s="21">
        <f t="shared" si="45"/>
        <v>3.5416550489081708</v>
      </c>
      <c r="AE53" s="21">
        <f t="shared" si="46"/>
        <v>-2.228144959808966</v>
      </c>
      <c r="AF53" s="21">
        <f t="shared" si="47"/>
        <v>-0.34839286402993552</v>
      </c>
      <c r="AG53" s="21">
        <f t="shared" si="48"/>
        <v>-1.4603693124041359</v>
      </c>
      <c r="AH53" s="21">
        <f t="shared" si="49"/>
        <v>-2.883155368079414</v>
      </c>
      <c r="AI53" s="21">
        <f t="shared" si="50"/>
        <v>-1.7894078644534879</v>
      </c>
      <c r="AJ53" s="21">
        <f t="shared" si="51"/>
        <v>-3.2843961962664161</v>
      </c>
      <c r="AK53" s="21"/>
      <c r="AL53" s="21">
        <f t="shared" si="52"/>
        <v>-1.6213636192807463</v>
      </c>
      <c r="AM53" s="21">
        <f t="shared" si="58"/>
        <v>-0.24693361928074631</v>
      </c>
      <c r="AN53" s="21">
        <f t="shared" si="59"/>
        <v>-2.7288836192807464</v>
      </c>
      <c r="AO53" s="21">
        <f t="shared" si="60"/>
        <v>2.6875118938344555</v>
      </c>
      <c r="AP53" s="21">
        <f t="shared" si="61"/>
        <v>-1.0054029037893928</v>
      </c>
      <c r="AQ53" s="21">
        <f t="shared" si="62"/>
        <v>1.5977037812290977</v>
      </c>
      <c r="AR53" s="21">
        <f t="shared" si="63"/>
        <v>-0.59770378122909773</v>
      </c>
      <c r="AS53" s="21">
        <f t="shared" si="64"/>
        <v>1</v>
      </c>
      <c r="AT53" s="21"/>
    </row>
    <row r="54" spans="1:46" ht="15" customHeight="1" x14ac:dyDescent="0.2">
      <c r="A54" s="6">
        <v>4</v>
      </c>
      <c r="C54" s="11">
        <v>72.895662565144846</v>
      </c>
      <c r="D54" s="11">
        <v>1.8965779132817906</v>
      </c>
      <c r="E54" s="11">
        <v>1.1698859465092244</v>
      </c>
      <c r="F54" s="11">
        <v>18.383270703421552</v>
      </c>
      <c r="G54" s="11">
        <v>3.1673258430063385</v>
      </c>
      <c r="H54" s="11">
        <v>0.94519643119473917</v>
      </c>
      <c r="I54" s="11">
        <v>0.92464623879441254</v>
      </c>
      <c r="J54" s="11">
        <v>1.0894225961654578E-2</v>
      </c>
      <c r="K54" s="11">
        <v>0.25939346222117937</v>
      </c>
      <c r="L54" s="11">
        <v>0.34714667046424702</v>
      </c>
      <c r="M54" s="5">
        <v>57.075563117456902</v>
      </c>
      <c r="N54" s="5">
        <v>8.9356117887702364</v>
      </c>
      <c r="O54" s="5">
        <v>23.930490552110747</v>
      </c>
      <c r="P54" s="5">
        <v>100.48874740590561</v>
      </c>
      <c r="Q54" s="5">
        <v>47.723236492604826</v>
      </c>
      <c r="R54" s="5">
        <v>164.12249092944452</v>
      </c>
      <c r="S54" s="11"/>
      <c r="T54" s="21">
        <f t="shared" si="36"/>
        <v>4.7929449382497342</v>
      </c>
      <c r="U54" s="21"/>
      <c r="V54" s="21">
        <f t="shared" si="37"/>
        <v>1.1635364948459059</v>
      </c>
      <c r="W54" s="21">
        <f t="shared" si="38"/>
        <v>-1.097613102435284</v>
      </c>
      <c r="X54" s="21">
        <f t="shared" si="39"/>
        <v>1.2213025999777585</v>
      </c>
      <c r="Y54" s="21">
        <f t="shared" si="40"/>
        <v>5.4440808166817503</v>
      </c>
      <c r="Z54" s="21">
        <f t="shared" si="41"/>
        <v>1.4820528379789097</v>
      </c>
      <c r="AA54" s="21">
        <f t="shared" si="42"/>
        <v>2.4304193559467286</v>
      </c>
      <c r="AB54" s="21">
        <f t="shared" si="43"/>
        <v>0.86721690503490356</v>
      </c>
      <c r="AC54" s="21">
        <f t="shared" si="44"/>
        <v>0.39056560617324282</v>
      </c>
      <c r="AD54" s="21">
        <f t="shared" si="45"/>
        <v>2.7668862982329472</v>
      </c>
      <c r="AE54" s="21">
        <f t="shared" si="46"/>
        <v>-2.3619471086658104</v>
      </c>
      <c r="AF54" s="21">
        <f t="shared" si="47"/>
        <v>-0.59638094823297783</v>
      </c>
      <c r="AG54" s="21">
        <f t="shared" si="48"/>
        <v>-1.5449244685974284</v>
      </c>
      <c r="AH54" s="21">
        <f t="shared" si="49"/>
        <v>-2.9322125060299724</v>
      </c>
      <c r="AI54" s="21">
        <f t="shared" si="50"/>
        <v>-2.2203430328376021</v>
      </c>
      <c r="AJ54" s="21">
        <f t="shared" si="51"/>
        <v>-3.4212656919703894</v>
      </c>
      <c r="AK54" s="21"/>
      <c r="AL54" s="21">
        <f t="shared" si="52"/>
        <v>-2.4783259545062712</v>
      </c>
      <c r="AM54" s="21">
        <f t="shared" si="58"/>
        <v>-1.1038959545062712</v>
      </c>
      <c r="AN54" s="21">
        <f t="shared" si="59"/>
        <v>-3.5858459545062713</v>
      </c>
      <c r="AO54" s="21">
        <f t="shared" si="60"/>
        <v>2.1087068608123443</v>
      </c>
      <c r="AP54" s="21">
        <f t="shared" si="61"/>
        <v>-3.7111456047244964</v>
      </c>
      <c r="AQ54" s="21">
        <f t="shared" si="62"/>
        <v>-1.3159360186612827</v>
      </c>
      <c r="AR54" s="21">
        <f t="shared" si="63"/>
        <v>2.3159360186612825</v>
      </c>
      <c r="AS54" s="21">
        <f t="shared" si="64"/>
        <v>0.99999999999999978</v>
      </c>
      <c r="AT54" s="21"/>
    </row>
    <row r="55" spans="1:46" ht="15" customHeight="1" x14ac:dyDescent="0.2">
      <c r="A55" s="6">
        <v>5</v>
      </c>
      <c r="C55" s="11">
        <v>65.645454618172224</v>
      </c>
      <c r="D55" s="11">
        <v>1.8686029827881954</v>
      </c>
      <c r="E55" s="11">
        <v>8.9996338454781242</v>
      </c>
      <c r="F55" s="11">
        <v>15.55178018180955</v>
      </c>
      <c r="G55" s="11">
        <v>4.138246304209841</v>
      </c>
      <c r="H55" s="11">
        <v>1.835123615908786</v>
      </c>
      <c r="I55" s="11">
        <v>0.79470229817933002</v>
      </c>
      <c r="J55" s="11">
        <v>0.20618772292594689</v>
      </c>
      <c r="K55" s="11">
        <v>0.16666057534470366</v>
      </c>
      <c r="L55" s="11">
        <v>0.79360785518329413</v>
      </c>
      <c r="M55" s="5">
        <v>56.858994923496219</v>
      </c>
      <c r="N55" s="5">
        <v>7.9509551284438551</v>
      </c>
      <c r="O55" s="5">
        <v>20.967480409706251</v>
      </c>
      <c r="P55" s="5">
        <v>116.53485477611011</v>
      </c>
      <c r="Q55" s="5">
        <v>39.067208066078685</v>
      </c>
      <c r="R55" s="5">
        <v>166.3596004712337</v>
      </c>
      <c r="S55" s="11"/>
      <c r="T55" s="21">
        <f t="shared" si="36"/>
        <v>6.7873415086151434</v>
      </c>
      <c r="U55" s="21"/>
      <c r="V55" s="21">
        <f t="shared" si="37"/>
        <v>1.5166358842333056</v>
      </c>
      <c r="W55" s="21">
        <f t="shared" si="38"/>
        <v>-0.67697019851070495</v>
      </c>
      <c r="X55" s="21">
        <f t="shared" si="39"/>
        <v>-0.24432703440294984</v>
      </c>
      <c r="Y55" s="21">
        <f t="shared" si="40"/>
        <v>3.1251532766254617</v>
      </c>
      <c r="Z55" s="21">
        <f t="shared" si="41"/>
        <v>1.1939872401908314</v>
      </c>
      <c r="AA55" s="21">
        <f t="shared" si="42"/>
        <v>1.9870183912130128</v>
      </c>
      <c r="AB55" s="21">
        <f t="shared" si="43"/>
        <v>1.206561267201439</v>
      </c>
      <c r="AC55" s="21">
        <f t="shared" si="44"/>
        <v>0.46648987827985733</v>
      </c>
      <c r="AD55" s="21">
        <f t="shared" si="45"/>
        <v>3.5166317610492519</v>
      </c>
      <c r="AE55" s="21">
        <f t="shared" si="46"/>
        <v>-2.0265991261717122</v>
      </c>
      <c r="AF55" s="21">
        <f t="shared" si="47"/>
        <v>-0.151496303968993</v>
      </c>
      <c r="AG55" s="21">
        <f t="shared" si="48"/>
        <v>-1.0836640953361472</v>
      </c>
      <c r="AH55" s="21">
        <f t="shared" si="49"/>
        <v>-2.7397096578079609</v>
      </c>
      <c r="AI55" s="21">
        <f t="shared" si="50"/>
        <v>-1.6908771333614006</v>
      </c>
      <c r="AJ55" s="21">
        <f t="shared" si="51"/>
        <v>-3.0975078764918673</v>
      </c>
      <c r="AK55" s="21"/>
      <c r="AL55" s="21">
        <f t="shared" si="52"/>
        <v>-1.5593782584921581</v>
      </c>
      <c r="AM55" s="21">
        <f t="shared" si="58"/>
        <v>-0.18494825849215801</v>
      </c>
      <c r="AN55" s="21">
        <f t="shared" si="59"/>
        <v>-2.6668982584921581</v>
      </c>
      <c r="AO55" s="21">
        <f t="shared" si="60"/>
        <v>2.7008970708403588</v>
      </c>
      <c r="AP55" s="21">
        <f t="shared" si="61"/>
        <v>-0.83817316057425284</v>
      </c>
      <c r="AQ55" s="21">
        <f t="shared" si="62"/>
        <v>1.4499717622964923</v>
      </c>
      <c r="AR55" s="21">
        <f t="shared" si="63"/>
        <v>-0.44997176229649227</v>
      </c>
      <c r="AS55" s="21">
        <f t="shared" si="64"/>
        <v>1</v>
      </c>
      <c r="AT55" s="21"/>
    </row>
    <row r="56" spans="1:46" ht="15" customHeight="1" x14ac:dyDescent="0.2">
      <c r="A56" s="6">
        <v>6</v>
      </c>
      <c r="C56" s="11">
        <v>71.809828428139625</v>
      </c>
      <c r="D56" s="11">
        <v>2.2169236982329039</v>
      </c>
      <c r="E56" s="11">
        <v>3.3407018117632998</v>
      </c>
      <c r="F56" s="11">
        <v>15.967304134398409</v>
      </c>
      <c r="G56" s="11">
        <v>4.00846272207475</v>
      </c>
      <c r="H56" s="11">
        <v>1.351721237879691</v>
      </c>
      <c r="I56" s="11">
        <v>0.73655450301448611</v>
      </c>
      <c r="J56" s="11">
        <v>4.5724944768634028E-2</v>
      </c>
      <c r="K56" s="11">
        <v>0.11763080322667561</v>
      </c>
      <c r="L56" s="11">
        <v>0.40514771650153086</v>
      </c>
      <c r="M56" s="5">
        <v>54.417680737030317</v>
      </c>
      <c r="N56" s="5">
        <v>7.8064995106115429</v>
      </c>
      <c r="O56" s="5">
        <v>17.837124179524753</v>
      </c>
      <c r="P56" s="5">
        <v>83.289326068467673</v>
      </c>
      <c r="Q56" s="5">
        <v>28.269688213799252</v>
      </c>
      <c r="R56" s="5">
        <v>192.39142059387174</v>
      </c>
      <c r="S56" s="11"/>
      <c r="T56" s="21">
        <f t="shared" si="36"/>
        <v>5.1611760236027324</v>
      </c>
      <c r="U56" s="21"/>
      <c r="V56" s="21">
        <f t="shared" si="37"/>
        <v>1.3766920074587461</v>
      </c>
      <c r="W56" s="21">
        <f t="shared" si="38"/>
        <v>-0.92213382653497789</v>
      </c>
      <c r="X56" s="21">
        <f t="shared" si="39"/>
        <v>0.3767068104850928</v>
      </c>
      <c r="Y56" s="21">
        <f t="shared" si="40"/>
        <v>4.2273095498376065</v>
      </c>
      <c r="Z56" s="21">
        <f t="shared" si="41"/>
        <v>1.2230514111173569</v>
      </c>
      <c r="AA56" s="21">
        <f t="shared" si="42"/>
        <v>2.3559047921543486</v>
      </c>
      <c r="AB56" s="21">
        <f t="shared" si="43"/>
        <v>0.790466236015125</v>
      </c>
      <c r="AC56" s="21">
        <f t="shared" si="44"/>
        <v>0.2383012628013976</v>
      </c>
      <c r="AD56" s="21">
        <f t="shared" si="45"/>
        <v>3.5873214344733317</v>
      </c>
      <c r="AE56" s="21">
        <f t="shared" si="46"/>
        <v>-2.2459046313710598</v>
      </c>
      <c r="AF56" s="21">
        <f t="shared" si="47"/>
        <v>-0.39617586182186393</v>
      </c>
      <c r="AG56" s="21">
        <f t="shared" si="48"/>
        <v>-1.1914663050651688</v>
      </c>
      <c r="AH56" s="21">
        <f t="shared" si="49"/>
        <v>-2.6799889196136415</v>
      </c>
      <c r="AI56" s="21">
        <f t="shared" si="50"/>
        <v>-1.6429604933163078</v>
      </c>
      <c r="AJ56" s="21">
        <f t="shared" si="51"/>
        <v>-3.503469248256827</v>
      </c>
      <c r="AK56" s="21"/>
      <c r="AL56" s="21">
        <f t="shared" si="52"/>
        <v>-2.2642552552625084</v>
      </c>
      <c r="AM56" s="21">
        <f t="shared" si="58"/>
        <v>-0.88982525526250833</v>
      </c>
      <c r="AN56" s="21">
        <f t="shared" si="59"/>
        <v>-3.3717752552625084</v>
      </c>
      <c r="AO56" s="21">
        <f t="shared" si="60"/>
        <v>2.322105507548506</v>
      </c>
      <c r="AP56" s="21">
        <f t="shared" si="61"/>
        <v>-2.966434186000277</v>
      </c>
      <c r="AQ56" s="21">
        <f t="shared" si="62"/>
        <v>-3.6039145628721525</v>
      </c>
      <c r="AR56" s="21">
        <f t="shared" si="63"/>
        <v>4.6039145628721521</v>
      </c>
      <c r="AS56" s="21">
        <f t="shared" si="64"/>
        <v>0.99999999999999956</v>
      </c>
      <c r="AT56" s="21"/>
    </row>
    <row r="57" spans="1:46" ht="15" customHeight="1" x14ac:dyDescent="0.2">
      <c r="A57" s="6">
        <v>7</v>
      </c>
      <c r="C57" s="11">
        <v>69.183394047181196</v>
      </c>
      <c r="D57" s="11">
        <v>2.0976498704406215</v>
      </c>
      <c r="E57" s="11">
        <v>6.4992053285891265</v>
      </c>
      <c r="F57" s="11">
        <v>15.375069939099239</v>
      </c>
      <c r="G57" s="11">
        <v>3.0180694674403106</v>
      </c>
      <c r="H57" s="11">
        <v>1.9227113555856878</v>
      </c>
      <c r="I57" s="11">
        <v>0.85075206553093863</v>
      </c>
      <c r="J57" s="11">
        <v>0.16039130924289491</v>
      </c>
      <c r="K57" s="11">
        <v>0.17406960274829664</v>
      </c>
      <c r="L57" s="11">
        <v>0.71868701414169933</v>
      </c>
      <c r="M57" s="5">
        <v>53.256087696695737</v>
      </c>
      <c r="N57" s="5">
        <v>7.4350422076141651</v>
      </c>
      <c r="O57" s="5">
        <v>18.654166843377155</v>
      </c>
      <c r="P57" s="5">
        <v>110.21669999909209</v>
      </c>
      <c r="Q57" s="5">
        <v>30.711388717929172</v>
      </c>
      <c r="R57" s="5">
        <v>158.63140387232556</v>
      </c>
      <c r="S57" s="11"/>
      <c r="T57" s="21">
        <f t="shared" si="36"/>
        <v>6.2694460438141464</v>
      </c>
      <c r="U57" s="21"/>
      <c r="V57" s="21">
        <f t="shared" si="37"/>
        <v>1.4123203109657627</v>
      </c>
      <c r="W57" s="21">
        <f t="shared" si="38"/>
        <v>-0.73244590203887683</v>
      </c>
      <c r="X57" s="21">
        <f t="shared" si="39"/>
        <v>-3.1169909962217607E-2</v>
      </c>
      <c r="Y57" s="21">
        <f t="shared" si="40"/>
        <v>3.2788151381397386</v>
      </c>
      <c r="Z57" s="21">
        <f t="shared" si="41"/>
        <v>1.0789692975360352</v>
      </c>
      <c r="AA57" s="21">
        <f t="shared" si="42"/>
        <v>2.0053423747202257</v>
      </c>
      <c r="AB57" s="21">
        <f t="shared" si="43"/>
        <v>1.0241574721921607</v>
      </c>
      <c r="AC57" s="21">
        <f t="shared" si="44"/>
        <v>0.6892599931023442</v>
      </c>
      <c r="AD57" s="21">
        <f t="shared" si="45"/>
        <v>3.4000695981640581</v>
      </c>
      <c r="AE57" s="21">
        <f t="shared" si="46"/>
        <v>-2.0398608614502116</v>
      </c>
      <c r="AF57" s="21">
        <f t="shared" si="47"/>
        <v>-0.16325688609924291</v>
      </c>
      <c r="AG57" s="21">
        <f t="shared" si="48"/>
        <v>-1.0476047014062331</v>
      </c>
      <c r="AH57" s="21">
        <f t="shared" si="49"/>
        <v>-2.7624794701995561</v>
      </c>
      <c r="AI57" s="21">
        <f t="shared" si="50"/>
        <v>-1.5350672428415943</v>
      </c>
      <c r="AJ57" s="21">
        <f t="shared" si="51"/>
        <v>-3.1283009185788693</v>
      </c>
      <c r="AK57" s="21"/>
      <c r="AL57" s="21">
        <f t="shared" si="52"/>
        <v>-1.7019483388126169</v>
      </c>
      <c r="AM57" s="21">
        <f t="shared" si="58"/>
        <v>-0.32751833881261683</v>
      </c>
      <c r="AN57" s="21">
        <f t="shared" si="59"/>
        <v>-2.8094683388126169</v>
      </c>
      <c r="AO57" s="21">
        <f t="shared" si="60"/>
        <v>2.6643658688707119</v>
      </c>
      <c r="AP57" s="21">
        <f t="shared" si="61"/>
        <v>-1.2285561733952628</v>
      </c>
      <c r="AQ57" s="21">
        <f t="shared" si="62"/>
        <v>1.8556539054351788</v>
      </c>
      <c r="AR57" s="21">
        <f t="shared" si="63"/>
        <v>-0.85565390543517883</v>
      </c>
      <c r="AS57" s="21">
        <f t="shared" si="64"/>
        <v>1</v>
      </c>
      <c r="AT57" s="21"/>
    </row>
    <row r="58" spans="1:46" ht="15" customHeight="1" x14ac:dyDescent="0.2">
      <c r="A58" s="6">
        <v>8</v>
      </c>
      <c r="C58" s="11">
        <v>70.553539553415419</v>
      </c>
      <c r="D58" s="11">
        <v>1.4599808802755219</v>
      </c>
      <c r="E58" s="11">
        <v>3.6533140892333411</v>
      </c>
      <c r="F58" s="11">
        <v>17.763148194047751</v>
      </c>
      <c r="G58" s="11">
        <v>3.4504298925613757</v>
      </c>
      <c r="H58" s="11">
        <v>1.9632995893567438</v>
      </c>
      <c r="I58" s="11">
        <v>0.81892241628059503</v>
      </c>
      <c r="J58" s="11">
        <v>3.6908929161367496E-2</v>
      </c>
      <c r="K58" s="11">
        <v>7.3990082107937172E-2</v>
      </c>
      <c r="L58" s="11">
        <v>0.22646637355994487</v>
      </c>
      <c r="M58" s="5">
        <v>48.698311614704949</v>
      </c>
      <c r="N58" s="5">
        <v>6.4425240170656188</v>
      </c>
      <c r="O58" s="5">
        <v>19.028234568996325</v>
      </c>
      <c r="P58" s="5">
        <v>100.9901882612245</v>
      </c>
      <c r="Q58" s="5">
        <v>23.146119942838112</v>
      </c>
      <c r="R58" s="5">
        <v>111.55041669739816</v>
      </c>
      <c r="S58" s="11"/>
      <c r="T58" s="21">
        <f t="shared" si="36"/>
        <v>4.5660700861994536</v>
      </c>
      <c r="U58" s="21"/>
      <c r="V58" s="21">
        <f t="shared" si="37"/>
        <v>1.215105605494508</v>
      </c>
      <c r="W58" s="21">
        <f t="shared" si="38"/>
        <v>-1.1091886311930674</v>
      </c>
      <c r="X58" s="21">
        <f t="shared" si="39"/>
        <v>0.19313940270117455</v>
      </c>
      <c r="Y58" s="21">
        <f t="shared" si="40"/>
        <v>4.3093096637218604</v>
      </c>
      <c r="Z58" s="21">
        <f t="shared" si="41"/>
        <v>0.77048714193477863</v>
      </c>
      <c r="AA58" s="21">
        <f t="shared" si="42"/>
        <v>2.7809892512712322</v>
      </c>
      <c r="AB58" s="21">
        <f t="shared" si="43"/>
        <v>1.0665870867411362</v>
      </c>
      <c r="AC58" s="21">
        <f t="shared" si="44"/>
        <v>0.26413178811400667</v>
      </c>
      <c r="AD58" s="21">
        <f t="shared" si="45"/>
        <v>3.9109251883492111</v>
      </c>
      <c r="AE58" s="21">
        <f t="shared" si="46"/>
        <v>-2.2568378088543963</v>
      </c>
      <c r="AF58" s="21">
        <f t="shared" si="47"/>
        <v>-0.32961103095499417</v>
      </c>
      <c r="AG58" s="21">
        <f t="shared" si="48"/>
        <v>-1.3712776294143574</v>
      </c>
      <c r="AH58" s="21">
        <f t="shared" si="49"/>
        <v>-2.9837372421926927</v>
      </c>
      <c r="AI58" s="21">
        <f t="shared" si="50"/>
        <v>-1.5681353188116518</v>
      </c>
      <c r="AJ58" s="21">
        <f t="shared" si="51"/>
        <v>-3.0943430488302628</v>
      </c>
      <c r="AK58" s="21"/>
      <c r="AL58" s="21">
        <f t="shared" si="52"/>
        <v>-2.6020356488297463</v>
      </c>
      <c r="AM58" s="21">
        <f t="shared" si="58"/>
        <v>-1.2276056488297462</v>
      </c>
      <c r="AN58" s="21">
        <f t="shared" si="59"/>
        <v>-3.7095556488297463</v>
      </c>
      <c r="AO58" s="21">
        <f t="shared" si="60"/>
        <v>1.964492185480649</v>
      </c>
      <c r="AP58" s="21">
        <f t="shared" si="61"/>
        <v>-4.1624015558823402</v>
      </c>
      <c r="AQ58" s="21">
        <f t="shared" si="62"/>
        <v>-0.89380035953057391</v>
      </c>
      <c r="AR58" s="21">
        <f t="shared" si="63"/>
        <v>1.8938003595305739</v>
      </c>
      <c r="AS58" s="21">
        <f t="shared" si="64"/>
        <v>1</v>
      </c>
      <c r="AT58" s="21"/>
    </row>
    <row r="59" spans="1:46" ht="15" customHeight="1" x14ac:dyDescent="0.2">
      <c r="A59" s="6">
        <v>9</v>
      </c>
      <c r="C59" s="11">
        <v>71.075320958830233</v>
      </c>
      <c r="D59" s="11">
        <v>1.7280583071024376</v>
      </c>
      <c r="E59" s="11">
        <v>4.0764165964033046</v>
      </c>
      <c r="F59" s="11">
        <v>17.150726188756366</v>
      </c>
      <c r="G59" s="11">
        <v>3.2225153216726712</v>
      </c>
      <c r="H59" s="11">
        <v>1.4303806832000405</v>
      </c>
      <c r="I59" s="11">
        <v>0.8451611179078703</v>
      </c>
      <c r="J59" s="11">
        <v>2.2248030039308784E-2</v>
      </c>
      <c r="K59" s="11">
        <v>9.4386084855120497E-2</v>
      </c>
      <c r="L59" s="11">
        <v>0.35478671123264871</v>
      </c>
      <c r="M59" s="5">
        <v>62.529144001739617</v>
      </c>
      <c r="N59" s="5">
        <v>8.4875045661067343</v>
      </c>
      <c r="O59" s="5">
        <v>15.002084574832077</v>
      </c>
      <c r="P59" s="5">
        <v>117.036295631429</v>
      </c>
      <c r="Q59" s="5">
        <v>29.340433926675896</v>
      </c>
      <c r="R59" s="5">
        <v>172.76586870453917</v>
      </c>
      <c r="S59" s="11"/>
      <c r="T59" s="21">
        <f t="shared" si="36"/>
        <v>4.9195814420701307</v>
      </c>
      <c r="U59" s="21"/>
      <c r="V59" s="21">
        <f t="shared" si="37"/>
        <v>1.2455342663379882</v>
      </c>
      <c r="W59" s="21">
        <f t="shared" si="38"/>
        <v>-1.0196548612846361</v>
      </c>
      <c r="X59" s="21">
        <f t="shared" si="39"/>
        <v>0.16281722453932393</v>
      </c>
      <c r="Y59" s="21">
        <f t="shared" si="40"/>
        <v>4.8287666746344113</v>
      </c>
      <c r="Z59" s="21">
        <f t="shared" si="41"/>
        <v>1.1276537877956749</v>
      </c>
      <c r="AA59" s="21">
        <f t="shared" si="42"/>
        <v>2.4344087134465342</v>
      </c>
      <c r="AB59" s="21">
        <f t="shared" si="43"/>
        <v>0.97865391395719692</v>
      </c>
      <c r="AC59" s="21">
        <f t="shared" si="44"/>
        <v>0.39886596572543526</v>
      </c>
      <c r="AD59" s="21">
        <f t="shared" si="45"/>
        <v>3.750700129997413</v>
      </c>
      <c r="AE59" s="21">
        <f t="shared" si="46"/>
        <v>-2.4240921521444276</v>
      </c>
      <c r="AF59" s="21">
        <f t="shared" si="47"/>
        <v>-0.52215353136063225</v>
      </c>
      <c r="AG59" s="21">
        <f t="shared" si="48"/>
        <v>-1.0712244031968723</v>
      </c>
      <c r="AH59" s="21">
        <f t="shared" si="49"/>
        <v>-3.0539759800407382</v>
      </c>
      <c r="AI59" s="21">
        <f t="shared" si="50"/>
        <v>-1.7251917433908313</v>
      </c>
      <c r="AJ59" s="21">
        <f t="shared" si="51"/>
        <v>-3.4457098819625318</v>
      </c>
      <c r="AK59" s="21"/>
      <c r="AL59" s="21">
        <f t="shared" si="52"/>
        <v>-1.8715215421529106</v>
      </c>
      <c r="AM59" s="21">
        <f t="shared" si="58"/>
        <v>-0.49709154215291051</v>
      </c>
      <c r="AN59" s="21">
        <f t="shared" si="59"/>
        <v>-2.9790415421529106</v>
      </c>
      <c r="AO59" s="21">
        <f t="shared" si="60"/>
        <v>2.5944499993600205</v>
      </c>
      <c r="AP59" s="21">
        <f t="shared" si="61"/>
        <v>-1.719344254936396</v>
      </c>
      <c r="AQ59" s="21">
        <f t="shared" si="62"/>
        <v>2.9647274239627084</v>
      </c>
      <c r="AR59" s="21">
        <f t="shared" si="63"/>
        <v>-1.9647274239627082</v>
      </c>
      <c r="AS59" s="21">
        <f t="shared" si="64"/>
        <v>1.0000000000000002</v>
      </c>
      <c r="AT59" s="21"/>
    </row>
    <row r="60" spans="1:46" ht="15" customHeight="1" x14ac:dyDescent="0.2">
      <c r="A60" s="6">
        <v>10</v>
      </c>
      <c r="C60" s="11">
        <v>69.642307786147072</v>
      </c>
      <c r="D60" s="11">
        <v>1.5889903742997256</v>
      </c>
      <c r="E60" s="11">
        <v>5.2176630154752948</v>
      </c>
      <c r="F60" s="11">
        <v>17.460270355142722</v>
      </c>
      <c r="G60" s="11">
        <v>2.8240928771681144</v>
      </c>
      <c r="H60" s="11">
        <v>1.6461728824387241</v>
      </c>
      <c r="I60" s="11">
        <v>0.8495246005126863</v>
      </c>
      <c r="J60" s="11">
        <v>0.12730576613755698</v>
      </c>
      <c r="K60" s="11">
        <v>0.16153611907734314</v>
      </c>
      <c r="L60" s="11">
        <v>0.48213622360060876</v>
      </c>
      <c r="M60" s="5">
        <v>55.175669415892713</v>
      </c>
      <c r="N60" s="5">
        <v>8.023674282998897</v>
      </c>
      <c r="O60" s="5">
        <v>18.979015131414858</v>
      </c>
      <c r="P60" s="5">
        <v>112.62361610462276</v>
      </c>
      <c r="Q60" s="5">
        <v>30.070942684059027</v>
      </c>
      <c r="R60" s="5">
        <v>154.97067916757959</v>
      </c>
      <c r="S60" s="11"/>
      <c r="T60" s="21">
        <f t="shared" si="36"/>
        <v>5.8216687838735366</v>
      </c>
      <c r="U60" s="21"/>
      <c r="V60" s="21">
        <f t="shared" si="37"/>
        <v>1.3609439082971986</v>
      </c>
      <c r="W60" s="21">
        <f t="shared" si="38"/>
        <v>-0.89679173755900321</v>
      </c>
      <c r="X60" s="21">
        <f t="shared" si="39"/>
        <v>9.4862127594126044E-2</v>
      </c>
      <c r="Y60" s="21">
        <f t="shared" si="40"/>
        <v>3.4191719308339943</v>
      </c>
      <c r="Z60" s="21">
        <f t="shared" si="41"/>
        <v>1.1530781481992491</v>
      </c>
      <c r="AA60" s="21">
        <f t="shared" si="42"/>
        <v>2.3063248345947738</v>
      </c>
      <c r="AB60" s="21">
        <f t="shared" si="43"/>
        <v>1.2146244196777338</v>
      </c>
      <c r="AC60" s="21">
        <f t="shared" si="44"/>
        <v>0.68202782088822445</v>
      </c>
      <c r="AD60" s="21">
        <f t="shared" si="45"/>
        <v>3.4006629261618366</v>
      </c>
      <c r="AE60" s="21">
        <f t="shared" si="46"/>
        <v>-2.1442755134260332</v>
      </c>
      <c r="AF60" s="21">
        <f t="shared" si="47"/>
        <v>-0.30715171528872776</v>
      </c>
      <c r="AG60" s="21">
        <f t="shared" si="48"/>
        <v>-1.1353857430166656</v>
      </c>
      <c r="AH60" s="21">
        <f t="shared" si="49"/>
        <v>-2.8547021979924403</v>
      </c>
      <c r="AI60" s="21">
        <f t="shared" si="50"/>
        <v>-1.5862960368180417</v>
      </c>
      <c r="AJ60" s="21">
        <f t="shared" si="51"/>
        <v>-3.1774429610348078</v>
      </c>
      <c r="AK60" s="21"/>
      <c r="AL60" s="21">
        <f t="shared" si="52"/>
        <v>-1.6379282565436188</v>
      </c>
      <c r="AM60" s="21">
        <f t="shared" si="58"/>
        <v>-0.2634982565436188</v>
      </c>
      <c r="AN60" s="21">
        <f t="shared" si="59"/>
        <v>-2.7454482565436189</v>
      </c>
      <c r="AO60" s="21">
        <f t="shared" si="60"/>
        <v>2.6832843343992367</v>
      </c>
      <c r="AP60" s="21">
        <f t="shared" si="61"/>
        <v>-1.0507430646791982</v>
      </c>
      <c r="AQ60" s="21">
        <f t="shared" si="62"/>
        <v>1.6436241975428825</v>
      </c>
      <c r="AR60" s="21">
        <f t="shared" si="63"/>
        <v>-0.64362419754288247</v>
      </c>
      <c r="AS60" s="21">
        <f t="shared" si="64"/>
        <v>1</v>
      </c>
      <c r="AT60" s="21"/>
    </row>
    <row r="61" spans="1:46" ht="15" customHeight="1" x14ac:dyDescent="0.2">
      <c r="A61" s="6">
        <v>11</v>
      </c>
      <c r="C61" s="11">
        <v>72.349123580356164</v>
      </c>
      <c r="D61" s="11">
        <v>1.6691521601300969</v>
      </c>
      <c r="E61" s="11">
        <v>2.9740319144063752</v>
      </c>
      <c r="F61" s="11">
        <v>17.573715771832962</v>
      </c>
      <c r="G61" s="11">
        <v>2.8810657294645976</v>
      </c>
      <c r="H61" s="11">
        <v>1.3033796734278373</v>
      </c>
      <c r="I61" s="11">
        <v>0.76042146990765802</v>
      </c>
      <c r="J61" s="11">
        <v>2.8568165006164874E-2</v>
      </c>
      <c r="K61" s="11">
        <v>9.9172080599400289E-2</v>
      </c>
      <c r="L61" s="11">
        <v>0.36136945486876537</v>
      </c>
      <c r="M61" s="5">
        <v>63.887617218402099</v>
      </c>
      <c r="N61" s="5">
        <v>9.1242885141022381</v>
      </c>
      <c r="O61" s="5">
        <v>14.598485186664023</v>
      </c>
      <c r="P61" s="5">
        <v>103.7982570510103</v>
      </c>
      <c r="Q61" s="5">
        <v>26.538482528494022</v>
      </c>
      <c r="R61" s="5">
        <v>344.92161662495403</v>
      </c>
      <c r="S61" s="11"/>
      <c r="T61" s="21">
        <f t="shared" si="36"/>
        <v>4.9929749331802622</v>
      </c>
      <c r="U61" s="21"/>
      <c r="V61" s="21">
        <f t="shared" si="37"/>
        <v>1.3307143948640707</v>
      </c>
      <c r="W61" s="21">
        <f t="shared" si="38"/>
        <v>-1.0274568050893438</v>
      </c>
      <c r="X61" s="21">
        <f t="shared" si="39"/>
        <v>0.44869930754648868</v>
      </c>
      <c r="Y61" s="21">
        <f t="shared" si="40"/>
        <v>4.618369616548609</v>
      </c>
      <c r="Z61" s="21">
        <f t="shared" si="41"/>
        <v>1.2260507194318768</v>
      </c>
      <c r="AA61" s="21">
        <f t="shared" si="42"/>
        <v>2.431098348116187</v>
      </c>
      <c r="AB61" s="21">
        <f t="shared" si="43"/>
        <v>1.0249485618513925</v>
      </c>
      <c r="AC61" s="21">
        <f t="shared" si="44"/>
        <v>0.51842395433740007</v>
      </c>
      <c r="AD61" s="21">
        <f t="shared" si="45"/>
        <v>3.7178240642978331</v>
      </c>
      <c r="AE61" s="21">
        <f t="shared" si="46"/>
        <v>-2.4304654296056207</v>
      </c>
      <c r="AF61" s="21">
        <f t="shared" si="47"/>
        <v>-0.57724047633414677</v>
      </c>
      <c r="AG61" s="21">
        <f t="shared" si="48"/>
        <v>-1.0307953899954529</v>
      </c>
      <c r="AH61" s="21">
        <f t="shared" si="49"/>
        <v>-2.9240376443396596</v>
      </c>
      <c r="AI61" s="21">
        <f t="shared" si="50"/>
        <v>-1.6139180949483285</v>
      </c>
      <c r="AJ61" s="21">
        <f t="shared" si="51"/>
        <v>-4.1007973408245419</v>
      </c>
      <c r="AK61" s="21"/>
      <c r="AL61" s="21">
        <f t="shared" si="52"/>
        <v>-2.3550294971495092</v>
      </c>
      <c r="AM61" s="21">
        <f t="shared" si="58"/>
        <v>-0.98059949714950911</v>
      </c>
      <c r="AN61" s="21">
        <f t="shared" si="59"/>
        <v>-3.4625494971495092</v>
      </c>
      <c r="AO61" s="21">
        <f t="shared" si="60"/>
        <v>2.237212313095065</v>
      </c>
      <c r="AP61" s="21">
        <f t="shared" si="61"/>
        <v>-3.2766245101051599</v>
      </c>
      <c r="AQ61" s="21">
        <f t="shared" si="62"/>
        <v>-2.1523822017198602</v>
      </c>
      <c r="AR61" s="21">
        <f t="shared" si="63"/>
        <v>3.1523822017198602</v>
      </c>
      <c r="AS61" s="21">
        <f t="shared" si="64"/>
        <v>1</v>
      </c>
      <c r="AT61" s="21"/>
    </row>
    <row r="62" spans="1:46" ht="15" customHeight="1" x14ac:dyDescent="0.2">
      <c r="A62" s="6">
        <v>12</v>
      </c>
      <c r="C62" s="11">
        <v>67.211408948119896</v>
      </c>
      <c r="D62" s="11">
        <v>1.2942088227894732</v>
      </c>
      <c r="E62" s="11">
        <v>6.4803109294626795</v>
      </c>
      <c r="F62" s="11">
        <v>17.988640956404694</v>
      </c>
      <c r="G62" s="11">
        <v>3.4076029765648483</v>
      </c>
      <c r="H62" s="11">
        <v>1.9662827576252095</v>
      </c>
      <c r="I62" s="11">
        <v>0.89906228240211772</v>
      </c>
      <c r="J62" s="11">
        <v>0.14112675675462066</v>
      </c>
      <c r="K62" s="11">
        <v>0.13508830304939839</v>
      </c>
      <c r="L62" s="11">
        <v>0.47626726682706039</v>
      </c>
      <c r="M62" s="5">
        <v>71.989236474294984</v>
      </c>
      <c r="N62" s="5">
        <v>8.9454387015479444</v>
      </c>
      <c r="O62" s="5">
        <v>16.262102176917711</v>
      </c>
      <c r="P62" s="5">
        <v>133.38326751482481</v>
      </c>
      <c r="Q62" s="5">
        <v>39.267347451663106</v>
      </c>
      <c r="R62" s="5">
        <v>186.29021275262846</v>
      </c>
      <c r="S62" s="11"/>
      <c r="T62" s="21">
        <f t="shared" si="36"/>
        <v>6.2673768865616211</v>
      </c>
      <c r="U62" s="21"/>
      <c r="V62" s="21">
        <f t="shared" si="37"/>
        <v>1.3730322821353516</v>
      </c>
      <c r="W62" s="21">
        <f t="shared" si="38"/>
        <v>-0.86089978218212471</v>
      </c>
      <c r="X62" s="21">
        <f t="shared" si="39"/>
        <v>-2.8934414886171256E-2</v>
      </c>
      <c r="Y62" s="21">
        <f t="shared" si="40"/>
        <v>3.3929690458895991</v>
      </c>
      <c r="Z62" s="21">
        <f t="shared" si="41"/>
        <v>1.0582119146118083</v>
      </c>
      <c r="AA62" s="21">
        <f t="shared" si="42"/>
        <v>2.3859624617304545</v>
      </c>
      <c r="AB62" s="21">
        <f t="shared" si="43"/>
        <v>1.4755771690147828</v>
      </c>
      <c r="AC62" s="21">
        <f t="shared" si="44"/>
        <v>0.57449956095898602</v>
      </c>
      <c r="AD62" s="21">
        <f t="shared" si="45"/>
        <v>3.6402728708015086</v>
      </c>
      <c r="AE62" s="21">
        <f t="shared" si="46"/>
        <v>-2.3275535012688366</v>
      </c>
      <c r="AF62" s="21">
        <f t="shared" si="47"/>
        <v>-0.34063901962651882</v>
      </c>
      <c r="AG62" s="21">
        <f t="shared" si="48"/>
        <v>-0.91607344643455657</v>
      </c>
      <c r="AH62" s="21">
        <f t="shared" si="49"/>
        <v>-2.9466360934275921</v>
      </c>
      <c r="AI62" s="21">
        <f t="shared" si="50"/>
        <v>-1.7728126333566872</v>
      </c>
      <c r="AJ62" s="21">
        <f t="shared" si="51"/>
        <v>-3.2842393677265207</v>
      </c>
      <c r="AK62" s="21"/>
      <c r="AL62" s="21">
        <f t="shared" si="52"/>
        <v>-2.2294093059218572</v>
      </c>
      <c r="AM62" s="21">
        <f t="shared" si="58"/>
        <v>-0.85497930592185711</v>
      </c>
      <c r="AN62" s="21">
        <f t="shared" si="59"/>
        <v>-3.3369293059218572</v>
      </c>
      <c r="AO62" s="21">
        <f t="shared" si="60"/>
        <v>2.3525051932226897</v>
      </c>
      <c r="AP62" s="21">
        <f t="shared" si="61"/>
        <v>-2.849548596360064</v>
      </c>
      <c r="AQ62" s="21">
        <f t="shared" si="62"/>
        <v>-4.7329975176684878</v>
      </c>
      <c r="AR62" s="21">
        <f t="shared" si="63"/>
        <v>5.7329975176684878</v>
      </c>
      <c r="AS62" s="21">
        <f t="shared" si="64"/>
        <v>1</v>
      </c>
      <c r="AT62" s="21"/>
    </row>
    <row r="63" spans="1:46" ht="15" customHeight="1" x14ac:dyDescent="0.2">
      <c r="A63" s="6">
        <v>13</v>
      </c>
      <c r="C63" s="11">
        <v>71.490066624050598</v>
      </c>
      <c r="D63" s="11">
        <v>1.481122620623633</v>
      </c>
      <c r="E63" s="11">
        <v>3.4372759122995613</v>
      </c>
      <c r="F63" s="11">
        <v>17.614755255951081</v>
      </c>
      <c r="G63" s="11">
        <v>3.0039467775293716</v>
      </c>
      <c r="H63" s="11">
        <v>1.5535708847804595</v>
      </c>
      <c r="I63" s="11">
        <v>0.83878076103080546</v>
      </c>
      <c r="J63" s="11">
        <v>5.3591569324238329E-2</v>
      </c>
      <c r="K63" s="11">
        <v>0.11726667805350389</v>
      </c>
      <c r="L63" s="11">
        <v>0.4096229163567664</v>
      </c>
      <c r="M63" s="5">
        <v>64.881862108857959</v>
      </c>
      <c r="N63" s="5">
        <v>9.1989730512128212</v>
      </c>
      <c r="O63" s="5">
        <v>25.682702530011081</v>
      </c>
      <c r="P63" s="5">
        <v>119.14234722376833</v>
      </c>
      <c r="Q63" s="5">
        <v>29.540573312260314</v>
      </c>
      <c r="R63" s="5">
        <v>174.69791785426622</v>
      </c>
      <c r="S63" s="11"/>
      <c r="T63" s="21">
        <f t="shared" si="36"/>
        <v>5.4517155522217964</v>
      </c>
      <c r="U63" s="21"/>
      <c r="V63" s="21">
        <f t="shared" si="37"/>
        <v>1.3235173991288243</v>
      </c>
      <c r="W63" s="21">
        <f t="shared" si="38"/>
        <v>-0.95759256123876135</v>
      </c>
      <c r="X63" s="21">
        <f t="shared" si="39"/>
        <v>0.39945514210574912</v>
      </c>
      <c r="Y63" s="21">
        <f t="shared" si="40"/>
        <v>4.1343053054569463</v>
      </c>
      <c r="Z63" s="21">
        <f t="shared" si="41"/>
        <v>1.1459946685339797</v>
      </c>
      <c r="AA63" s="21">
        <f t="shared" si="42"/>
        <v>2.3964377393043237</v>
      </c>
      <c r="AB63" s="21">
        <f t="shared" si="43"/>
        <v>1.218966508530976</v>
      </c>
      <c r="AC63" s="21">
        <f t="shared" si="44"/>
        <v>0.5619173215696357</v>
      </c>
      <c r="AD63" s="21">
        <f t="shared" si="45"/>
        <v>3.6422181005510348</v>
      </c>
      <c r="AE63" s="21">
        <f t="shared" si="46"/>
        <v>-2.3613814616119377</v>
      </c>
      <c r="AF63" s="21">
        <f t="shared" si="47"/>
        <v>-0.50088901484577608</v>
      </c>
      <c r="AG63" s="21">
        <f t="shared" si="48"/>
        <v>-1.48908362150624</v>
      </c>
      <c r="AH63" s="21">
        <f t="shared" si="49"/>
        <v>-2.9721912574809655</v>
      </c>
      <c r="AI63" s="21">
        <f t="shared" si="50"/>
        <v>-1.6325350759976003</v>
      </c>
      <c r="AJ63" s="21">
        <f t="shared" si="51"/>
        <v>-3.3570322113802731</v>
      </c>
      <c r="AK63" s="21"/>
      <c r="AL63" s="21">
        <f t="shared" si="52"/>
        <v>-1.579255372831982</v>
      </c>
      <c r="AM63" s="21">
        <f t="shared" si="58"/>
        <v>-0.20482537283198199</v>
      </c>
      <c r="AN63" s="21">
        <f t="shared" si="59"/>
        <v>-2.6867753728319821</v>
      </c>
      <c r="AO63" s="21">
        <f t="shared" si="60"/>
        <v>2.6970232833221197</v>
      </c>
      <c r="AP63" s="21">
        <f t="shared" si="61"/>
        <v>-0.89138095202821832</v>
      </c>
      <c r="AQ63" s="21">
        <f t="shared" si="62"/>
        <v>1.4936641861898894</v>
      </c>
      <c r="AR63" s="21">
        <f t="shared" si="63"/>
        <v>-0.49366418618988928</v>
      </c>
      <c r="AS63" s="21">
        <f t="shared" si="64"/>
        <v>1</v>
      </c>
      <c r="AT63" s="21"/>
    </row>
    <row r="64" spans="1:46" ht="15" customHeight="1" x14ac:dyDescent="0.2">
      <c r="A64" s="6">
        <v>14</v>
      </c>
      <c r="C64" s="11">
        <v>72.274618320973403</v>
      </c>
      <c r="D64" s="11">
        <v>1.2643144643330444</v>
      </c>
      <c r="E64" s="11">
        <v>3.1789707389320747</v>
      </c>
      <c r="F64" s="11">
        <v>17.376230846430904</v>
      </c>
      <c r="G64" s="11">
        <v>3.1958277177242289</v>
      </c>
      <c r="H64" s="11">
        <v>1.4950251789961511</v>
      </c>
      <c r="I64" s="11">
        <v>0.76413170318217538</v>
      </c>
      <c r="J64" s="11">
        <v>2.784130666453832E-2</v>
      </c>
      <c r="K64" s="11">
        <v>0.10710322647230144</v>
      </c>
      <c r="L64" s="11">
        <v>0.31593649629119108</v>
      </c>
      <c r="M64" s="5">
        <v>59.762977524332683</v>
      </c>
      <c r="N64" s="5">
        <v>8.1917144914977111</v>
      </c>
      <c r="O64" s="5">
        <v>16.596794352471708</v>
      </c>
      <c r="P64" s="5">
        <v>118.13946551313055</v>
      </c>
      <c r="Q64" s="5">
        <v>26.79866372975377</v>
      </c>
      <c r="R64" s="5">
        <v>136.76874244120376</v>
      </c>
      <c r="S64" s="11"/>
      <c r="T64" s="21">
        <f t="shared" si="36"/>
        <v>4.7219222528713409</v>
      </c>
      <c r="U64" s="21"/>
      <c r="V64" s="21">
        <f t="shared" si="37"/>
        <v>1.2878048552351413</v>
      </c>
      <c r="W64" s="21">
        <f t="shared" si="38"/>
        <v>-1.0638029893431362</v>
      </c>
      <c r="X64" s="21">
        <f t="shared" si="39"/>
        <v>0.34265030898171112</v>
      </c>
      <c r="Y64" s="21">
        <f t="shared" si="40"/>
        <v>4.5914976960788527</v>
      </c>
      <c r="Z64" s="21">
        <f t="shared" si="41"/>
        <v>1.0498681394964811</v>
      </c>
      <c r="AA64" s="21">
        <f t="shared" si="42"/>
        <v>2.5038156712679145</v>
      </c>
      <c r="AB64" s="21">
        <f t="shared" si="43"/>
        <v>1.2325823175573818</v>
      </c>
      <c r="AC64" s="21">
        <f t="shared" si="44"/>
        <v>0.36804422677828086</v>
      </c>
      <c r="AD64" s="21">
        <f t="shared" si="45"/>
        <v>3.5918839742022515</v>
      </c>
      <c r="AE64" s="21">
        <f t="shared" si="46"/>
        <v>-2.4200505125990479</v>
      </c>
      <c r="AF64" s="21">
        <f t="shared" si="47"/>
        <v>-0.52745352727596151</v>
      </c>
      <c r="AG64" s="21">
        <f t="shared" si="48"/>
        <v>-1.2076803791621453</v>
      </c>
      <c r="AH64" s="21">
        <f t="shared" si="49"/>
        <v>-3.1025322400819224</v>
      </c>
      <c r="AI64" s="21">
        <f t="shared" si="50"/>
        <v>-1.6772667739406131</v>
      </c>
      <c r="AJ64" s="21">
        <f t="shared" si="51"/>
        <v>-3.2591886024322414</v>
      </c>
      <c r="AK64" s="21"/>
      <c r="AL64" s="21">
        <f t="shared" si="52"/>
        <v>-1.6745361152626881</v>
      </c>
      <c r="AM64" s="21">
        <f t="shared" si="58"/>
        <v>-0.30010611526268804</v>
      </c>
      <c r="AN64" s="21">
        <f t="shared" si="59"/>
        <v>-2.7820561152626881</v>
      </c>
      <c r="AO64" s="21">
        <f t="shared" si="60"/>
        <v>2.6729681597909689</v>
      </c>
      <c r="AP64" s="21">
        <f t="shared" si="61"/>
        <v>-1.1519181142352597</v>
      </c>
      <c r="AQ64" s="21">
        <f t="shared" si="62"/>
        <v>1.7573176948391671</v>
      </c>
      <c r="AR64" s="21">
        <f t="shared" si="63"/>
        <v>-0.757317694839167</v>
      </c>
      <c r="AS64" s="21">
        <f t="shared" si="64"/>
        <v>1</v>
      </c>
      <c r="AT64" s="21"/>
    </row>
    <row r="65" spans="1:48" ht="15" customHeight="1" x14ac:dyDescent="0.2">
      <c r="A65" s="6">
        <v>15</v>
      </c>
      <c r="C65" s="11">
        <v>76.070410038439519</v>
      </c>
      <c r="D65" s="11">
        <v>0.72153071163812854</v>
      </c>
      <c r="E65" s="11">
        <v>1.1008777736527371</v>
      </c>
      <c r="F65" s="11">
        <v>17.610920138669997</v>
      </c>
      <c r="G65" s="11">
        <v>2.6165252325371489</v>
      </c>
      <c r="H65" s="11">
        <v>0.70153548943966493</v>
      </c>
      <c r="I65" s="11">
        <v>0.75973632143010694</v>
      </c>
      <c r="J65" s="11">
        <v>7.3765269336103839E-3</v>
      </c>
      <c r="K65" s="11">
        <v>2.0430210664688232E-2</v>
      </c>
      <c r="L65" s="11">
        <v>0.39065755659441337</v>
      </c>
      <c r="M65" s="5">
        <v>61.456147040752583</v>
      </c>
      <c r="N65" s="5">
        <v>8.013847370221189</v>
      </c>
      <c r="O65" s="5">
        <v>1.8988859018931152</v>
      </c>
      <c r="P65" s="5">
        <v>90.33958449425127</v>
      </c>
      <c r="Q65" s="5">
        <v>17.752363501338007</v>
      </c>
      <c r="R65" s="5">
        <v>170.63044596010403</v>
      </c>
      <c r="S65" s="11"/>
      <c r="T65" s="21">
        <f t="shared" si="36"/>
        <v>2.8796545463592005</v>
      </c>
      <c r="U65" s="21"/>
      <c r="V65" s="21">
        <f t="shared" si="37"/>
        <v>0.94218739277582253</v>
      </c>
      <c r="W65" s="21">
        <f t="shared" si="38"/>
        <v>-1.4785518817737375</v>
      </c>
      <c r="X65" s="21">
        <f t="shared" si="39"/>
        <v>0.8327375524424252</v>
      </c>
      <c r="Y65" s="21">
        <f t="shared" si="40"/>
        <v>5.3371567896478105</v>
      </c>
      <c r="Z65" s="21">
        <f t="shared" si="41"/>
        <v>1.2891144506932526</v>
      </c>
      <c r="AA65" s="21">
        <f t="shared" si="42"/>
        <v>1.8494129123352163</v>
      </c>
      <c r="AB65" s="21">
        <f t="shared" si="43"/>
        <v>1.2946608561438804</v>
      </c>
      <c r="AC65" s="21">
        <f t="shared" si="44"/>
        <v>9.0342929730312979E-2</v>
      </c>
      <c r="AD65" s="21">
        <f t="shared" si="45"/>
        <v>4.694474769345633</v>
      </c>
      <c r="AE65" s="21">
        <f t="shared" si="46"/>
        <v>-2.9182186361093154</v>
      </c>
      <c r="AF65" s="21">
        <f t="shared" si="47"/>
        <v>-0.97992724688304966</v>
      </c>
      <c r="AG65" s="21">
        <f t="shared" si="48"/>
        <v>0.40006705313170005</v>
      </c>
      <c r="AH65" s="21">
        <f t="shared" si="49"/>
        <v>-3.3205575232770013</v>
      </c>
      <c r="AI65" s="21">
        <f t="shared" si="50"/>
        <v>-1.7571744207636315</v>
      </c>
      <c r="AJ65" s="21">
        <f t="shared" si="51"/>
        <v>-3.9522146564701646</v>
      </c>
      <c r="AK65" s="21"/>
      <c r="AL65" s="21">
        <f t="shared" si="52"/>
        <v>-2.2143222370802356</v>
      </c>
      <c r="AM65" s="21">
        <f t="shared" si="58"/>
        <v>-0.83989223708023553</v>
      </c>
      <c r="AN65" s="21">
        <f t="shared" si="59"/>
        <v>-3.3218422370802356</v>
      </c>
      <c r="AO65" s="21">
        <f t="shared" si="60"/>
        <v>2.3652905150461789</v>
      </c>
      <c r="AP65" s="21">
        <f t="shared" si="61"/>
        <v>-2.7993179240251118</v>
      </c>
      <c r="AQ65" s="21">
        <f t="shared" si="62"/>
        <v>-5.4496339772887179</v>
      </c>
      <c r="AR65" s="21">
        <f t="shared" si="63"/>
        <v>6.4496339772887179</v>
      </c>
      <c r="AS65" s="21">
        <f t="shared" si="64"/>
        <v>1</v>
      </c>
      <c r="AT65" s="21"/>
    </row>
    <row r="66" spans="1:48" ht="15" customHeight="1" x14ac:dyDescent="0.2">
      <c r="A66" s="6">
        <v>16</v>
      </c>
      <c r="C66" s="11">
        <v>72.590421285759064</v>
      </c>
      <c r="D66" s="11">
        <v>1.6367170000985756</v>
      </c>
      <c r="E66" s="11">
        <v>3.3206127155176546</v>
      </c>
      <c r="F66" s="11">
        <v>16.591932715290447</v>
      </c>
      <c r="G66" s="11">
        <v>3.0020690094724447</v>
      </c>
      <c r="H66" s="11">
        <v>1.4345271855278059</v>
      </c>
      <c r="I66" s="11">
        <v>0.86604278012450975</v>
      </c>
      <c r="J66" s="11">
        <v>3.8046093483923467E-2</v>
      </c>
      <c r="K66" s="11">
        <v>3.7849322477117309E-2</v>
      </c>
      <c r="L66" s="11">
        <v>0.48178189224846329</v>
      </c>
      <c r="M66" s="5">
        <v>74.853843039865879</v>
      </c>
      <c r="N66" s="5">
        <v>8.153389531664649</v>
      </c>
      <c r="O66" s="5">
        <v>11.28109509367294</v>
      </c>
      <c r="P66" s="5">
        <v>132.98211483056971</v>
      </c>
      <c r="Q66" s="5">
        <v>33.043012559987659</v>
      </c>
      <c r="R66" s="5">
        <v>242.92975887883702</v>
      </c>
      <c r="S66" s="11"/>
      <c r="T66" s="21">
        <f t="shared" si="36"/>
        <v>4.9367887583512617</v>
      </c>
      <c r="U66" s="21"/>
      <c r="V66" s="21">
        <f t="shared" si="37"/>
        <v>1.2307448388112954</v>
      </c>
      <c r="W66" s="21">
        <f t="shared" si="38"/>
        <v>-0.98975840081848232</v>
      </c>
      <c r="X66" s="21">
        <f t="shared" si="39"/>
        <v>0.3434360156261177</v>
      </c>
      <c r="Y66" s="21">
        <f t="shared" si="40"/>
        <v>4.3519892845659358</v>
      </c>
      <c r="Z66" s="21">
        <f t="shared" si="41"/>
        <v>1.1281987079895079</v>
      </c>
      <c r="AA66" s="21">
        <f t="shared" si="42"/>
        <v>2.1543637854849607</v>
      </c>
      <c r="AB66" s="21">
        <f t="shared" si="43"/>
        <v>1.0327186395601851</v>
      </c>
      <c r="AC66" s="21">
        <f t="shared" si="44"/>
        <v>0.46896580390653209</v>
      </c>
      <c r="AD66" s="21">
        <f t="shared" si="45"/>
        <v>4.6209009395944136</v>
      </c>
      <c r="AE66" s="21">
        <f t="shared" si="46"/>
        <v>-2.592295427903216</v>
      </c>
      <c r="AF66" s="21">
        <f t="shared" si="47"/>
        <v>-0.48035904874819363</v>
      </c>
      <c r="AG66" s="21">
        <f t="shared" si="48"/>
        <v>-0.79399217110946141</v>
      </c>
      <c r="AH66" s="21">
        <f t="shared" si="49"/>
        <v>-3.1736956005829002</v>
      </c>
      <c r="AI66" s="21">
        <f t="shared" si="50"/>
        <v>-1.8366323093269501</v>
      </c>
      <c r="AJ66" s="21">
        <f t="shared" si="51"/>
        <v>-3.7723412330983668</v>
      </c>
      <c r="AK66" s="21"/>
      <c r="AL66" s="21">
        <f t="shared" si="52"/>
        <v>-2.9377780153883162</v>
      </c>
      <c r="AM66" s="21">
        <f t="shared" si="58"/>
        <v>-1.5633480153883161</v>
      </c>
      <c r="AN66" s="21">
        <f t="shared" si="59"/>
        <v>-4.0452980153883162</v>
      </c>
      <c r="AO66" s="21">
        <f t="shared" si="60"/>
        <v>1.4959714913907065</v>
      </c>
      <c r="AP66" s="21">
        <f t="shared" si="61"/>
        <v>-5.4642180166523246</v>
      </c>
      <c r="AQ66" s="21">
        <f t="shared" si="62"/>
        <v>-0.3769855229173496</v>
      </c>
      <c r="AR66" s="21">
        <f t="shared" si="63"/>
        <v>1.3769855229173495</v>
      </c>
      <c r="AS66" s="21">
        <f t="shared" si="64"/>
        <v>1</v>
      </c>
      <c r="AT66" s="21"/>
    </row>
    <row r="67" spans="1:48" ht="15" customHeight="1" x14ac:dyDescent="0.25">
      <c r="M67" s="11"/>
      <c r="N67" s="11"/>
      <c r="O67" s="11"/>
      <c r="P67" s="11"/>
      <c r="Q67" s="11"/>
      <c r="R67" s="11"/>
      <c r="S67" s="1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</row>
    <row r="68" spans="1:48" ht="15" customHeight="1" x14ac:dyDescent="0.25">
      <c r="M68" s="11"/>
      <c r="N68" s="11"/>
      <c r="O68" s="11"/>
      <c r="P68" s="11"/>
      <c r="Q68" s="11"/>
      <c r="R68" s="11"/>
      <c r="S68" s="1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</row>
    <row r="69" spans="1:48" ht="15" customHeight="1" x14ac:dyDescent="0.25">
      <c r="M69" s="11"/>
      <c r="N69" s="11"/>
      <c r="O69" s="11"/>
      <c r="P69" s="11"/>
      <c r="Q69" s="11"/>
      <c r="R69" s="11"/>
      <c r="S69" s="1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</row>
    <row r="70" spans="1:48" ht="15" customHeight="1" x14ac:dyDescent="0.25">
      <c r="M70" s="11"/>
      <c r="N70" s="11"/>
      <c r="O70" s="11"/>
      <c r="P70" s="11"/>
      <c r="Q70" s="11"/>
      <c r="R70" s="11"/>
      <c r="S70" s="1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</row>
    <row r="71" spans="1:48" ht="15" customHeight="1" x14ac:dyDescent="0.25">
      <c r="M71" s="11"/>
      <c r="N71" s="11"/>
      <c r="O71" s="11"/>
      <c r="P71" s="11"/>
      <c r="Q71" s="11"/>
      <c r="R71" s="11"/>
      <c r="S71" s="1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  <row r="72" spans="1:48" ht="15" customHeight="1" x14ac:dyDescent="0.25">
      <c r="M72" s="11"/>
      <c r="N72" s="11"/>
      <c r="O72" s="11"/>
      <c r="P72" s="11"/>
      <c r="Q72" s="11"/>
      <c r="R72" s="11"/>
      <c r="S72" s="1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</row>
    <row r="73" spans="1:48" ht="15" customHeight="1" x14ac:dyDescent="0.25">
      <c r="M73" s="11"/>
      <c r="N73" s="11"/>
      <c r="O73" s="11"/>
      <c r="P73" s="11"/>
      <c r="Q73" s="11"/>
      <c r="R73" s="11"/>
      <c r="S73" s="1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</row>
    <row r="74" spans="1:48" ht="15" customHeight="1" x14ac:dyDescent="0.25">
      <c r="M74" s="11"/>
      <c r="N74" s="11"/>
      <c r="O74" s="11"/>
      <c r="P74" s="11"/>
      <c r="Q74" s="11"/>
      <c r="R74" s="11"/>
      <c r="S74" s="1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</row>
    <row r="75" spans="1:48" ht="15" customHeight="1" x14ac:dyDescent="0.25">
      <c r="M75" s="11"/>
      <c r="N75" s="11"/>
      <c r="O75" s="11"/>
      <c r="P75" s="11"/>
      <c r="Q75" s="11"/>
      <c r="R75" s="11"/>
      <c r="S75" s="1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8" ht="15" customHeight="1" x14ac:dyDescent="0.25">
      <c r="M76" s="11"/>
      <c r="N76" s="11"/>
      <c r="O76" s="11"/>
      <c r="P76" s="11"/>
      <c r="Q76" s="11"/>
      <c r="R76" s="11"/>
      <c r="S76" s="1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</row>
    <row r="77" spans="1:48" ht="15" customHeight="1" x14ac:dyDescent="0.25">
      <c r="M77" s="11"/>
      <c r="N77" s="11"/>
      <c r="O77" s="11"/>
      <c r="P77" s="11"/>
      <c r="Q77" s="11"/>
      <c r="R77" s="11"/>
      <c r="S77" s="1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</row>
    <row r="78" spans="1:48" ht="15" customHeight="1" x14ac:dyDescent="0.25">
      <c r="M78" s="11"/>
      <c r="N78" s="11"/>
      <c r="O78" s="11"/>
      <c r="P78" s="11"/>
      <c r="Q78" s="11"/>
      <c r="R78" s="11"/>
      <c r="S78" s="11"/>
      <c r="T78" s="1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</row>
    <row r="79" spans="1:48" ht="15" customHeight="1" x14ac:dyDescent="0.25">
      <c r="M79" s="11"/>
      <c r="N79" s="11"/>
      <c r="O79" s="11"/>
      <c r="P79" s="11"/>
      <c r="Q79" s="11"/>
      <c r="R79" s="11"/>
      <c r="S79" s="11"/>
      <c r="T79" s="1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</row>
    <row r="80" spans="1:48" ht="15" customHeight="1" x14ac:dyDescent="0.25">
      <c r="M80" s="11"/>
      <c r="N80" s="11"/>
      <c r="O80" s="11"/>
      <c r="P80" s="11"/>
      <c r="Q80" s="11"/>
      <c r="R80" s="11"/>
      <c r="S80" s="11"/>
      <c r="T80" s="1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</row>
    <row r="81" spans="4:48" ht="15" customHeight="1" x14ac:dyDescent="0.25">
      <c r="M81" s="11"/>
      <c r="N81" s="11"/>
      <c r="O81" s="11"/>
      <c r="P81" s="11"/>
      <c r="Q81" s="11"/>
      <c r="R81" s="11"/>
      <c r="S81" s="11"/>
      <c r="T81" s="1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</row>
    <row r="82" spans="4:48" ht="15" customHeight="1" x14ac:dyDescent="0.25">
      <c r="M82" s="11"/>
      <c r="N82" s="11"/>
      <c r="O82" s="11"/>
      <c r="P82" s="11"/>
      <c r="Q82" s="11"/>
      <c r="R82" s="11"/>
      <c r="S82" s="11"/>
      <c r="T82" s="1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</row>
    <row r="83" spans="4:48" ht="15" customHeight="1" x14ac:dyDescent="0.25">
      <c r="M83" s="11"/>
      <c r="N83" s="11"/>
      <c r="O83" s="11"/>
      <c r="P83" s="11"/>
      <c r="Q83" s="11"/>
      <c r="R83" s="11"/>
      <c r="S83" s="11"/>
      <c r="T83" s="1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</row>
    <row r="84" spans="4:48" ht="15" customHeight="1" x14ac:dyDescent="0.25">
      <c r="M84" s="11"/>
      <c r="N84" s="11"/>
      <c r="O84" s="11"/>
      <c r="P84" s="11"/>
      <c r="Q84" s="11"/>
      <c r="R84" s="11"/>
      <c r="S84" s="11"/>
      <c r="T84" s="1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</row>
    <row r="85" spans="4:48" ht="15" customHeight="1" x14ac:dyDescent="0.25">
      <c r="M85" s="11"/>
      <c r="N85" s="11"/>
      <c r="O85" s="11"/>
      <c r="P85" s="11"/>
      <c r="Q85" s="11"/>
      <c r="R85" s="11"/>
      <c r="S85" s="11"/>
      <c r="T85" s="1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</row>
    <row r="86" spans="4:48" ht="15" customHeight="1" x14ac:dyDescent="0.25">
      <c r="M86" s="11"/>
      <c r="N86" s="11"/>
      <c r="O86" s="11"/>
      <c r="P86" s="11"/>
      <c r="Q86" s="11"/>
      <c r="R86" s="11"/>
      <c r="S86" s="11"/>
      <c r="T86" s="1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</row>
    <row r="87" spans="4:48" ht="15" customHeight="1" x14ac:dyDescent="0.25">
      <c r="M87" s="11"/>
      <c r="N87" s="11"/>
      <c r="O87" s="11"/>
      <c r="P87" s="11"/>
      <c r="Q87" s="11"/>
      <c r="R87" s="11"/>
      <c r="S87" s="11"/>
      <c r="T87" s="1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</row>
    <row r="88" spans="4:48" ht="15" customHeight="1" x14ac:dyDescent="0.25">
      <c r="M88" s="11"/>
      <c r="N88" s="11"/>
      <c r="O88" s="11"/>
      <c r="P88" s="11"/>
      <c r="Q88" s="11"/>
      <c r="R88" s="11"/>
      <c r="S88" s="11"/>
      <c r="T88" s="1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</row>
    <row r="89" spans="4:48" ht="15" customHeight="1" x14ac:dyDescent="0.25">
      <c r="M89" s="11"/>
      <c r="N89" s="11"/>
      <c r="O89" s="11"/>
      <c r="P89" s="11"/>
      <c r="Q89" s="11"/>
      <c r="R89" s="11"/>
      <c r="S89" s="11"/>
      <c r="T89" s="1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</row>
    <row r="90" spans="4:48" ht="15" customHeight="1" x14ac:dyDescent="0.25">
      <c r="M90" s="11"/>
      <c r="N90" s="11"/>
      <c r="O90" s="11"/>
      <c r="P90" s="11"/>
      <c r="Q90" s="11"/>
      <c r="R90" s="11"/>
      <c r="S90" s="11"/>
      <c r="T90" s="1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</row>
    <row r="91" spans="4:48" ht="15" customHeight="1" x14ac:dyDescent="0.25">
      <c r="M91" s="11"/>
      <c r="N91" s="11"/>
      <c r="O91" s="11"/>
      <c r="P91" s="11"/>
      <c r="Q91" s="11"/>
      <c r="R91" s="11"/>
      <c r="S91" s="11"/>
      <c r="T91" s="1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</row>
    <row r="92" spans="4:48" ht="15" customHeight="1" x14ac:dyDescent="0.25">
      <c r="M92" s="11"/>
      <c r="N92" s="11"/>
      <c r="O92" s="11"/>
      <c r="P92" s="11"/>
      <c r="Q92" s="11"/>
      <c r="R92" s="11"/>
      <c r="S92" s="11"/>
      <c r="T92" s="1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</row>
    <row r="93" spans="4:48" ht="15" customHeight="1" x14ac:dyDescent="0.25">
      <c r="M93" s="11"/>
      <c r="N93" s="11"/>
      <c r="O93" s="11"/>
      <c r="P93" s="11"/>
      <c r="Q93" s="11"/>
      <c r="R93" s="11"/>
      <c r="S93" s="11"/>
      <c r="T93" s="1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</row>
    <row r="94" spans="4:48" ht="15" customHeight="1" x14ac:dyDescent="0.25">
      <c r="M94" s="11"/>
      <c r="N94" s="11"/>
      <c r="O94" s="11"/>
      <c r="P94" s="11"/>
      <c r="Q94" s="11"/>
      <c r="R94" s="11"/>
      <c r="S94" s="11"/>
      <c r="T94" s="1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</row>
    <row r="95" spans="4:48" ht="15" customHeight="1" x14ac:dyDescent="0.25">
      <c r="D95" s="12"/>
      <c r="E95" s="1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</row>
    <row r="96" spans="4:48" ht="15" customHeight="1" x14ac:dyDescent="0.25">
      <c r="D96" s="12"/>
      <c r="E96" s="12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</row>
    <row r="97" spans="4:48" ht="15" customHeight="1" x14ac:dyDescent="0.25">
      <c r="D97" s="12"/>
      <c r="E97" s="12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</row>
  </sheetData>
  <mergeCells count="1">
    <mergeCell ref="AE3:A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7DC6-E0BC-4CAC-891A-084912102849}">
  <dimension ref="A1:AJ42"/>
  <sheetViews>
    <sheetView zoomScale="55" zoomScaleNormal="55" workbookViewId="0">
      <selection activeCell="C23" sqref="C23:L38"/>
    </sheetView>
  </sheetViews>
  <sheetFormatPr defaultRowHeight="15" customHeight="1" x14ac:dyDescent="0.2"/>
  <cols>
    <col min="1" max="3" width="9.140625" style="4" customWidth="1"/>
    <col min="4" max="5" width="10.5703125" style="4" bestFit="1" customWidth="1"/>
    <col min="6" max="6" width="12.42578125" style="4" bestFit="1" customWidth="1"/>
    <col min="7" max="8" width="10.5703125" style="4" bestFit="1" customWidth="1"/>
    <col min="9" max="9" width="10.140625" style="4" bestFit="1" customWidth="1"/>
    <col min="10" max="10" width="11.42578125" style="4" bestFit="1" customWidth="1"/>
    <col min="11" max="11" width="10" style="4" bestFit="1" customWidth="1"/>
    <col min="12" max="12" width="11.42578125" style="4" bestFit="1" customWidth="1"/>
    <col min="13" max="13" width="9.140625" style="4" customWidth="1"/>
    <col min="14" max="14" width="7.42578125" style="4" bestFit="1" customWidth="1"/>
    <col min="15" max="15" width="9.140625" style="4" customWidth="1"/>
    <col min="16" max="16" width="9.7109375" style="4" bestFit="1" customWidth="1"/>
    <col min="17" max="17" width="8.85546875" style="4" bestFit="1" customWidth="1"/>
    <col min="18" max="18" width="10.28515625" style="4" bestFit="1" customWidth="1"/>
    <col min="19" max="19" width="11" style="4" bestFit="1" customWidth="1"/>
    <col min="20" max="20" width="15.42578125" style="4" bestFit="1" customWidth="1"/>
    <col min="21" max="22" width="9.140625" style="4" customWidth="1"/>
    <col min="23" max="23" width="13.85546875" style="4" bestFit="1" customWidth="1"/>
    <col min="24" max="24" width="22.140625" style="4" bestFit="1" customWidth="1"/>
    <col min="25" max="25" width="22" style="4" bestFit="1" customWidth="1"/>
    <col min="26" max="26" width="12.5703125" style="4" bestFit="1" customWidth="1"/>
    <col min="27" max="27" width="14.42578125" style="4" bestFit="1" customWidth="1"/>
    <col min="28" max="28" width="20.28515625" style="4" bestFit="1" customWidth="1"/>
    <col min="29" max="29" width="25.85546875" style="4" bestFit="1" customWidth="1"/>
    <col min="30" max="32" width="13.85546875" style="4" bestFit="1" customWidth="1"/>
    <col min="33" max="33" width="13" style="4" bestFit="1" customWidth="1"/>
    <col min="34" max="34" width="11.7109375" style="4" bestFit="1" customWidth="1"/>
    <col min="35" max="35" width="18.7109375" style="4" bestFit="1" customWidth="1"/>
    <col min="36" max="36" width="18.85546875" style="4" bestFit="1" customWidth="1"/>
    <col min="37" max="16384" width="9.140625" style="4"/>
  </cols>
  <sheetData>
    <row r="1" spans="1:31" ht="15" customHeight="1" x14ac:dyDescent="0.2">
      <c r="A1" s="7"/>
      <c r="C1" s="10" t="s">
        <v>0</v>
      </c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31" ht="15" customHeight="1" x14ac:dyDescent="0.2">
      <c r="A2" s="8" t="s">
        <v>1</v>
      </c>
      <c r="B2" s="7"/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/>
      <c r="N2" s="10" t="s">
        <v>53</v>
      </c>
      <c r="Q2" s="2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5" customHeight="1" x14ac:dyDescent="0.2">
      <c r="A3" s="7"/>
      <c r="B3" s="7"/>
      <c r="C3" s="10" t="s">
        <v>51</v>
      </c>
      <c r="D3" s="10" t="s">
        <v>51</v>
      </c>
      <c r="E3" s="10" t="s">
        <v>51</v>
      </c>
      <c r="F3" s="10" t="s">
        <v>51</v>
      </c>
      <c r="G3" s="10" t="s">
        <v>51</v>
      </c>
      <c r="H3" s="10" t="s">
        <v>51</v>
      </c>
      <c r="I3" s="10" t="s">
        <v>51</v>
      </c>
      <c r="J3" s="10" t="s">
        <v>51</v>
      </c>
      <c r="K3" s="10" t="s">
        <v>51</v>
      </c>
      <c r="L3" s="10" t="s">
        <v>51</v>
      </c>
      <c r="M3" s="10"/>
      <c r="N3" s="10" t="s">
        <v>51</v>
      </c>
      <c r="Q3" s="2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" customHeight="1" x14ac:dyDescent="0.2">
      <c r="A4" s="6">
        <v>1</v>
      </c>
      <c r="C4" s="5">
        <v>15.876130078161889</v>
      </c>
      <c r="D4" s="5">
        <v>69.511026277749636</v>
      </c>
      <c r="E4" s="5">
        <v>0.85238368605773995</v>
      </c>
      <c r="F4" s="5">
        <v>1.2859179427725662</v>
      </c>
      <c r="G4" s="5">
        <v>1.1229843975910266E-2</v>
      </c>
      <c r="H4" s="5">
        <v>0.80738613512289326</v>
      </c>
      <c r="I4" s="5">
        <v>0.48723665335576466</v>
      </c>
      <c r="J4" s="5">
        <v>0.6744753035749157</v>
      </c>
      <c r="K4" s="5">
        <v>4.5389944911412554</v>
      </c>
      <c r="L4" s="5">
        <v>2.9047435978923675E-2</v>
      </c>
      <c r="M4" s="5"/>
      <c r="N4" s="5">
        <v>94.073827847891508</v>
      </c>
      <c r="O4" s="5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" customHeight="1" x14ac:dyDescent="0.2">
      <c r="A5" s="6">
        <v>2</v>
      </c>
      <c r="C5" s="5">
        <v>16.942989118677094</v>
      </c>
      <c r="D5" s="5">
        <v>71.175099908161258</v>
      </c>
      <c r="E5" s="5">
        <v>0.86064588656880048</v>
      </c>
      <c r="F5" s="5">
        <v>3.0008231213239673</v>
      </c>
      <c r="G5" s="5">
        <v>2.8585057393226129E-2</v>
      </c>
      <c r="H5" s="5">
        <v>1.4191405561129302</v>
      </c>
      <c r="I5" s="5">
        <v>0.55904205506131455</v>
      </c>
      <c r="J5" s="5">
        <v>2.427165882234056</v>
      </c>
      <c r="K5" s="5">
        <v>3.5144562706181004</v>
      </c>
      <c r="L5" s="5">
        <v>7.5351835768204228E-2</v>
      </c>
      <c r="M5" s="5"/>
      <c r="N5" s="5">
        <v>100.00329969191894</v>
      </c>
      <c r="O5" s="5"/>
    </row>
    <row r="6" spans="1:31" ht="15" customHeight="1" x14ac:dyDescent="0.2">
      <c r="A6" s="6">
        <v>3</v>
      </c>
      <c r="C6" s="5">
        <v>15.685996783812646</v>
      </c>
      <c r="D6" s="5">
        <v>70.62040869802405</v>
      </c>
      <c r="E6" s="5">
        <v>0.84888813968767596</v>
      </c>
      <c r="F6" s="5">
        <v>3.660482325733271</v>
      </c>
      <c r="G6" s="5">
        <v>3.5958187276399531E-2</v>
      </c>
      <c r="H6" s="5">
        <v>1.6698950184268675</v>
      </c>
      <c r="I6" s="5">
        <v>0.67005040588744313</v>
      </c>
      <c r="J6" s="5">
        <v>1.7531406789618262</v>
      </c>
      <c r="K6" s="5">
        <v>3.4128952923309464</v>
      </c>
      <c r="L6" s="5">
        <v>0.13301796328355825</v>
      </c>
      <c r="M6" s="5"/>
      <c r="N6" s="5">
        <v>98.490733493424671</v>
      </c>
      <c r="O6" s="5"/>
    </row>
    <row r="7" spans="1:31" ht="15" customHeight="1" x14ac:dyDescent="0.2">
      <c r="A7" s="6">
        <v>4</v>
      </c>
      <c r="C7" s="5">
        <v>17.418322354550202</v>
      </c>
      <c r="D7" s="5">
        <v>69.069327721529262</v>
      </c>
      <c r="E7" s="5">
        <v>0.87611103111514443</v>
      </c>
      <c r="F7" s="5">
        <v>1.1084779669029752</v>
      </c>
      <c r="G7" s="5">
        <v>1.0322381836442769E-2</v>
      </c>
      <c r="H7" s="5">
        <v>0.89558253221262296</v>
      </c>
      <c r="I7" s="5">
        <v>0.32892474402444788</v>
      </c>
      <c r="J7" s="5">
        <v>1.7970254584737075</v>
      </c>
      <c r="K7" s="5">
        <v>3.0010711056500705</v>
      </c>
      <c r="L7" s="5">
        <v>0.24577775165930624</v>
      </c>
      <c r="M7" s="5"/>
      <c r="N7" s="5">
        <v>94.750943047954195</v>
      </c>
      <c r="O7" s="5"/>
    </row>
    <row r="8" spans="1:31" ht="15" customHeight="1" x14ac:dyDescent="0.2">
      <c r="A8" s="6">
        <v>5</v>
      </c>
      <c r="C8" s="5">
        <v>15.4430486854775</v>
      </c>
      <c r="D8" s="5">
        <v>65.186489250568812</v>
      </c>
      <c r="E8" s="5">
        <v>0.78914607445385399</v>
      </c>
      <c r="F8" s="5">
        <v>8.936712196443759</v>
      </c>
      <c r="G8" s="5">
        <v>0.20474614521735379</v>
      </c>
      <c r="H8" s="5">
        <v>1.8222932045745623</v>
      </c>
      <c r="I8" s="5">
        <v>0.78805928334224662</v>
      </c>
      <c r="J8" s="5">
        <v>1.8555384978228828</v>
      </c>
      <c r="K8" s="5">
        <v>4.1093134291571438</v>
      </c>
      <c r="L8" s="5">
        <v>0.16549535480242863</v>
      </c>
      <c r="M8" s="5"/>
      <c r="N8" s="5">
        <v>99.300842121860555</v>
      </c>
      <c r="O8" s="5"/>
    </row>
    <row r="9" spans="1:31" ht="15" customHeight="1" x14ac:dyDescent="0.2">
      <c r="A9" s="6">
        <v>6</v>
      </c>
      <c r="C9" s="5">
        <v>15.844441195770349</v>
      </c>
      <c r="D9" s="5">
        <v>71.257276383737135</v>
      </c>
      <c r="E9" s="5">
        <v>0.73088696828611976</v>
      </c>
      <c r="F9" s="5">
        <v>3.3149962550695378</v>
      </c>
      <c r="G9" s="5">
        <v>4.5373106973374808E-2</v>
      </c>
      <c r="H9" s="5">
        <v>1.3413202057396394</v>
      </c>
      <c r="I9" s="5">
        <v>0.40203024353246591</v>
      </c>
      <c r="J9" s="5">
        <v>2.1998652293776448</v>
      </c>
      <c r="K9" s="5">
        <v>3.9776189737957797</v>
      </c>
      <c r="L9" s="5">
        <v>0.11672567446881138</v>
      </c>
      <c r="M9" s="5"/>
      <c r="N9" s="5">
        <v>99.230534236750856</v>
      </c>
      <c r="O9" s="5"/>
    </row>
    <row r="10" spans="1:31" ht="15" customHeight="1" x14ac:dyDescent="0.2">
      <c r="A10" s="6">
        <v>7</v>
      </c>
      <c r="C10" s="5">
        <v>14.788145116052327</v>
      </c>
      <c r="D10" s="5">
        <v>66.542401097570874</v>
      </c>
      <c r="E10" s="5">
        <v>0.81827562753772098</v>
      </c>
      <c r="F10" s="5">
        <v>6.2511059734293015</v>
      </c>
      <c r="G10" s="5">
        <v>0.15426856370947434</v>
      </c>
      <c r="H10" s="5">
        <v>1.8493141595652884</v>
      </c>
      <c r="I10" s="5">
        <v>0.69125200082000104</v>
      </c>
      <c r="J10" s="5">
        <v>2.0175746067898293</v>
      </c>
      <c r="K10" s="5">
        <v>2.9028582914822731</v>
      </c>
      <c r="L10" s="5">
        <v>0.16742470479364865</v>
      </c>
      <c r="M10" s="5"/>
      <c r="N10" s="5">
        <v>96.182620141750732</v>
      </c>
      <c r="O10" s="5"/>
    </row>
    <row r="11" spans="1:31" ht="15" customHeight="1" x14ac:dyDescent="0.2">
      <c r="A11" s="6">
        <v>8</v>
      </c>
      <c r="C11" s="5">
        <v>17.523951962522005</v>
      </c>
      <c r="D11" s="5">
        <v>69.603474812772504</v>
      </c>
      <c r="E11" s="5">
        <v>0.80789491407510672</v>
      </c>
      <c r="F11" s="5">
        <v>3.6041190392805773</v>
      </c>
      <c r="G11" s="5">
        <v>3.6411918346133276E-2</v>
      </c>
      <c r="H11" s="5">
        <v>1.9368620537352406</v>
      </c>
      <c r="I11" s="5">
        <v>0.22341680697799221</v>
      </c>
      <c r="J11" s="5">
        <v>1.4403209685950817</v>
      </c>
      <c r="K11" s="5">
        <v>3.4039668546793282</v>
      </c>
      <c r="L11" s="5">
        <v>7.2993741334490853E-2</v>
      </c>
      <c r="M11" s="5"/>
      <c r="N11" s="5">
        <v>98.653413072318457</v>
      </c>
      <c r="O11" s="5"/>
    </row>
    <row r="12" spans="1:31" ht="15" customHeight="1" x14ac:dyDescent="0.2">
      <c r="A12" s="6">
        <v>9</v>
      </c>
      <c r="C12" s="5">
        <v>16.964115040271452</v>
      </c>
      <c r="D12" s="5">
        <v>70.301974855167501</v>
      </c>
      <c r="E12" s="5">
        <v>0.83596521068319674</v>
      </c>
      <c r="F12" s="5">
        <v>4.0320625104954733</v>
      </c>
      <c r="G12" s="5">
        <v>2.2005956882086782E-2</v>
      </c>
      <c r="H12" s="5">
        <v>1.414817203314414</v>
      </c>
      <c r="I12" s="5">
        <v>0.35092639914314</v>
      </c>
      <c r="J12" s="5">
        <v>1.7092558994499447</v>
      </c>
      <c r="K12" s="5">
        <v>3.1874522416275939</v>
      </c>
      <c r="L12" s="5">
        <v>9.3359102352924439E-2</v>
      </c>
      <c r="M12" s="5"/>
      <c r="N12" s="5">
        <v>98.91193441938772</v>
      </c>
      <c r="O12" s="5"/>
    </row>
    <row r="13" spans="1:31" ht="15" customHeight="1" x14ac:dyDescent="0.2">
      <c r="A13" s="6">
        <v>10</v>
      </c>
      <c r="C13" s="5">
        <v>17.471137158536106</v>
      </c>
      <c r="D13" s="5">
        <v>69.685651288348382</v>
      </c>
      <c r="E13" s="5">
        <v>0.85005332181103066</v>
      </c>
      <c r="F13" s="5">
        <v>5.2209103488217341</v>
      </c>
      <c r="G13" s="5">
        <v>0.12738499782774976</v>
      </c>
      <c r="H13" s="5">
        <v>1.6471974162346577</v>
      </c>
      <c r="I13" s="5">
        <v>0.48243629223895906</v>
      </c>
      <c r="J13" s="5">
        <v>1.5899793192381646</v>
      </c>
      <c r="K13" s="5">
        <v>2.8258505167370691</v>
      </c>
      <c r="L13" s="5">
        <v>0.16163665481998857</v>
      </c>
      <c r="M13" s="5"/>
      <c r="N13" s="5">
        <v>100.06223731461399</v>
      </c>
      <c r="O13" s="5"/>
    </row>
    <row r="14" spans="1:31" ht="15" customHeight="1" x14ac:dyDescent="0.2">
      <c r="A14" s="6">
        <v>11</v>
      </c>
      <c r="C14" s="5">
        <v>16.467655882803985</v>
      </c>
      <c r="D14" s="5">
        <v>67.795592350103078</v>
      </c>
      <c r="E14" s="5">
        <v>0.71256183125517791</v>
      </c>
      <c r="F14" s="5">
        <v>2.7868513857165191</v>
      </c>
      <c r="G14" s="5">
        <v>2.6770133114291134E-2</v>
      </c>
      <c r="H14" s="5">
        <v>1.2213471655808157</v>
      </c>
      <c r="I14" s="5">
        <v>0.33862547378132574</v>
      </c>
      <c r="J14" s="5">
        <v>1.5640985518337216</v>
      </c>
      <c r="K14" s="5">
        <v>2.6997363349079659</v>
      </c>
      <c r="L14" s="5">
        <v>9.2930357910431097E-2</v>
      </c>
      <c r="M14" s="5"/>
      <c r="N14" s="5">
        <v>93.7061694670073</v>
      </c>
      <c r="O14" s="5"/>
    </row>
    <row r="15" spans="1:31" ht="15" customHeight="1" x14ac:dyDescent="0.2">
      <c r="A15" s="6">
        <v>12</v>
      </c>
      <c r="C15" s="5">
        <v>17.798588943248696</v>
      </c>
      <c r="D15" s="5">
        <v>66.501312859782928</v>
      </c>
      <c r="E15" s="5">
        <v>0.88956358835751215</v>
      </c>
      <c r="F15" s="5">
        <v>6.411845716275872</v>
      </c>
      <c r="G15" s="5">
        <v>0.13963573671056095</v>
      </c>
      <c r="H15" s="5">
        <v>1.9455087593322731</v>
      </c>
      <c r="I15" s="5">
        <v>0.4712354496330794</v>
      </c>
      <c r="J15" s="5">
        <v>1.2805353611415649</v>
      </c>
      <c r="K15" s="5">
        <v>3.3716012681922134</v>
      </c>
      <c r="L15" s="5">
        <v>0.13366107994729826</v>
      </c>
      <c r="M15" s="5"/>
      <c r="N15" s="5">
        <v>98.943488762621996</v>
      </c>
      <c r="O15" s="5"/>
    </row>
    <row r="16" spans="1:31" ht="15" customHeight="1" x14ac:dyDescent="0.2">
      <c r="A16" s="6">
        <v>13</v>
      </c>
      <c r="C16" s="5">
        <v>17.59789268810227</v>
      </c>
      <c r="D16" s="5">
        <v>71.421629334888905</v>
      </c>
      <c r="E16" s="5">
        <v>0.83797779798717298</v>
      </c>
      <c r="F16" s="5">
        <v>3.4339854153585576</v>
      </c>
      <c r="G16" s="5">
        <v>5.3540266228582267E-2</v>
      </c>
      <c r="H16" s="5">
        <v>1.552083654667302</v>
      </c>
      <c r="I16" s="5">
        <v>0.40923078520767425</v>
      </c>
      <c r="J16" s="5">
        <v>1.4797047450801035</v>
      </c>
      <c r="K16" s="5">
        <v>3.0010711056500705</v>
      </c>
      <c r="L16" s="5">
        <v>0.11715441891130471</v>
      </c>
      <c r="M16" s="5"/>
      <c r="N16" s="5">
        <v>99.904270212081926</v>
      </c>
      <c r="O16" s="5"/>
    </row>
    <row r="17" spans="1:36" ht="15" customHeight="1" x14ac:dyDescent="0.2">
      <c r="A17" s="6">
        <v>14</v>
      </c>
      <c r="C17" s="5">
        <v>15.928944882147793</v>
      </c>
      <c r="D17" s="5">
        <v>66.25478343305528</v>
      </c>
      <c r="E17" s="5">
        <v>0.70048630743132034</v>
      </c>
      <c r="F17" s="5">
        <v>2.9141906625170493</v>
      </c>
      <c r="G17" s="5">
        <v>2.5522372672523327E-2</v>
      </c>
      <c r="H17" s="5">
        <v>1.3705028371296235</v>
      </c>
      <c r="I17" s="5">
        <v>0.28962178738060229</v>
      </c>
      <c r="J17" s="5">
        <v>1.159008279416355</v>
      </c>
      <c r="K17" s="5">
        <v>2.929643604437127</v>
      </c>
      <c r="L17" s="5">
        <v>9.8182477330974502E-2</v>
      </c>
      <c r="M17" s="5"/>
      <c r="N17" s="5">
        <v>91.670886643518642</v>
      </c>
      <c r="O17" s="5"/>
    </row>
    <row r="18" spans="1:36" ht="15" customHeight="1" x14ac:dyDescent="0.2">
      <c r="A18" s="6">
        <v>15</v>
      </c>
      <c r="C18" s="5">
        <v>15.707122705407006</v>
      </c>
      <c r="D18" s="5">
        <v>67.846952647338</v>
      </c>
      <c r="E18" s="5">
        <v>0.67760636755453751</v>
      </c>
      <c r="F18" s="5">
        <v>0.98186932529720217</v>
      </c>
      <c r="G18" s="5">
        <v>6.5791005111393462E-3</v>
      </c>
      <c r="H18" s="5">
        <v>0.62569723376525155</v>
      </c>
      <c r="I18" s="5">
        <v>0.34842621106147043</v>
      </c>
      <c r="J18" s="5">
        <v>0.64353090776525568</v>
      </c>
      <c r="K18" s="5">
        <v>2.3336703911916317</v>
      </c>
      <c r="L18" s="5">
        <v>1.8221638805966882E-2</v>
      </c>
      <c r="M18" s="5"/>
      <c r="N18" s="5">
        <v>89.189676528697447</v>
      </c>
      <c r="O18" s="5"/>
    </row>
    <row r="19" spans="1:36" ht="15" customHeight="1" x14ac:dyDescent="0.2">
      <c r="A19" s="6">
        <v>16</v>
      </c>
      <c r="C19" s="5">
        <v>14.988841371198751</v>
      </c>
      <c r="D19" s="5">
        <v>65.576827509554263</v>
      </c>
      <c r="E19" s="5">
        <v>0.78236683300888132</v>
      </c>
      <c r="F19" s="5">
        <v>2.9997793567600288</v>
      </c>
      <c r="G19" s="5">
        <v>3.4370128532331415E-2</v>
      </c>
      <c r="H19" s="5">
        <v>1.2959250013552197</v>
      </c>
      <c r="I19" s="5">
        <v>0.43523274125703765</v>
      </c>
      <c r="J19" s="5">
        <v>1.4785794943233888</v>
      </c>
      <c r="K19" s="5">
        <v>2.7120129366789407</v>
      </c>
      <c r="L19" s="5">
        <v>3.4192369288843734E-2</v>
      </c>
      <c r="M19" s="5"/>
      <c r="N19" s="5">
        <v>90.338127741957678</v>
      </c>
      <c r="O19" s="5"/>
    </row>
    <row r="21" spans="1:36" ht="15" customHeight="1" x14ac:dyDescent="0.2">
      <c r="A21" s="10" t="s">
        <v>1</v>
      </c>
      <c r="C21" s="6" t="s">
        <v>54</v>
      </c>
      <c r="D21" s="6" t="s">
        <v>55</v>
      </c>
      <c r="E21" s="6" t="s">
        <v>56</v>
      </c>
      <c r="F21" s="6" t="s">
        <v>57</v>
      </c>
      <c r="G21" s="6" t="s">
        <v>58</v>
      </c>
      <c r="H21" s="6" t="s">
        <v>59</v>
      </c>
      <c r="I21" s="6" t="s">
        <v>60</v>
      </c>
      <c r="J21" s="6" t="s">
        <v>61</v>
      </c>
      <c r="K21" s="6" t="s">
        <v>62</v>
      </c>
      <c r="L21" s="6" t="s">
        <v>63</v>
      </c>
      <c r="M21" s="6"/>
      <c r="P21" s="6" t="s">
        <v>78</v>
      </c>
      <c r="Q21" s="6" t="s">
        <v>79</v>
      </c>
      <c r="R21" s="6" t="s">
        <v>80</v>
      </c>
      <c r="S21" s="6" t="s">
        <v>81</v>
      </c>
      <c r="T21" s="6" t="s">
        <v>82</v>
      </c>
      <c r="U21" s="6"/>
      <c r="V21" s="6"/>
      <c r="W21" s="6" t="s">
        <v>64</v>
      </c>
      <c r="X21" s="6" t="s">
        <v>65</v>
      </c>
      <c r="Y21" s="6" t="s">
        <v>66</v>
      </c>
      <c r="Z21" s="6" t="s">
        <v>67</v>
      </c>
      <c r="AA21" s="6" t="s">
        <v>68</v>
      </c>
      <c r="AB21" s="6" t="s">
        <v>69</v>
      </c>
      <c r="AC21" s="6" t="s">
        <v>70</v>
      </c>
      <c r="AD21" s="6" t="s">
        <v>71</v>
      </c>
      <c r="AE21" s="6" t="s">
        <v>72</v>
      </c>
      <c r="AF21" s="6" t="s">
        <v>73</v>
      </c>
      <c r="AG21" s="6" t="s">
        <v>74</v>
      </c>
      <c r="AH21" s="6" t="s">
        <v>75</v>
      </c>
      <c r="AI21" s="6" t="s">
        <v>76</v>
      </c>
      <c r="AJ21" s="6" t="s">
        <v>77</v>
      </c>
    </row>
    <row r="22" spans="1:36" ht="15" customHeight="1" x14ac:dyDescent="0.2">
      <c r="C22" s="6" t="s">
        <v>51</v>
      </c>
      <c r="D22" s="6" t="s">
        <v>51</v>
      </c>
      <c r="E22" s="6" t="s">
        <v>51</v>
      </c>
      <c r="F22" s="6" t="s">
        <v>51</v>
      </c>
      <c r="G22" s="6" t="s">
        <v>51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/>
    </row>
    <row r="23" spans="1:36" ht="15" customHeight="1" x14ac:dyDescent="0.2">
      <c r="A23" s="6">
        <v>1</v>
      </c>
      <c r="C23" s="5">
        <f t="shared" ref="C23:C38" si="0">C4*100/N4</f>
        <v>16.876245435480836</v>
      </c>
      <c r="D23" s="5">
        <f t="shared" ref="D23:D38" si="1">D4*100/N4</f>
        <v>73.889866999079061</v>
      </c>
      <c r="E23" s="5">
        <f t="shared" ref="E23:E38" si="2">E4*100/N4</f>
        <v>0.90607951813756737</v>
      </c>
      <c r="F23" s="5">
        <f t="shared" ref="F23:F38" si="3">F4*100/N4</f>
        <v>1.3669242255686396</v>
      </c>
      <c r="G23" s="5">
        <f t="shared" ref="G23:G38" si="4">G4*100/N4</f>
        <v>1.193726696660825E-2</v>
      </c>
      <c r="H23" s="5">
        <f t="shared" ref="H23:H38" si="5">H4*100/N4</f>
        <v>0.85824735061101187</v>
      </c>
      <c r="I23" s="5">
        <f t="shared" ref="I23:I38" si="6">I4*100/N4</f>
        <v>0.51793008162012955</v>
      </c>
      <c r="J23" s="5">
        <f t="shared" ref="J23:J38" si="7">J4*100/N4</f>
        <v>0.71696381342691673</v>
      </c>
      <c r="K23" s="5">
        <f t="shared" ref="K23:K38" si="8">K4*100/N4</f>
        <v>4.8249280325664872</v>
      </c>
      <c r="L23" s="5">
        <f t="shared" ref="L23:L38" si="9">L4*100/N4</f>
        <v>3.0877276542728371E-2</v>
      </c>
      <c r="M23" s="5"/>
      <c r="P23" s="5">
        <f>C23/101.96</f>
        <v>0.16551829575795252</v>
      </c>
      <c r="Q23" s="5">
        <f>K23/94.2</f>
        <v>5.1220042808561433E-2</v>
      </c>
      <c r="R23" s="5">
        <f>I23/56.08</f>
        <v>9.2355578034973174E-3</v>
      </c>
      <c r="S23" s="5">
        <f>J23/61.98</f>
        <v>1.1567663979137088E-2</v>
      </c>
      <c r="T23" s="5">
        <f>R23+S23</f>
        <v>2.0803221782634405E-2</v>
      </c>
      <c r="U23" s="5"/>
      <c r="W23" s="3">
        <f t="shared" ref="W23:W38" si="10">K23/C23</f>
        <v>0.28590056070306352</v>
      </c>
      <c r="X23" s="5">
        <f t="shared" ref="X23:X38" si="11">C23/(I23+J23)</f>
        <v>13.666150187614212</v>
      </c>
      <c r="Y23" s="5">
        <f t="shared" ref="Y23:Y38" si="12">C23/(K23+J23)</f>
        <v>3.0452137833909152</v>
      </c>
      <c r="Z23" s="5">
        <f t="shared" ref="Z23:Z38" si="13">K23/J23</f>
        <v>6.7296674423559502</v>
      </c>
      <c r="AA23" s="5">
        <f t="shared" ref="AA23:AA38" si="14">F23+H23</f>
        <v>2.2251715761796516</v>
      </c>
      <c r="AB23" s="5">
        <f t="shared" ref="AB23:AB38" si="15">C23+K23+J23</f>
        <v>22.418137281474237</v>
      </c>
      <c r="AC23" s="5">
        <f t="shared" ref="AC23:AC38" si="16">C23/(I23+J23+K23)</f>
        <v>2.784940817910635</v>
      </c>
      <c r="AD23" s="5">
        <f t="shared" ref="AD23:AD38" si="17">C23/D23</f>
        <v>0.22839729073664697</v>
      </c>
      <c r="AE23" s="5">
        <f t="shared" ref="AE23:AE38" si="18">D23/C23</f>
        <v>4.3783356482675968</v>
      </c>
      <c r="AF23" s="5">
        <f t="shared" ref="AF23:AF38" si="19">C23/E23</f>
        <v>18.625567731814204</v>
      </c>
      <c r="AG23" s="5">
        <f t="shared" ref="AG23:AG38" si="20">I23+J23</f>
        <v>1.2348938950470463</v>
      </c>
      <c r="AH23" s="5">
        <f t="shared" ref="AH23:AH38" si="21">F23/H23</f>
        <v>1.5926926247957369</v>
      </c>
      <c r="AI23" s="5">
        <f t="shared" ref="AI23:AI38" si="22">LOG(F23/K23)</f>
        <v>-0.54774639945666304</v>
      </c>
      <c r="AJ23" s="5">
        <f t="shared" ref="AJ23:AJ38" si="23">LOG(D23/C23)</f>
        <v>0.64130905202471311</v>
      </c>
    </row>
    <row r="24" spans="1:36" ht="15" customHeight="1" x14ac:dyDescent="0.2">
      <c r="A24" s="6">
        <v>2</v>
      </c>
      <c r="C24" s="5">
        <f t="shared" si="0"/>
        <v>16.94243007068118</v>
      </c>
      <c r="D24" s="5">
        <f t="shared" si="1"/>
        <v>71.172751426633937</v>
      </c>
      <c r="E24" s="5">
        <f t="shared" si="2"/>
        <v>0.8606174888430681</v>
      </c>
      <c r="F24" s="5">
        <f t="shared" si="3"/>
        <v>3.0007241066731098</v>
      </c>
      <c r="G24" s="5">
        <f t="shared" si="4"/>
        <v>2.8584114205519588E-2</v>
      </c>
      <c r="H24" s="5">
        <f t="shared" si="5"/>
        <v>1.4190937303917861</v>
      </c>
      <c r="I24" s="5">
        <f t="shared" si="6"/>
        <v>0.55902360900446324</v>
      </c>
      <c r="J24" s="5">
        <f t="shared" si="7"/>
        <v>2.4270857958801835</v>
      </c>
      <c r="K24" s="5">
        <f t="shared" si="8"/>
        <v>3.5143403082149463</v>
      </c>
      <c r="L24" s="5">
        <f t="shared" si="9"/>
        <v>7.5349349471808727E-2</v>
      </c>
      <c r="M24" s="5"/>
      <c r="P24" s="5">
        <f t="shared" ref="P24:P38" si="24">C24/101.96</f>
        <v>0.16616741928875225</v>
      </c>
      <c r="Q24" s="5">
        <f t="shared" ref="Q24:Q38" si="25">K24/94.2</f>
        <v>3.7307221955572678E-2</v>
      </c>
      <c r="R24" s="5">
        <f t="shared" ref="R24:R38" si="26">I24/56.08</f>
        <v>9.9683239836744521E-3</v>
      </c>
      <c r="S24" s="5">
        <f t="shared" ref="S24:S38" si="27">J24/61.98</f>
        <v>3.9159177087450529E-2</v>
      </c>
      <c r="T24" s="5">
        <f t="shared" ref="T24:T38" si="28">R24+S24</f>
        <v>4.9127501071124985E-2</v>
      </c>
      <c r="U24" s="5"/>
      <c r="W24" s="3">
        <f t="shared" si="10"/>
        <v>0.20742834962597842</v>
      </c>
      <c r="X24" s="5">
        <f t="shared" si="11"/>
        <v>5.6737472655780561</v>
      </c>
      <c r="Y24" s="5">
        <f t="shared" si="12"/>
        <v>2.8515763343422895</v>
      </c>
      <c r="Z24" s="5">
        <f t="shared" si="13"/>
        <v>1.4479670698828633</v>
      </c>
      <c r="AA24" s="5">
        <f t="shared" si="14"/>
        <v>4.4198178370648957</v>
      </c>
      <c r="AB24" s="5">
        <f t="shared" si="15"/>
        <v>22.883856174776312</v>
      </c>
      <c r="AC24" s="5">
        <f t="shared" si="16"/>
        <v>2.6063473787881306</v>
      </c>
      <c r="AD24" s="5">
        <f t="shared" si="17"/>
        <v>0.23804658006155235</v>
      </c>
      <c r="AE24" s="5">
        <f t="shared" si="18"/>
        <v>4.2008585031611343</v>
      </c>
      <c r="AF24" s="5">
        <f t="shared" si="19"/>
        <v>19.686365069639663</v>
      </c>
      <c r="AG24" s="5">
        <f t="shared" si="20"/>
        <v>2.9861094048846466</v>
      </c>
      <c r="AH24" s="5">
        <f t="shared" si="21"/>
        <v>2.1145355253205609</v>
      </c>
      <c r="AI24" s="5">
        <f t="shared" si="22"/>
        <v>-6.8617746491376821E-2</v>
      </c>
      <c r="AJ24" s="5">
        <f t="shared" si="23"/>
        <v>0.62333805351341653</v>
      </c>
    </row>
    <row r="25" spans="1:36" ht="15" customHeight="1" x14ac:dyDescent="0.2">
      <c r="A25" s="6">
        <v>3</v>
      </c>
      <c r="C25" s="5">
        <f t="shared" si="0"/>
        <v>15.926368123616276</v>
      </c>
      <c r="D25" s="5">
        <f t="shared" si="1"/>
        <v>71.702591901946519</v>
      </c>
      <c r="E25" s="5">
        <f t="shared" si="2"/>
        <v>0.86189645419215855</v>
      </c>
      <c r="F25" s="5">
        <f t="shared" si="3"/>
        <v>3.7165753527235617</v>
      </c>
      <c r="G25" s="5">
        <f t="shared" si="4"/>
        <v>3.6509208532597773E-2</v>
      </c>
      <c r="H25" s="5">
        <f t="shared" si="5"/>
        <v>1.6954843965481801</v>
      </c>
      <c r="I25" s="5">
        <f t="shared" si="6"/>
        <v>0.68031822093413108</v>
      </c>
      <c r="J25" s="5">
        <f t="shared" si="7"/>
        <v>1.7800057089420167</v>
      </c>
      <c r="K25" s="5">
        <f t="shared" si="8"/>
        <v>3.4651943094309421</v>
      </c>
      <c r="L25" s="5">
        <f t="shared" si="9"/>
        <v>0.13505632313362623</v>
      </c>
      <c r="M25" s="5"/>
      <c r="P25" s="5">
        <f t="shared" si="24"/>
        <v>0.15620211969023418</v>
      </c>
      <c r="Q25" s="5">
        <f t="shared" si="25"/>
        <v>3.6785502223258409E-2</v>
      </c>
      <c r="R25" s="5">
        <f t="shared" si="26"/>
        <v>1.2131209360451695E-2</v>
      </c>
      <c r="S25" s="5">
        <f t="shared" si="27"/>
        <v>2.8719033703485265E-2</v>
      </c>
      <c r="T25" s="5">
        <f t="shared" si="28"/>
        <v>4.0850243063936961E-2</v>
      </c>
      <c r="U25" s="5"/>
      <c r="W25" s="3">
        <f t="shared" si="10"/>
        <v>0.21757592707483692</v>
      </c>
      <c r="X25" s="5">
        <f t="shared" si="11"/>
        <v>6.4732809896370052</v>
      </c>
      <c r="Y25" s="5">
        <f t="shared" si="12"/>
        <v>3.0363700274211038</v>
      </c>
      <c r="Z25" s="5">
        <f t="shared" si="13"/>
        <v>1.9467321323876832</v>
      </c>
      <c r="AA25" s="5">
        <f t="shared" si="14"/>
        <v>5.4120597492717417</v>
      </c>
      <c r="AB25" s="5">
        <f t="shared" si="15"/>
        <v>21.171568141989237</v>
      </c>
      <c r="AC25" s="5">
        <f t="shared" si="16"/>
        <v>2.6877595309669746</v>
      </c>
      <c r="AD25" s="5">
        <f t="shared" si="17"/>
        <v>0.22211704906561294</v>
      </c>
      <c r="AE25" s="5">
        <f t="shared" si="18"/>
        <v>4.5021307648680402</v>
      </c>
      <c r="AF25" s="5">
        <f t="shared" si="19"/>
        <v>18.478284770928546</v>
      </c>
      <c r="AG25" s="5">
        <f t="shared" si="20"/>
        <v>2.4603239298761479</v>
      </c>
      <c r="AH25" s="5">
        <f t="shared" si="21"/>
        <v>2.192043383171264</v>
      </c>
      <c r="AI25" s="5">
        <f t="shared" si="22"/>
        <v>3.0415349924719056E-2</v>
      </c>
      <c r="AJ25" s="5">
        <f t="shared" si="23"/>
        <v>0.6534181049772213</v>
      </c>
    </row>
    <row r="26" spans="1:36" ht="15" customHeight="1" x14ac:dyDescent="0.2">
      <c r="A26" s="6">
        <v>4</v>
      </c>
      <c r="C26" s="5">
        <f t="shared" si="0"/>
        <v>18.383270703421552</v>
      </c>
      <c r="D26" s="5">
        <f t="shared" si="1"/>
        <v>72.895662565144846</v>
      </c>
      <c r="E26" s="5">
        <f t="shared" si="2"/>
        <v>0.92464623879441254</v>
      </c>
      <c r="F26" s="5">
        <f t="shared" si="3"/>
        <v>1.1698859465092244</v>
      </c>
      <c r="G26" s="5">
        <f t="shared" si="4"/>
        <v>1.0894225961654578E-2</v>
      </c>
      <c r="H26" s="5">
        <f t="shared" si="5"/>
        <v>0.94519643119473917</v>
      </c>
      <c r="I26" s="5">
        <f t="shared" si="6"/>
        <v>0.34714667046424702</v>
      </c>
      <c r="J26" s="5">
        <f t="shared" si="7"/>
        <v>1.8965779132817906</v>
      </c>
      <c r="K26" s="5">
        <f t="shared" si="8"/>
        <v>3.1673258430063385</v>
      </c>
      <c r="L26" s="5">
        <f t="shared" si="9"/>
        <v>0.25939346222117937</v>
      </c>
      <c r="M26" s="5"/>
      <c r="P26" s="5">
        <f t="shared" si="24"/>
        <v>0.18029884958240047</v>
      </c>
      <c r="Q26" s="5">
        <f t="shared" si="25"/>
        <v>3.3623416592423974E-2</v>
      </c>
      <c r="R26" s="5">
        <f t="shared" si="26"/>
        <v>6.1902045375222363E-3</v>
      </c>
      <c r="S26" s="5">
        <f t="shared" si="27"/>
        <v>3.0599837258499366E-2</v>
      </c>
      <c r="T26" s="5">
        <f t="shared" si="28"/>
        <v>3.6790041796021605E-2</v>
      </c>
      <c r="U26" s="5"/>
      <c r="W26" s="3">
        <f t="shared" si="10"/>
        <v>0.17229392386724882</v>
      </c>
      <c r="X26" s="5">
        <f t="shared" si="11"/>
        <v>8.1931939582038797</v>
      </c>
      <c r="Y26" s="5">
        <f t="shared" si="12"/>
        <v>3.6302567323863588</v>
      </c>
      <c r="Z26" s="5">
        <f t="shared" si="13"/>
        <v>1.6700214743752224</v>
      </c>
      <c r="AA26" s="5">
        <f t="shared" si="14"/>
        <v>2.1150823777039633</v>
      </c>
      <c r="AB26" s="5">
        <f t="shared" si="15"/>
        <v>23.447174459709682</v>
      </c>
      <c r="AC26" s="5">
        <f t="shared" si="16"/>
        <v>3.3973571217400185</v>
      </c>
      <c r="AD26" s="5">
        <f t="shared" si="17"/>
        <v>0.25218607056342934</v>
      </c>
      <c r="AE26" s="5">
        <f t="shared" si="18"/>
        <v>3.9653260696192261</v>
      </c>
      <c r="AF26" s="5">
        <f t="shared" si="19"/>
        <v>19.881409702580232</v>
      </c>
      <c r="AG26" s="5">
        <f t="shared" si="20"/>
        <v>2.2437245837460376</v>
      </c>
      <c r="AH26" s="5">
        <f t="shared" si="21"/>
        <v>1.237717270081601</v>
      </c>
      <c r="AI26" s="5">
        <f t="shared" si="22"/>
        <v>-0.4325492203583336</v>
      </c>
      <c r="AJ26" s="5">
        <f t="shared" si="23"/>
        <v>0.59827890525106686</v>
      </c>
    </row>
    <row r="27" spans="1:36" ht="15" customHeight="1" x14ac:dyDescent="0.2">
      <c r="A27" s="6">
        <v>5</v>
      </c>
      <c r="C27" s="5">
        <f t="shared" si="0"/>
        <v>15.55178018180955</v>
      </c>
      <c r="D27" s="5">
        <f t="shared" si="1"/>
        <v>65.645454618172224</v>
      </c>
      <c r="E27" s="5">
        <f t="shared" si="2"/>
        <v>0.79470229817933002</v>
      </c>
      <c r="F27" s="5">
        <f t="shared" si="3"/>
        <v>8.9996338454781242</v>
      </c>
      <c r="G27" s="5">
        <f t="shared" si="4"/>
        <v>0.20618772292594689</v>
      </c>
      <c r="H27" s="5">
        <f t="shared" si="5"/>
        <v>1.835123615908786</v>
      </c>
      <c r="I27" s="5">
        <f t="shared" si="6"/>
        <v>0.79360785518329413</v>
      </c>
      <c r="J27" s="5">
        <f t="shared" si="7"/>
        <v>1.8686029827881954</v>
      </c>
      <c r="K27" s="5">
        <f t="shared" si="8"/>
        <v>4.138246304209841</v>
      </c>
      <c r="L27" s="5">
        <f t="shared" si="9"/>
        <v>0.16666057534470366</v>
      </c>
      <c r="M27" s="5"/>
      <c r="P27" s="5">
        <f t="shared" si="24"/>
        <v>0.15252824815427177</v>
      </c>
      <c r="Q27" s="5">
        <f t="shared" si="25"/>
        <v>4.3930427857853935E-2</v>
      </c>
      <c r="R27" s="5">
        <f t="shared" si="26"/>
        <v>1.4151352624523791E-2</v>
      </c>
      <c r="S27" s="5">
        <f t="shared" si="27"/>
        <v>3.0148483104036713E-2</v>
      </c>
      <c r="T27" s="5">
        <f t="shared" si="28"/>
        <v>4.4299835728560506E-2</v>
      </c>
      <c r="U27" s="5"/>
      <c r="W27" s="3">
        <f t="shared" si="10"/>
        <v>0.26609470143168712</v>
      </c>
      <c r="X27" s="5">
        <f t="shared" si="11"/>
        <v>5.8416786379171439</v>
      </c>
      <c r="Y27" s="5">
        <f t="shared" si="12"/>
        <v>2.5890078872915514</v>
      </c>
      <c r="Z27" s="5">
        <f t="shared" si="13"/>
        <v>2.2146204101820746</v>
      </c>
      <c r="AA27" s="5">
        <f t="shared" si="14"/>
        <v>10.834757461386911</v>
      </c>
      <c r="AB27" s="5">
        <f t="shared" si="15"/>
        <v>21.558629468807588</v>
      </c>
      <c r="AC27" s="5">
        <f t="shared" si="16"/>
        <v>2.2868727582071231</v>
      </c>
      <c r="AD27" s="5">
        <f t="shared" si="17"/>
        <v>0.23690566654259176</v>
      </c>
      <c r="AE27" s="5">
        <f t="shared" si="18"/>
        <v>4.2210894091054438</v>
      </c>
      <c r="AF27" s="5">
        <f t="shared" si="19"/>
        <v>19.569315726705227</v>
      </c>
      <c r="AG27" s="5">
        <f t="shared" si="20"/>
        <v>2.6622108379714895</v>
      </c>
      <c r="AH27" s="5">
        <f t="shared" si="21"/>
        <v>4.9041022454617282</v>
      </c>
      <c r="AI27" s="5">
        <f t="shared" si="22"/>
        <v>0.33740850444981252</v>
      </c>
      <c r="AJ27" s="5">
        <f t="shared" si="23"/>
        <v>0.62542455127070407</v>
      </c>
    </row>
    <row r="28" spans="1:36" ht="15" customHeight="1" x14ac:dyDescent="0.2">
      <c r="A28" s="6">
        <v>6</v>
      </c>
      <c r="C28" s="5">
        <f t="shared" si="0"/>
        <v>15.967304134398409</v>
      </c>
      <c r="D28" s="5">
        <f t="shared" si="1"/>
        <v>71.809828428139625</v>
      </c>
      <c r="E28" s="5">
        <f t="shared" si="2"/>
        <v>0.73655450301448611</v>
      </c>
      <c r="F28" s="5">
        <f t="shared" si="3"/>
        <v>3.3407018117632998</v>
      </c>
      <c r="G28" s="5">
        <f t="shared" si="4"/>
        <v>4.5724944768634028E-2</v>
      </c>
      <c r="H28" s="5">
        <f t="shared" si="5"/>
        <v>1.351721237879691</v>
      </c>
      <c r="I28" s="5">
        <f t="shared" si="6"/>
        <v>0.40514771650153086</v>
      </c>
      <c r="J28" s="5">
        <f t="shared" si="7"/>
        <v>2.2169236982329039</v>
      </c>
      <c r="K28" s="5">
        <f t="shared" si="8"/>
        <v>4.00846272207475</v>
      </c>
      <c r="L28" s="5">
        <f t="shared" si="9"/>
        <v>0.11763080322667561</v>
      </c>
      <c r="M28" s="5"/>
      <c r="P28" s="5">
        <f t="shared" si="24"/>
        <v>0.15660361057668115</v>
      </c>
      <c r="Q28" s="5">
        <f t="shared" si="25"/>
        <v>4.2552682824572717E-2</v>
      </c>
      <c r="R28" s="5">
        <f t="shared" si="26"/>
        <v>7.2244599946777975E-3</v>
      </c>
      <c r="S28" s="5">
        <f t="shared" si="27"/>
        <v>3.5768372026991027E-2</v>
      </c>
      <c r="T28" s="5">
        <f t="shared" si="28"/>
        <v>4.2992832021668828E-2</v>
      </c>
      <c r="U28" s="5"/>
      <c r="W28" s="3">
        <f t="shared" si="10"/>
        <v>0.25104192218893778</v>
      </c>
      <c r="X28" s="5">
        <f t="shared" si="11"/>
        <v>6.089576372585408</v>
      </c>
      <c r="Y28" s="5">
        <f t="shared" si="12"/>
        <v>2.5648695609178453</v>
      </c>
      <c r="Z28" s="5">
        <f t="shared" si="13"/>
        <v>1.8081193887141316</v>
      </c>
      <c r="AA28" s="5">
        <f t="shared" si="14"/>
        <v>4.6924230496429908</v>
      </c>
      <c r="AB28" s="5">
        <f t="shared" si="15"/>
        <v>22.192690554706061</v>
      </c>
      <c r="AC28" s="5">
        <f t="shared" si="16"/>
        <v>2.408147489318615</v>
      </c>
      <c r="AD28" s="5">
        <f t="shared" si="17"/>
        <v>0.22235541406949541</v>
      </c>
      <c r="AE28" s="5">
        <f t="shared" si="18"/>
        <v>4.4973044806881024</v>
      </c>
      <c r="AF28" s="5">
        <f t="shared" si="19"/>
        <v>21.678374199124779</v>
      </c>
      <c r="AG28" s="5">
        <f t="shared" si="20"/>
        <v>2.6220714147344348</v>
      </c>
      <c r="AH28" s="5">
        <f t="shared" si="21"/>
        <v>2.4714428671724669</v>
      </c>
      <c r="AI28" s="5">
        <f t="shared" si="22"/>
        <v>-7.914013649026079E-2</v>
      </c>
      <c r="AJ28" s="5">
        <f t="shared" si="23"/>
        <v>0.65295229157200319</v>
      </c>
    </row>
    <row r="29" spans="1:36" ht="15" customHeight="1" x14ac:dyDescent="0.2">
      <c r="A29" s="6">
        <v>7</v>
      </c>
      <c r="C29" s="5">
        <f t="shared" si="0"/>
        <v>15.375069939099239</v>
      </c>
      <c r="D29" s="5">
        <f t="shared" si="1"/>
        <v>69.183394047181196</v>
      </c>
      <c r="E29" s="5">
        <f t="shared" si="2"/>
        <v>0.85075206553093863</v>
      </c>
      <c r="F29" s="5">
        <f t="shared" si="3"/>
        <v>6.4992053285891265</v>
      </c>
      <c r="G29" s="5">
        <f t="shared" si="4"/>
        <v>0.16039130924289491</v>
      </c>
      <c r="H29" s="5">
        <f t="shared" si="5"/>
        <v>1.9227113555856878</v>
      </c>
      <c r="I29" s="5">
        <f t="shared" si="6"/>
        <v>0.71868701414169933</v>
      </c>
      <c r="J29" s="5">
        <f t="shared" si="7"/>
        <v>2.0976498704406215</v>
      </c>
      <c r="K29" s="5">
        <f t="shared" si="8"/>
        <v>3.0180694674403106</v>
      </c>
      <c r="L29" s="5">
        <f t="shared" si="9"/>
        <v>0.17406960274829664</v>
      </c>
      <c r="M29" s="5"/>
      <c r="P29" s="5">
        <f t="shared" si="24"/>
        <v>0.15079511513435898</v>
      </c>
      <c r="Q29" s="5">
        <f t="shared" si="25"/>
        <v>3.2038954006797349E-2</v>
      </c>
      <c r="R29" s="5">
        <f t="shared" si="26"/>
        <v>1.2815388982555267E-2</v>
      </c>
      <c r="S29" s="5">
        <f t="shared" si="27"/>
        <v>3.3843979839313032E-2</v>
      </c>
      <c r="T29" s="5">
        <f t="shared" si="28"/>
        <v>4.6659368821868302E-2</v>
      </c>
      <c r="U29" s="5"/>
      <c r="W29" s="3">
        <f t="shared" si="10"/>
        <v>0.19629630820509469</v>
      </c>
      <c r="X29" s="5">
        <f t="shared" si="11"/>
        <v>5.4592438934660512</v>
      </c>
      <c r="Y29" s="5">
        <f t="shared" si="12"/>
        <v>3.0054561096129255</v>
      </c>
      <c r="Z29" s="5">
        <f t="shared" si="13"/>
        <v>1.4387860957969838</v>
      </c>
      <c r="AA29" s="5">
        <f t="shared" si="14"/>
        <v>8.4219166841748141</v>
      </c>
      <c r="AB29" s="5">
        <f t="shared" si="15"/>
        <v>20.490789276980173</v>
      </c>
      <c r="AC29" s="5">
        <f t="shared" si="16"/>
        <v>2.6352415329743217</v>
      </c>
      <c r="AD29" s="5">
        <f t="shared" si="17"/>
        <v>0.22223642177216485</v>
      </c>
      <c r="AE29" s="5">
        <f t="shared" si="18"/>
        <v>4.499712477485768</v>
      </c>
      <c r="AF29" s="5">
        <f t="shared" si="19"/>
        <v>18.072327487684607</v>
      </c>
      <c r="AG29" s="5">
        <f t="shared" si="20"/>
        <v>2.8163368845823209</v>
      </c>
      <c r="AH29" s="5">
        <f t="shared" si="21"/>
        <v>3.3802293358845676</v>
      </c>
      <c r="AI29" s="5">
        <f t="shared" si="22"/>
        <v>0.33313102600785394</v>
      </c>
      <c r="AJ29" s="5">
        <f t="shared" si="23"/>
        <v>0.65318476412407234</v>
      </c>
    </row>
    <row r="30" spans="1:36" ht="15" customHeight="1" x14ac:dyDescent="0.2">
      <c r="A30" s="6">
        <v>8</v>
      </c>
      <c r="C30" s="5">
        <f t="shared" si="0"/>
        <v>17.763148194047751</v>
      </c>
      <c r="D30" s="5">
        <f t="shared" si="1"/>
        <v>70.553539553415419</v>
      </c>
      <c r="E30" s="5">
        <f t="shared" si="2"/>
        <v>0.81892241628059503</v>
      </c>
      <c r="F30" s="5">
        <f t="shared" si="3"/>
        <v>3.6533140892333411</v>
      </c>
      <c r="G30" s="5">
        <f t="shared" si="4"/>
        <v>3.6908929161367496E-2</v>
      </c>
      <c r="H30" s="5">
        <f t="shared" si="5"/>
        <v>1.9632995893567438</v>
      </c>
      <c r="I30" s="5">
        <f t="shared" si="6"/>
        <v>0.22646637355994487</v>
      </c>
      <c r="J30" s="5">
        <f t="shared" si="7"/>
        <v>1.4599808802755219</v>
      </c>
      <c r="K30" s="5">
        <f t="shared" si="8"/>
        <v>3.4504298925613757</v>
      </c>
      <c r="L30" s="5">
        <f t="shared" si="9"/>
        <v>7.3990082107937172E-2</v>
      </c>
      <c r="M30" s="5"/>
      <c r="P30" s="5">
        <f t="shared" si="24"/>
        <v>0.17421683203263783</v>
      </c>
      <c r="Q30" s="5">
        <f t="shared" si="25"/>
        <v>3.6628767436957275E-2</v>
      </c>
      <c r="R30" s="5">
        <f t="shared" si="26"/>
        <v>4.0382734229662065E-3</v>
      </c>
      <c r="S30" s="5">
        <f t="shared" si="27"/>
        <v>2.3555677319708323E-2</v>
      </c>
      <c r="T30" s="5">
        <f t="shared" si="28"/>
        <v>2.7593950742674529E-2</v>
      </c>
      <c r="U30" s="5"/>
      <c r="W30" s="3">
        <f t="shared" si="10"/>
        <v>0.19424652966176228</v>
      </c>
      <c r="X30" s="5">
        <f t="shared" si="11"/>
        <v>10.532880974278465</v>
      </c>
      <c r="Y30" s="5">
        <f t="shared" si="12"/>
        <v>3.6174464858029438</v>
      </c>
      <c r="Z30" s="5">
        <f t="shared" si="13"/>
        <v>2.3633390951737834</v>
      </c>
      <c r="AA30" s="5">
        <f t="shared" si="14"/>
        <v>5.6166136785900846</v>
      </c>
      <c r="AB30" s="5">
        <f t="shared" si="15"/>
        <v>22.673558966884649</v>
      </c>
      <c r="AC30" s="5">
        <f t="shared" si="16"/>
        <v>3.4579663261963254</v>
      </c>
      <c r="AD30" s="5">
        <f t="shared" si="17"/>
        <v>0.25176834934836173</v>
      </c>
      <c r="AE30" s="5">
        <f t="shared" si="18"/>
        <v>3.9719051365600375</v>
      </c>
      <c r="AF30" s="5">
        <f t="shared" si="19"/>
        <v>21.690880406870434</v>
      </c>
      <c r="AG30" s="5">
        <f t="shared" si="20"/>
        <v>1.6864472538354667</v>
      </c>
      <c r="AH30" s="5">
        <f t="shared" si="21"/>
        <v>1.8608031647530239</v>
      </c>
      <c r="AI30" s="5">
        <f t="shared" si="22"/>
        <v>2.4813804122186315E-2</v>
      </c>
      <c r="AJ30" s="5">
        <f t="shared" si="23"/>
        <v>0.59899886742644204</v>
      </c>
    </row>
    <row r="31" spans="1:36" ht="15" customHeight="1" x14ac:dyDescent="0.2">
      <c r="A31" s="6">
        <v>9</v>
      </c>
      <c r="C31" s="5">
        <f t="shared" si="0"/>
        <v>17.150726188756366</v>
      </c>
      <c r="D31" s="5">
        <f t="shared" si="1"/>
        <v>71.075320958830233</v>
      </c>
      <c r="E31" s="5">
        <f t="shared" si="2"/>
        <v>0.8451611179078703</v>
      </c>
      <c r="F31" s="5">
        <f t="shared" si="3"/>
        <v>4.0764165964033046</v>
      </c>
      <c r="G31" s="5">
        <f t="shared" si="4"/>
        <v>2.2248030039308784E-2</v>
      </c>
      <c r="H31" s="5">
        <f t="shared" si="5"/>
        <v>1.4303806832000405</v>
      </c>
      <c r="I31" s="5">
        <f t="shared" si="6"/>
        <v>0.35478671123264871</v>
      </c>
      <c r="J31" s="5">
        <f t="shared" si="7"/>
        <v>1.7280583071024376</v>
      </c>
      <c r="K31" s="5">
        <f t="shared" si="8"/>
        <v>3.2225153216726712</v>
      </c>
      <c r="L31" s="5">
        <f t="shared" si="9"/>
        <v>9.4386084855120497E-2</v>
      </c>
      <c r="M31" s="5"/>
      <c r="P31" s="5">
        <f t="shared" si="24"/>
        <v>0.16821033923848927</v>
      </c>
      <c r="Q31" s="5">
        <f t="shared" si="25"/>
        <v>3.4209292162130263E-2</v>
      </c>
      <c r="R31" s="5">
        <f t="shared" si="26"/>
        <v>6.3264392159887431E-3</v>
      </c>
      <c r="S31" s="5">
        <f t="shared" si="27"/>
        <v>2.7880902018432359E-2</v>
      </c>
      <c r="T31" s="5">
        <f t="shared" si="28"/>
        <v>3.4207341234421103E-2</v>
      </c>
      <c r="U31" s="5"/>
      <c r="W31" s="3">
        <f t="shared" si="10"/>
        <v>0.18789381197078878</v>
      </c>
      <c r="X31" s="5">
        <f t="shared" si="11"/>
        <v>8.2342786130413721</v>
      </c>
      <c r="Y31" s="5">
        <f t="shared" si="12"/>
        <v>3.4643916997957809</v>
      </c>
      <c r="Z31" s="5">
        <f t="shared" si="13"/>
        <v>1.8648186281839643</v>
      </c>
      <c r="AA31" s="5">
        <f t="shared" si="14"/>
        <v>5.5067972796033455</v>
      </c>
      <c r="AB31" s="5">
        <f t="shared" si="15"/>
        <v>22.101299817531473</v>
      </c>
      <c r="AC31" s="5">
        <f t="shared" si="16"/>
        <v>3.232716552619928</v>
      </c>
      <c r="AD31" s="5">
        <f t="shared" si="17"/>
        <v>0.24130353486114789</v>
      </c>
      <c r="AE31" s="5">
        <f t="shared" si="18"/>
        <v>4.1441581059946975</v>
      </c>
      <c r="AF31" s="5">
        <f t="shared" si="19"/>
        <v>20.292848103580102</v>
      </c>
      <c r="AG31" s="5">
        <f t="shared" si="20"/>
        <v>2.0828450183350862</v>
      </c>
      <c r="AH31" s="5">
        <f t="shared" si="21"/>
        <v>2.8498823035582146</v>
      </c>
      <c r="AI31" s="5">
        <f t="shared" si="22"/>
        <v>0.1020835701602015</v>
      </c>
      <c r="AJ31" s="5">
        <f t="shared" si="23"/>
        <v>0.61743631605455285</v>
      </c>
    </row>
    <row r="32" spans="1:36" ht="15" customHeight="1" x14ac:dyDescent="0.2">
      <c r="A32" s="6">
        <v>10</v>
      </c>
      <c r="C32" s="5">
        <f t="shared" si="0"/>
        <v>17.460270355142722</v>
      </c>
      <c r="D32" s="5">
        <f t="shared" si="1"/>
        <v>69.642307786147072</v>
      </c>
      <c r="E32" s="5">
        <f t="shared" si="2"/>
        <v>0.8495246005126863</v>
      </c>
      <c r="F32" s="5">
        <f t="shared" si="3"/>
        <v>5.2176630154752948</v>
      </c>
      <c r="G32" s="5">
        <f t="shared" si="4"/>
        <v>0.12730576613755698</v>
      </c>
      <c r="H32" s="5">
        <f t="shared" si="5"/>
        <v>1.6461728824387241</v>
      </c>
      <c r="I32" s="5">
        <f t="shared" si="6"/>
        <v>0.48213622360060876</v>
      </c>
      <c r="J32" s="5">
        <f t="shared" si="7"/>
        <v>1.5889903742997256</v>
      </c>
      <c r="K32" s="5">
        <f t="shared" si="8"/>
        <v>2.8240928771681144</v>
      </c>
      <c r="L32" s="5">
        <f t="shared" si="9"/>
        <v>0.16153611907734314</v>
      </c>
      <c r="M32" s="5"/>
      <c r="P32" s="5">
        <f t="shared" si="24"/>
        <v>0.17124627653141156</v>
      </c>
      <c r="Q32" s="5">
        <f t="shared" si="25"/>
        <v>2.9979754534693356E-2</v>
      </c>
      <c r="R32" s="5">
        <f t="shared" si="26"/>
        <v>8.5972935734773322E-3</v>
      </c>
      <c r="S32" s="5">
        <f t="shared" si="27"/>
        <v>2.5637147052270499E-2</v>
      </c>
      <c r="T32" s="5">
        <f t="shared" si="28"/>
        <v>3.4234440625747833E-2</v>
      </c>
      <c r="U32" s="5"/>
      <c r="W32" s="3">
        <f t="shared" si="10"/>
        <v>0.16174393750646079</v>
      </c>
      <c r="X32" s="5">
        <f t="shared" si="11"/>
        <v>8.4303250090282198</v>
      </c>
      <c r="Y32" s="5">
        <f t="shared" si="12"/>
        <v>3.9564788063617984</v>
      </c>
      <c r="Z32" s="5">
        <f t="shared" si="13"/>
        <v>1.7772875927034508</v>
      </c>
      <c r="AA32" s="5">
        <f t="shared" si="14"/>
        <v>6.8638358979140186</v>
      </c>
      <c r="AB32" s="5">
        <f t="shared" si="15"/>
        <v>21.873353606610564</v>
      </c>
      <c r="AC32" s="5">
        <f t="shared" si="16"/>
        <v>3.5668003128498298</v>
      </c>
      <c r="AD32" s="5">
        <f t="shared" si="17"/>
        <v>0.25071355200862311</v>
      </c>
      <c r="AE32" s="5">
        <f t="shared" si="18"/>
        <v>3.9886156611334904</v>
      </c>
      <c r="AF32" s="5">
        <f t="shared" si="19"/>
        <v>20.552989689298563</v>
      </c>
      <c r="AG32" s="5">
        <f t="shared" si="20"/>
        <v>2.0711265979003342</v>
      </c>
      <c r="AH32" s="5">
        <f t="shared" si="21"/>
        <v>3.1695717206479457</v>
      </c>
      <c r="AI32" s="5">
        <f t="shared" si="22"/>
        <v>0.26659705116868404</v>
      </c>
      <c r="AJ32" s="5">
        <f t="shared" si="23"/>
        <v>0.60082219016028182</v>
      </c>
    </row>
    <row r="33" spans="1:36" ht="15" customHeight="1" x14ac:dyDescent="0.2">
      <c r="A33" s="6">
        <v>11</v>
      </c>
      <c r="C33" s="5">
        <f t="shared" si="0"/>
        <v>17.573715771832962</v>
      </c>
      <c r="D33" s="5">
        <f t="shared" si="1"/>
        <v>72.349123580356164</v>
      </c>
      <c r="E33" s="5">
        <f t="shared" si="2"/>
        <v>0.76042146990765802</v>
      </c>
      <c r="F33" s="5">
        <f t="shared" si="3"/>
        <v>2.9740319144063752</v>
      </c>
      <c r="G33" s="5">
        <f t="shared" si="4"/>
        <v>2.8568165006164874E-2</v>
      </c>
      <c r="H33" s="5">
        <f t="shared" si="5"/>
        <v>1.3033796734278373</v>
      </c>
      <c r="I33" s="5">
        <f t="shared" si="6"/>
        <v>0.36136945486876537</v>
      </c>
      <c r="J33" s="5">
        <f t="shared" si="7"/>
        <v>1.6691521601300969</v>
      </c>
      <c r="K33" s="5">
        <f t="shared" si="8"/>
        <v>2.8810657294645976</v>
      </c>
      <c r="L33" s="5">
        <f t="shared" si="9"/>
        <v>9.9172080599400289E-2</v>
      </c>
      <c r="M33" s="5"/>
      <c r="P33" s="5">
        <f t="shared" si="24"/>
        <v>0.17235892283084506</v>
      </c>
      <c r="Q33" s="5">
        <f t="shared" si="25"/>
        <v>3.0584561883912925E-2</v>
      </c>
      <c r="R33" s="5">
        <f t="shared" si="26"/>
        <v>6.4438205219109375E-3</v>
      </c>
      <c r="S33" s="5">
        <f t="shared" si="27"/>
        <v>2.6930496291224539E-2</v>
      </c>
      <c r="T33" s="5">
        <f t="shared" si="28"/>
        <v>3.3374316813135477E-2</v>
      </c>
      <c r="U33" s="5"/>
      <c r="W33" s="3">
        <f t="shared" si="10"/>
        <v>0.1639417506730336</v>
      </c>
      <c r="X33" s="5">
        <f t="shared" si="11"/>
        <v>8.6547789701036049</v>
      </c>
      <c r="Y33" s="5">
        <f t="shared" si="12"/>
        <v>3.8621701637673267</v>
      </c>
      <c r="Z33" s="5">
        <f t="shared" si="13"/>
        <v>1.7260653631721878</v>
      </c>
      <c r="AA33" s="5">
        <f t="shared" si="14"/>
        <v>4.2774115878342123</v>
      </c>
      <c r="AB33" s="5">
        <f t="shared" si="15"/>
        <v>22.123933661427657</v>
      </c>
      <c r="AC33" s="5">
        <f t="shared" si="16"/>
        <v>3.5780114531899279</v>
      </c>
      <c r="AD33" s="5">
        <f t="shared" si="17"/>
        <v>0.24290157091280207</v>
      </c>
      <c r="AE33" s="5">
        <f t="shared" si="18"/>
        <v>4.1168939181500175</v>
      </c>
      <c r="AF33" s="5">
        <f t="shared" si="19"/>
        <v>23.110493939587254</v>
      </c>
      <c r="AG33" s="5">
        <f t="shared" si="20"/>
        <v>2.0305216149988623</v>
      </c>
      <c r="AH33" s="5">
        <f t="shared" si="21"/>
        <v>2.2817847899873933</v>
      </c>
      <c r="AI33" s="5">
        <f t="shared" si="22"/>
        <v>1.3792458122213323E-2</v>
      </c>
      <c r="AJ33" s="5">
        <f t="shared" si="23"/>
        <v>0.61456967648117922</v>
      </c>
    </row>
    <row r="34" spans="1:36" ht="15" customHeight="1" x14ac:dyDescent="0.2">
      <c r="A34" s="6">
        <v>12</v>
      </c>
      <c r="C34" s="5">
        <f t="shared" si="0"/>
        <v>17.988640956404694</v>
      </c>
      <c r="D34" s="5">
        <f t="shared" si="1"/>
        <v>67.211408948119896</v>
      </c>
      <c r="E34" s="5">
        <f t="shared" si="2"/>
        <v>0.89906228240211772</v>
      </c>
      <c r="F34" s="5">
        <f t="shared" si="3"/>
        <v>6.4803109294626795</v>
      </c>
      <c r="G34" s="5">
        <f t="shared" si="4"/>
        <v>0.14112675675462066</v>
      </c>
      <c r="H34" s="5">
        <f t="shared" si="5"/>
        <v>1.9662827576252095</v>
      </c>
      <c r="I34" s="5">
        <f t="shared" si="6"/>
        <v>0.47626726682706039</v>
      </c>
      <c r="J34" s="5">
        <f t="shared" si="7"/>
        <v>1.2942088227894732</v>
      </c>
      <c r="K34" s="5">
        <f t="shared" si="8"/>
        <v>3.4076029765648483</v>
      </c>
      <c r="L34" s="5">
        <f t="shared" si="9"/>
        <v>0.13508830304939839</v>
      </c>
      <c r="M34" s="5"/>
      <c r="P34" s="5">
        <f t="shared" si="24"/>
        <v>0.17642841267560511</v>
      </c>
      <c r="Q34" s="5">
        <f t="shared" si="25"/>
        <v>3.6174129262896475E-2</v>
      </c>
      <c r="R34" s="5">
        <f t="shared" si="26"/>
        <v>8.4926402786565693E-3</v>
      </c>
      <c r="S34" s="5">
        <f t="shared" si="27"/>
        <v>2.0881071681017639E-2</v>
      </c>
      <c r="T34" s="5">
        <f t="shared" si="28"/>
        <v>2.9373711959674208E-2</v>
      </c>
      <c r="U34" s="5"/>
      <c r="W34" s="3">
        <f t="shared" si="10"/>
        <v>0.1894308183049038</v>
      </c>
      <c r="X34" s="5">
        <f t="shared" si="11"/>
        <v>10.16034108673043</v>
      </c>
      <c r="Y34" s="5">
        <f t="shared" si="12"/>
        <v>3.8258955747388681</v>
      </c>
      <c r="Z34" s="5">
        <f t="shared" si="13"/>
        <v>2.6329622519650813</v>
      </c>
      <c r="AA34" s="5">
        <f t="shared" si="14"/>
        <v>8.4465936870878888</v>
      </c>
      <c r="AB34" s="5">
        <f t="shared" si="15"/>
        <v>22.690452755759019</v>
      </c>
      <c r="AC34" s="5">
        <f t="shared" si="16"/>
        <v>3.4739988954379886</v>
      </c>
      <c r="AD34" s="5">
        <f t="shared" si="17"/>
        <v>0.26764267016467436</v>
      </c>
      <c r="AE34" s="5">
        <f t="shared" si="18"/>
        <v>3.736325001483221</v>
      </c>
      <c r="AF34" s="5">
        <f t="shared" si="19"/>
        <v>20.008225579592306</v>
      </c>
      <c r="AG34" s="5">
        <f t="shared" si="20"/>
        <v>1.7704760896165337</v>
      </c>
      <c r="AH34" s="5">
        <f t="shared" si="21"/>
        <v>3.2957167041882198</v>
      </c>
      <c r="AI34" s="5">
        <f t="shared" si="22"/>
        <v>0.27914685516580073</v>
      </c>
      <c r="AJ34" s="5">
        <f t="shared" si="23"/>
        <v>0.57244464598734901</v>
      </c>
    </row>
    <row r="35" spans="1:36" ht="15" customHeight="1" x14ac:dyDescent="0.2">
      <c r="A35" s="6">
        <v>13</v>
      </c>
      <c r="C35" s="5">
        <f t="shared" si="0"/>
        <v>17.614755255951081</v>
      </c>
      <c r="D35" s="5">
        <f t="shared" si="1"/>
        <v>71.490066624050598</v>
      </c>
      <c r="E35" s="5">
        <f t="shared" si="2"/>
        <v>0.83878076103080546</v>
      </c>
      <c r="F35" s="5">
        <f t="shared" si="3"/>
        <v>3.4372759122995613</v>
      </c>
      <c r="G35" s="5">
        <f t="shared" si="4"/>
        <v>5.3591569324238329E-2</v>
      </c>
      <c r="H35" s="5">
        <f t="shared" si="5"/>
        <v>1.5535708847804595</v>
      </c>
      <c r="I35" s="5">
        <f t="shared" si="6"/>
        <v>0.4096229163567664</v>
      </c>
      <c r="J35" s="5">
        <f t="shared" si="7"/>
        <v>1.481122620623633</v>
      </c>
      <c r="K35" s="5">
        <f t="shared" si="8"/>
        <v>3.0039467775293716</v>
      </c>
      <c r="L35" s="5">
        <f t="shared" si="9"/>
        <v>0.11726667805350389</v>
      </c>
      <c r="M35" s="5"/>
      <c r="P35" s="5">
        <f t="shared" si="24"/>
        <v>0.17276142855973992</v>
      </c>
      <c r="Q35" s="5">
        <f t="shared" si="25"/>
        <v>3.1889031608592057E-2</v>
      </c>
      <c r="R35" s="5">
        <f t="shared" si="26"/>
        <v>7.30426027740311E-3</v>
      </c>
      <c r="S35" s="5">
        <f t="shared" si="27"/>
        <v>2.3896783165918572E-2</v>
      </c>
      <c r="T35" s="5">
        <f t="shared" si="28"/>
        <v>3.1201043443321683E-2</v>
      </c>
      <c r="U35" s="5"/>
      <c r="W35" s="3">
        <f t="shared" si="10"/>
        <v>0.17053582260329725</v>
      </c>
      <c r="X35" s="5">
        <f t="shared" si="11"/>
        <v>9.3163013802918133</v>
      </c>
      <c r="Y35" s="5">
        <f t="shared" si="12"/>
        <v>3.927420891905264</v>
      </c>
      <c r="Z35" s="5">
        <f t="shared" si="13"/>
        <v>2.0281553570929507</v>
      </c>
      <c r="AA35" s="5">
        <f t="shared" si="14"/>
        <v>4.990846797080021</v>
      </c>
      <c r="AB35" s="5">
        <f t="shared" si="15"/>
        <v>22.099824654104086</v>
      </c>
      <c r="AC35" s="5">
        <f t="shared" si="16"/>
        <v>3.5987461773100828</v>
      </c>
      <c r="AD35" s="5">
        <f t="shared" si="17"/>
        <v>0.2463944445398677</v>
      </c>
      <c r="AE35" s="5">
        <f t="shared" si="18"/>
        <v>4.0585330641990005</v>
      </c>
      <c r="AF35" s="5">
        <f t="shared" si="19"/>
        <v>21.000428329214092</v>
      </c>
      <c r="AG35" s="5">
        <f t="shared" si="20"/>
        <v>1.8907455369803994</v>
      </c>
      <c r="AH35" s="5">
        <f t="shared" si="21"/>
        <v>2.2125002122354362</v>
      </c>
      <c r="AI35" s="5">
        <f t="shared" si="22"/>
        <v>5.8522160846190469E-2</v>
      </c>
      <c r="AJ35" s="5">
        <f t="shared" si="23"/>
        <v>0.60836908844299908</v>
      </c>
    </row>
    <row r="36" spans="1:36" ht="15" customHeight="1" x14ac:dyDescent="0.2">
      <c r="A36" s="6">
        <v>14</v>
      </c>
      <c r="C36" s="5">
        <f t="shared" si="0"/>
        <v>17.376230846430904</v>
      </c>
      <c r="D36" s="5">
        <f t="shared" si="1"/>
        <v>72.274618320973403</v>
      </c>
      <c r="E36" s="5">
        <f t="shared" si="2"/>
        <v>0.76413170318217538</v>
      </c>
      <c r="F36" s="5">
        <f t="shared" si="3"/>
        <v>3.1789707389320747</v>
      </c>
      <c r="G36" s="5">
        <f t="shared" si="4"/>
        <v>2.784130666453832E-2</v>
      </c>
      <c r="H36" s="5">
        <f t="shared" si="5"/>
        <v>1.4950251789961511</v>
      </c>
      <c r="I36" s="5">
        <f t="shared" si="6"/>
        <v>0.31593649629119108</v>
      </c>
      <c r="J36" s="5">
        <f t="shared" si="7"/>
        <v>1.2643144643330444</v>
      </c>
      <c r="K36" s="5">
        <f t="shared" si="8"/>
        <v>3.1958277177242289</v>
      </c>
      <c r="L36" s="5">
        <f t="shared" si="9"/>
        <v>0.10710322647230144</v>
      </c>
      <c r="M36" s="5"/>
      <c r="P36" s="5">
        <f t="shared" si="24"/>
        <v>0.17042203654796886</v>
      </c>
      <c r="Q36" s="5">
        <f t="shared" si="25"/>
        <v>3.3925984264588413E-2</v>
      </c>
      <c r="R36" s="5">
        <f t="shared" si="26"/>
        <v>5.6336750408557609E-3</v>
      </c>
      <c r="S36" s="5">
        <f t="shared" si="27"/>
        <v>2.0398749021184971E-2</v>
      </c>
      <c r="T36" s="5">
        <f t="shared" si="28"/>
        <v>2.6032424062040732E-2</v>
      </c>
      <c r="U36" s="5"/>
      <c r="W36" s="3">
        <f t="shared" si="10"/>
        <v>0.1839195016438594</v>
      </c>
      <c r="X36" s="5">
        <f t="shared" si="11"/>
        <v>10.995867921869127</v>
      </c>
      <c r="Y36" s="5">
        <f t="shared" si="12"/>
        <v>3.8958916862188437</v>
      </c>
      <c r="Z36" s="5">
        <f t="shared" si="13"/>
        <v>2.5277158554142645</v>
      </c>
      <c r="AA36" s="5">
        <f t="shared" si="14"/>
        <v>4.6739959179282256</v>
      </c>
      <c r="AB36" s="5">
        <f t="shared" si="15"/>
        <v>21.836373028488175</v>
      </c>
      <c r="AC36" s="5">
        <f t="shared" si="16"/>
        <v>3.6381793552110171</v>
      </c>
      <c r="AD36" s="5">
        <f t="shared" si="17"/>
        <v>0.24041954492602954</v>
      </c>
      <c r="AE36" s="5">
        <f t="shared" si="18"/>
        <v>4.1593956111499688</v>
      </c>
      <c r="AF36" s="5">
        <f t="shared" si="19"/>
        <v>22.739837614469799</v>
      </c>
      <c r="AG36" s="5">
        <f t="shared" si="20"/>
        <v>1.5802509606242354</v>
      </c>
      <c r="AH36" s="5">
        <f t="shared" si="21"/>
        <v>2.1263660195118752</v>
      </c>
      <c r="AI36" s="5">
        <f t="shared" si="22"/>
        <v>-2.2968286713343964E-3</v>
      </c>
      <c r="AJ36" s="5">
        <f t="shared" si="23"/>
        <v>0.61903022922966477</v>
      </c>
    </row>
    <row r="37" spans="1:36" ht="15" customHeight="1" x14ac:dyDescent="0.2">
      <c r="A37" s="6">
        <v>15</v>
      </c>
      <c r="C37" s="5">
        <f t="shared" si="0"/>
        <v>17.610920138669997</v>
      </c>
      <c r="D37" s="5">
        <f t="shared" si="1"/>
        <v>76.070410038439519</v>
      </c>
      <c r="E37" s="5">
        <f t="shared" si="2"/>
        <v>0.75973632143010694</v>
      </c>
      <c r="F37" s="5">
        <f t="shared" si="3"/>
        <v>1.1008777736527371</v>
      </c>
      <c r="G37" s="5">
        <f t="shared" si="4"/>
        <v>7.3765269336103839E-3</v>
      </c>
      <c r="H37" s="5">
        <f t="shared" si="5"/>
        <v>0.70153548943966493</v>
      </c>
      <c r="I37" s="5">
        <f t="shared" si="6"/>
        <v>0.39065755659441337</v>
      </c>
      <c r="J37" s="5">
        <f t="shared" si="7"/>
        <v>0.72153071163812854</v>
      </c>
      <c r="K37" s="5">
        <f t="shared" si="8"/>
        <v>2.6165252325371489</v>
      </c>
      <c r="L37" s="5">
        <f t="shared" si="9"/>
        <v>2.0430210664688232E-2</v>
      </c>
      <c r="M37" s="5"/>
      <c r="P37" s="5">
        <f t="shared" si="24"/>
        <v>0.17272381462014513</v>
      </c>
      <c r="Q37" s="5">
        <f t="shared" si="25"/>
        <v>2.7776276353897546E-2</v>
      </c>
      <c r="R37" s="5">
        <f t="shared" si="26"/>
        <v>6.9660762588162157E-3</v>
      </c>
      <c r="S37" s="5">
        <f t="shared" si="27"/>
        <v>1.1641347396549347E-2</v>
      </c>
      <c r="T37" s="5">
        <f t="shared" si="28"/>
        <v>1.8607423655365562E-2</v>
      </c>
      <c r="U37" s="5"/>
      <c r="W37" s="3">
        <f t="shared" si="10"/>
        <v>0.14857402179638485</v>
      </c>
      <c r="X37" s="5">
        <f t="shared" si="11"/>
        <v>15.834477526594281</v>
      </c>
      <c r="Y37" s="5">
        <f t="shared" si="12"/>
        <v>5.2758013745695536</v>
      </c>
      <c r="Z37" s="5">
        <f t="shared" si="13"/>
        <v>3.6263532380994792</v>
      </c>
      <c r="AA37" s="5">
        <f t="shared" si="14"/>
        <v>1.8024132630924021</v>
      </c>
      <c r="AB37" s="5">
        <f t="shared" si="15"/>
        <v>20.948976082845274</v>
      </c>
      <c r="AC37" s="5">
        <f t="shared" si="16"/>
        <v>4.7230553205642387</v>
      </c>
      <c r="AD37" s="5">
        <f t="shared" si="17"/>
        <v>0.2315081531671899</v>
      </c>
      <c r="AE37" s="5">
        <f t="shared" si="18"/>
        <v>4.3195022996785033</v>
      </c>
      <c r="AF37" s="5">
        <f t="shared" si="19"/>
        <v>23.180305642778379</v>
      </c>
      <c r="AG37" s="5">
        <f t="shared" si="20"/>
        <v>1.1121882682325419</v>
      </c>
      <c r="AH37" s="5">
        <f t="shared" si="21"/>
        <v>1.5692403167401232</v>
      </c>
      <c r="AI37" s="5">
        <f t="shared" si="22"/>
        <v>-0.37598582367321937</v>
      </c>
      <c r="AJ37" s="5">
        <f t="shared" si="23"/>
        <v>0.63543370955674394</v>
      </c>
    </row>
    <row r="38" spans="1:36" ht="15" customHeight="1" x14ac:dyDescent="0.2">
      <c r="A38" s="6">
        <v>16</v>
      </c>
      <c r="C38" s="5">
        <f t="shared" si="0"/>
        <v>16.591932715290447</v>
      </c>
      <c r="D38" s="5">
        <f t="shared" si="1"/>
        <v>72.590421285759064</v>
      </c>
      <c r="E38" s="5">
        <f t="shared" si="2"/>
        <v>0.86604278012450975</v>
      </c>
      <c r="F38" s="5">
        <f t="shared" si="3"/>
        <v>3.3206127155176546</v>
      </c>
      <c r="G38" s="5">
        <f t="shared" si="4"/>
        <v>3.8046093483923467E-2</v>
      </c>
      <c r="H38" s="5">
        <f t="shared" si="5"/>
        <v>1.4345271855278059</v>
      </c>
      <c r="I38" s="5">
        <f t="shared" si="6"/>
        <v>0.48178189224846329</v>
      </c>
      <c r="J38" s="5">
        <f t="shared" si="7"/>
        <v>1.6367170000985756</v>
      </c>
      <c r="K38" s="5">
        <f t="shared" si="8"/>
        <v>3.0020690094724447</v>
      </c>
      <c r="L38" s="5">
        <f t="shared" si="9"/>
        <v>3.7849322477117309E-2</v>
      </c>
      <c r="M38" s="5"/>
      <c r="P38" s="5">
        <f t="shared" si="24"/>
        <v>0.16272982262936886</v>
      </c>
      <c r="Q38" s="5">
        <f t="shared" si="25"/>
        <v>3.186909776510026E-2</v>
      </c>
      <c r="R38" s="5">
        <f t="shared" si="26"/>
        <v>8.5909752540738824E-3</v>
      </c>
      <c r="S38" s="5">
        <f t="shared" si="27"/>
        <v>2.6407179736988959E-2</v>
      </c>
      <c r="T38" s="5">
        <f t="shared" si="28"/>
        <v>3.499815499106284E-2</v>
      </c>
      <c r="U38" s="5"/>
      <c r="W38" s="3">
        <f t="shared" si="10"/>
        <v>0.1809354618890095</v>
      </c>
      <c r="X38" s="5">
        <f t="shared" si="11"/>
        <v>7.8319289074107594</v>
      </c>
      <c r="Y38" s="5">
        <f t="shared" si="12"/>
        <v>3.5767833827766538</v>
      </c>
      <c r="Z38" s="5">
        <f t="shared" si="13"/>
        <v>1.8342016422458112</v>
      </c>
      <c r="AA38" s="5">
        <f t="shared" si="14"/>
        <v>4.7551399010454602</v>
      </c>
      <c r="AB38" s="5">
        <f t="shared" si="15"/>
        <v>21.230718724861465</v>
      </c>
      <c r="AC38" s="5">
        <f t="shared" si="16"/>
        <v>3.2402524550831289</v>
      </c>
      <c r="AD38" s="5">
        <f t="shared" si="17"/>
        <v>0.22856917512538927</v>
      </c>
      <c r="AE38" s="5">
        <f t="shared" si="18"/>
        <v>4.375043132790835</v>
      </c>
      <c r="AF38" s="5">
        <f t="shared" si="19"/>
        <v>19.158329237390614</v>
      </c>
      <c r="AG38" s="5">
        <f t="shared" si="20"/>
        <v>2.1184988923470387</v>
      </c>
      <c r="AH38" s="5">
        <f t="shared" si="21"/>
        <v>2.3147785200709885</v>
      </c>
      <c r="AI38" s="5">
        <f t="shared" si="22"/>
        <v>4.3797555319412422E-2</v>
      </c>
      <c r="AJ38" s="5">
        <f t="shared" si="23"/>
        <v>0.64098233901335122</v>
      </c>
    </row>
    <row r="40" spans="1:36" ht="15" customHeight="1" x14ac:dyDescent="0.2">
      <c r="A40" s="6" t="s">
        <v>108</v>
      </c>
      <c r="C40" s="5">
        <f>MIN(C23:C38)</f>
        <v>15.375069939099239</v>
      </c>
      <c r="D40" s="5">
        <f t="shared" ref="D40:L40" si="29">MIN(D23:D38)</f>
        <v>65.645454618172224</v>
      </c>
      <c r="E40" s="5">
        <f t="shared" si="29"/>
        <v>0.73655450301448611</v>
      </c>
      <c r="F40" s="5">
        <f t="shared" si="29"/>
        <v>1.1008777736527371</v>
      </c>
      <c r="G40" s="5">
        <f t="shared" si="29"/>
        <v>7.3765269336103839E-3</v>
      </c>
      <c r="H40" s="5">
        <f t="shared" si="29"/>
        <v>0.70153548943966493</v>
      </c>
      <c r="I40" s="5">
        <f t="shared" si="29"/>
        <v>0.22646637355994487</v>
      </c>
      <c r="J40" s="5">
        <f t="shared" si="29"/>
        <v>0.71696381342691673</v>
      </c>
      <c r="K40" s="5">
        <f t="shared" si="29"/>
        <v>2.6165252325371489</v>
      </c>
      <c r="L40" s="5">
        <f t="shared" si="29"/>
        <v>2.0430210664688232E-2</v>
      </c>
      <c r="M40" s="5"/>
    </row>
    <row r="41" spans="1:36" ht="15" customHeight="1" x14ac:dyDescent="0.2">
      <c r="A41" s="6" t="s">
        <v>109</v>
      </c>
      <c r="C41" s="5">
        <f>MAX(C23:C38)</f>
        <v>18.383270703421552</v>
      </c>
      <c r="D41" s="5">
        <f t="shared" ref="D41:L41" si="30">MAX(D23:D38)</f>
        <v>76.070410038439519</v>
      </c>
      <c r="E41" s="5">
        <f t="shared" si="30"/>
        <v>0.92464623879441254</v>
      </c>
      <c r="F41" s="5">
        <f t="shared" si="30"/>
        <v>8.9996338454781242</v>
      </c>
      <c r="G41" s="5">
        <f t="shared" si="30"/>
        <v>0.20618772292594689</v>
      </c>
      <c r="H41" s="5">
        <f t="shared" si="30"/>
        <v>1.9662827576252095</v>
      </c>
      <c r="I41" s="5">
        <f t="shared" si="30"/>
        <v>0.79360785518329413</v>
      </c>
      <c r="J41" s="5">
        <f t="shared" si="30"/>
        <v>2.4270857958801835</v>
      </c>
      <c r="K41" s="5">
        <f t="shared" si="30"/>
        <v>4.8249280325664872</v>
      </c>
      <c r="L41" s="5">
        <f t="shared" si="30"/>
        <v>0.25939346222117937</v>
      </c>
      <c r="M41" s="5"/>
    </row>
    <row r="42" spans="1:36" ht="15" customHeight="1" x14ac:dyDescent="0.2">
      <c r="A42" s="6" t="s">
        <v>110</v>
      </c>
      <c r="C42" s="5">
        <f>AVERAGE(C23:C38)</f>
        <v>17.00955056318962</v>
      </c>
      <c r="D42" s="5">
        <f t="shared" ref="D42:L42" si="31">AVERAGE(D23:D38)</f>
        <v>71.222297942649291</v>
      </c>
      <c r="E42" s="5">
        <f t="shared" si="31"/>
        <v>0.83356450121690551</v>
      </c>
      <c r="F42" s="5">
        <f t="shared" si="31"/>
        <v>3.8458202689180068</v>
      </c>
      <c r="G42" s="5">
        <f t="shared" si="31"/>
        <v>6.1452621006824075E-2</v>
      </c>
      <c r="H42" s="5">
        <f t="shared" si="31"/>
        <v>1.4701095276820322</v>
      </c>
      <c r="I42" s="5">
        <f t="shared" si="31"/>
        <v>0.47005537871433484</v>
      </c>
      <c r="J42" s="5">
        <f t="shared" si="31"/>
        <v>1.6154928202677037</v>
      </c>
      <c r="K42" s="5">
        <f t="shared" si="31"/>
        <v>3.3587901576024004</v>
      </c>
      <c r="L42" s="5">
        <f t="shared" si="31"/>
        <v>0.11286621875286433</v>
      </c>
      <c r="M42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73B95-9673-4DD6-92DE-497E233024D6}">
  <dimension ref="A1:AC45"/>
  <sheetViews>
    <sheetView zoomScale="55" zoomScaleNormal="55" workbookViewId="0">
      <selection activeCell="A28" sqref="A28:A43"/>
    </sheetView>
  </sheetViews>
  <sheetFormatPr defaultRowHeight="15" customHeight="1" x14ac:dyDescent="0.25"/>
  <sheetData>
    <row r="1" spans="1:29" ht="15" customHeight="1" x14ac:dyDescent="0.25">
      <c r="A1" s="12"/>
      <c r="B1" s="1"/>
      <c r="C1" s="12" t="s">
        <v>3</v>
      </c>
      <c r="D1" s="12" t="s">
        <v>2</v>
      </c>
      <c r="E1" s="12" t="s">
        <v>10</v>
      </c>
      <c r="F1" s="12" t="s">
        <v>4</v>
      </c>
      <c r="G1" s="12" t="s">
        <v>12</v>
      </c>
      <c r="H1" s="12" t="s">
        <v>24</v>
      </c>
      <c r="I1" s="12" t="s">
        <v>27</v>
      </c>
      <c r="J1" s="12" t="s">
        <v>29</v>
      </c>
      <c r="K1" s="12" t="s">
        <v>31</v>
      </c>
      <c r="L1" s="12" t="s">
        <v>36</v>
      </c>
      <c r="M1" s="12" t="s">
        <v>34</v>
      </c>
      <c r="N1" s="12"/>
      <c r="O1" s="12"/>
      <c r="P1" s="12"/>
      <c r="Q1" s="12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5" customHeight="1" x14ac:dyDescent="0.25">
      <c r="A2" s="12"/>
      <c r="B2" s="1"/>
      <c r="C2" s="11" t="s">
        <v>51</v>
      </c>
      <c r="D2" s="11" t="s">
        <v>51</v>
      </c>
      <c r="E2" s="11" t="s">
        <v>51</v>
      </c>
      <c r="F2" s="11" t="s">
        <v>51</v>
      </c>
      <c r="G2" s="11" t="s">
        <v>83</v>
      </c>
      <c r="H2" s="11" t="s">
        <v>83</v>
      </c>
      <c r="I2" s="11" t="s">
        <v>83</v>
      </c>
      <c r="J2" s="11" t="s">
        <v>83</v>
      </c>
      <c r="K2" s="11" t="s">
        <v>83</v>
      </c>
      <c r="L2" s="11" t="s">
        <v>83</v>
      </c>
      <c r="M2" s="11" t="s">
        <v>83</v>
      </c>
      <c r="N2" s="11"/>
      <c r="O2" s="11"/>
      <c r="P2" s="11"/>
      <c r="Q2" s="1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" customHeight="1" x14ac:dyDescent="0.25">
      <c r="A3" s="8" t="s">
        <v>1</v>
      </c>
      <c r="B3" s="1"/>
      <c r="C3" s="11"/>
      <c r="D3" s="11"/>
      <c r="E3" s="11"/>
      <c r="F3" s="11"/>
      <c r="G3" s="11"/>
      <c r="H3" s="11"/>
      <c r="I3" s="11"/>
      <c r="J3" s="11"/>
      <c r="L3" s="11"/>
      <c r="M3" s="11"/>
      <c r="N3" s="11"/>
      <c r="O3" s="11"/>
      <c r="P3" s="11"/>
      <c r="Q3" s="1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" customHeight="1" x14ac:dyDescent="0.25">
      <c r="A4" s="11"/>
      <c r="B4" s="1"/>
      <c r="C4" s="11"/>
      <c r="D4" s="11"/>
      <c r="E4" s="11"/>
      <c r="F4" s="11"/>
      <c r="G4" s="11"/>
      <c r="H4" s="11"/>
      <c r="I4" s="11"/>
      <c r="J4" s="11"/>
      <c r="L4" s="11"/>
      <c r="M4" s="11"/>
      <c r="N4" s="11"/>
      <c r="O4" s="45"/>
      <c r="P4" s="45"/>
      <c r="Q4" s="38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ht="15" customHeight="1" x14ac:dyDescent="0.25">
      <c r="A5" s="6">
        <v>1</v>
      </c>
      <c r="B5" s="4"/>
      <c r="C5" s="5">
        <v>73.889866999079061</v>
      </c>
      <c r="D5" s="11">
        <v>16.876245435480836</v>
      </c>
      <c r="E5" s="11">
        <v>4.8249280325664872</v>
      </c>
      <c r="F5" s="11">
        <v>0.90607951813756737</v>
      </c>
      <c r="G5" s="5">
        <v>1083.1793874574623</v>
      </c>
      <c r="H5" s="5">
        <v>161.88057704034651</v>
      </c>
      <c r="I5" s="5">
        <v>85.733403129634425</v>
      </c>
      <c r="J5" s="5">
        <v>10.260887057970743</v>
      </c>
      <c r="K5" s="5">
        <v>2.4554812118148748</v>
      </c>
      <c r="L5" s="11">
        <v>140.93790113272001</v>
      </c>
      <c r="M5" s="5">
        <v>23.576419621844614</v>
      </c>
      <c r="N5" s="11"/>
      <c r="O5" s="45"/>
      <c r="P5" s="45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ht="15" customHeight="1" x14ac:dyDescent="0.25">
      <c r="A6" s="6">
        <v>2</v>
      </c>
      <c r="B6" s="4"/>
      <c r="C6" s="5">
        <v>71.172751426633937</v>
      </c>
      <c r="D6" s="11">
        <v>16.94243007068118</v>
      </c>
      <c r="E6" s="11">
        <v>3.5143403082149463</v>
      </c>
      <c r="F6" s="11">
        <v>0.8606174888430681</v>
      </c>
      <c r="G6" s="5">
        <v>1311.8619348565874</v>
      </c>
      <c r="H6" s="5">
        <v>110.99808940274222</v>
      </c>
      <c r="I6" s="5">
        <v>119.25852229855315</v>
      </c>
      <c r="J6" s="5">
        <v>10.775951270526361</v>
      </c>
      <c r="K6" s="5">
        <v>2.6246212872782944</v>
      </c>
      <c r="L6" s="11">
        <v>233.06613953549368</v>
      </c>
      <c r="M6" s="5">
        <v>29.370454834513559</v>
      </c>
      <c r="N6" s="11"/>
      <c r="O6" s="45"/>
      <c r="P6" s="45"/>
      <c r="Q6" s="38"/>
      <c r="R6" s="49" t="s">
        <v>3</v>
      </c>
      <c r="S6" s="50" t="s">
        <v>2</v>
      </c>
      <c r="T6" s="50" t="s">
        <v>10</v>
      </c>
      <c r="U6" s="50" t="s">
        <v>4</v>
      </c>
      <c r="V6" s="50" t="s">
        <v>12</v>
      </c>
      <c r="W6" s="50" t="s">
        <v>24</v>
      </c>
      <c r="X6" s="50" t="s">
        <v>27</v>
      </c>
      <c r="Y6" s="50" t="s">
        <v>29</v>
      </c>
      <c r="Z6" s="50" t="s">
        <v>31</v>
      </c>
      <c r="AA6" s="50" t="s">
        <v>36</v>
      </c>
      <c r="AB6" s="51" t="s">
        <v>34</v>
      </c>
      <c r="AC6" s="42"/>
    </row>
    <row r="7" spans="1:29" ht="15" customHeight="1" x14ac:dyDescent="0.25">
      <c r="A7" s="6">
        <v>3</v>
      </c>
      <c r="B7" s="4"/>
      <c r="C7" s="5">
        <v>71.702591901946519</v>
      </c>
      <c r="D7" s="11">
        <v>15.926368123616276</v>
      </c>
      <c r="E7" s="11">
        <v>3.4651943094309421</v>
      </c>
      <c r="F7" s="11">
        <v>0.86189645419215855</v>
      </c>
      <c r="G7" s="5">
        <v>1124.0155566358776</v>
      </c>
      <c r="H7" s="5">
        <v>116.71860576436637</v>
      </c>
      <c r="I7" s="5">
        <v>110.61077110321118</v>
      </c>
      <c r="J7" s="5">
        <v>9.6246312659902742</v>
      </c>
      <c r="K7" s="5">
        <v>2.3895952521866826</v>
      </c>
      <c r="L7" s="11">
        <v>167.88490243154453</v>
      </c>
      <c r="M7" s="5">
        <v>35.995068497357842</v>
      </c>
      <c r="N7" s="11"/>
      <c r="O7" s="45"/>
      <c r="P7" s="45"/>
      <c r="Q7" s="52" t="s">
        <v>3</v>
      </c>
      <c r="R7" s="57">
        <f>CORREL(C5:C20,C5:C20)</f>
        <v>1.0000000000000002</v>
      </c>
      <c r="S7" s="47">
        <f>CORREL(C5:C20,D5:D20)</f>
        <v>0.31820820744082384</v>
      </c>
      <c r="T7" s="63">
        <f>CORREL(C5:C20,E5:E20)</f>
        <v>-0.18705209529288794</v>
      </c>
      <c r="U7" s="63">
        <f>CORREL(C5:C20,F5:F20)</f>
        <v>-0.12561665655309368</v>
      </c>
      <c r="V7" s="43">
        <f>CORREL(C5:C20,G5:G20)</f>
        <v>0.20954602415103912</v>
      </c>
      <c r="W7" s="63">
        <f>CORREL(C5:C20,H5:H20)</f>
        <v>-0.1843519525783606</v>
      </c>
      <c r="X7" s="43">
        <f>CORREL(C5:C20,I5:I20)</f>
        <v>8.7123231948422905E-2</v>
      </c>
      <c r="Y7" s="47">
        <f>CORREL(C5:C20,J5:J20)</f>
        <v>0.41593425598583639</v>
      </c>
      <c r="Z7" s="65">
        <f>CORREL(C5:C20,K5:K20)</f>
        <v>-0.37585617571826579</v>
      </c>
      <c r="AA7" s="43">
        <f>CORREL(C5:C20,L5:L20)</f>
        <v>0.11317356354137177</v>
      </c>
      <c r="AB7" s="67">
        <f>CORREL(C5:C20,M5:M20)</f>
        <v>-0.49222792221936734</v>
      </c>
      <c r="AC7" s="38"/>
    </row>
    <row r="8" spans="1:29" ht="15" customHeight="1" x14ac:dyDescent="0.25">
      <c r="A8" s="6">
        <v>4</v>
      </c>
      <c r="B8" s="4"/>
      <c r="C8" s="5">
        <v>72.895662565144846</v>
      </c>
      <c r="D8" s="11">
        <v>18.383270703421552</v>
      </c>
      <c r="E8" s="11">
        <v>3.1673258430063385</v>
      </c>
      <c r="F8" s="11">
        <v>0.92464623879441254</v>
      </c>
      <c r="G8" s="5">
        <v>1276.1302868254741</v>
      </c>
      <c r="H8" s="5">
        <v>102.86893457306581</v>
      </c>
      <c r="I8" s="5">
        <v>377.28328470840756</v>
      </c>
      <c r="J8" s="5">
        <v>9.7690512314715559</v>
      </c>
      <c r="K8" s="5">
        <v>2.4013957225678513</v>
      </c>
      <c r="L8" s="11">
        <v>164.12249092944452</v>
      </c>
      <c r="M8" s="5">
        <v>47.723236492604826</v>
      </c>
      <c r="N8" s="11"/>
      <c r="O8" s="45"/>
      <c r="P8" s="45"/>
      <c r="Q8" s="38"/>
      <c r="R8" s="53" t="s">
        <v>2</v>
      </c>
      <c r="S8" s="58">
        <f>CORREL(D5:D20,D5:D20)</f>
        <v>1</v>
      </c>
      <c r="T8" s="65">
        <f>CORREL(D5:D20,E5:E20)</f>
        <v>-0.37348050684235934</v>
      </c>
      <c r="U8" s="43">
        <f>CORREL(D5:D20,F5:F20)</f>
        <v>0.20122955673719586</v>
      </c>
      <c r="V8" s="63">
        <f>CORREL(D5:D20,G5:G20)</f>
        <v>-4.0531361082653532E-2</v>
      </c>
      <c r="W8" s="63">
        <f>CORREL(D5:D20,H5:H20)</f>
        <v>-6.9030830089503614E-2</v>
      </c>
      <c r="X8" s="43">
        <f>CORREL(D5:D20,I5:I20)</f>
        <v>0.2854482073699684</v>
      </c>
      <c r="Y8" s="43">
        <f>CORREL(D5:D20,J5:J20)</f>
        <v>0.22889831313157813</v>
      </c>
      <c r="Z8" s="63">
        <f>CORREL(D5:D20,K5:K20)</f>
        <v>-0.24578169544887796</v>
      </c>
      <c r="AA8" s="43">
        <f>CORREL(D5:D20,L5:L20)</f>
        <v>2.6339370279727454E-2</v>
      </c>
      <c r="AB8" s="64">
        <f>CORREL(D5:D20,M5:M20)</f>
        <v>-2.0732374821020208E-2</v>
      </c>
      <c r="AC8" s="38"/>
    </row>
    <row r="9" spans="1:29" ht="15" customHeight="1" x14ac:dyDescent="0.25">
      <c r="A9" s="6">
        <v>5</v>
      </c>
      <c r="B9" s="4"/>
      <c r="C9" s="5">
        <v>65.645454618172224</v>
      </c>
      <c r="D9" s="11">
        <v>15.55178018180955</v>
      </c>
      <c r="E9" s="11">
        <v>4.138246304209841</v>
      </c>
      <c r="F9" s="11">
        <v>0.79470229817933002</v>
      </c>
      <c r="G9" s="5">
        <v>832.03694701020913</v>
      </c>
      <c r="H9" s="5">
        <v>135.98771350878457</v>
      </c>
      <c r="I9" s="5">
        <v>122.27517969227709</v>
      </c>
      <c r="J9" s="5">
        <v>10.907242148236618</v>
      </c>
      <c r="K9" s="5">
        <v>2.8606306949016704</v>
      </c>
      <c r="L9" s="11">
        <v>166.3596004712337</v>
      </c>
      <c r="M9" s="5">
        <v>39.067208066078685</v>
      </c>
      <c r="N9" s="11"/>
      <c r="O9" s="45"/>
      <c r="P9" s="45"/>
      <c r="Q9" s="38"/>
      <c r="R9" s="38"/>
      <c r="S9" s="53" t="s">
        <v>10</v>
      </c>
      <c r="T9" s="58">
        <f>CORREL(E5:E20,E5:E20)</f>
        <v>1.0000000000000002</v>
      </c>
      <c r="U9" s="43">
        <f>CORREL(E5:E20,F5:F20)</f>
        <v>0.16007652810071324</v>
      </c>
      <c r="V9" s="43">
        <f>CORREL(E5:E20,G5:G20)</f>
        <v>0.29918397826270604</v>
      </c>
      <c r="W9" s="60">
        <f>CORREL(E5:E20,H5:H20)</f>
        <v>0.84135235492092364</v>
      </c>
      <c r="X9" s="63">
        <f>CORREL(E5:E20,I5:I20)</f>
        <v>-7.3996832519295341E-2</v>
      </c>
      <c r="Y9" s="63">
        <f>CORREL(E5:E20,J5:J20)</f>
        <v>-0.24647557858075694</v>
      </c>
      <c r="Z9" s="43">
        <f>CORREL(E5:E20,K5:K20)</f>
        <v>0.28698933532884602</v>
      </c>
      <c r="AA9" s="63">
        <f>CORREL(E5:E20,L5:L20)</f>
        <v>-0.26169159287345206</v>
      </c>
      <c r="AB9" s="14">
        <f>CORREL(E5:E20,M5:M20)</f>
        <v>5.9788725845762329E-2</v>
      </c>
      <c r="AC9" s="38"/>
    </row>
    <row r="10" spans="1:29" ht="15" customHeight="1" x14ac:dyDescent="0.25">
      <c r="A10" s="6">
        <v>6</v>
      </c>
      <c r="B10" s="4"/>
      <c r="C10" s="5">
        <v>71.809828428139625</v>
      </c>
      <c r="D10" s="11">
        <v>15.967304134398409</v>
      </c>
      <c r="E10" s="11">
        <v>4.00846272207475</v>
      </c>
      <c r="F10" s="11">
        <v>0.73655450301448611</v>
      </c>
      <c r="G10" s="5">
        <v>462.77588721438991</v>
      </c>
      <c r="H10" s="5">
        <v>120.83336314728902</v>
      </c>
      <c r="I10" s="5">
        <v>108.19744518823202</v>
      </c>
      <c r="J10" s="5">
        <v>10.755752673955554</v>
      </c>
      <c r="K10" s="5">
        <v>2.7268920305817574</v>
      </c>
      <c r="L10" s="11">
        <v>192.39142059387174</v>
      </c>
      <c r="M10" s="5">
        <v>28.269688213799252</v>
      </c>
      <c r="N10" s="11"/>
      <c r="O10" s="45"/>
      <c r="P10" s="45"/>
      <c r="Q10" s="38"/>
      <c r="R10" s="38"/>
      <c r="S10" s="38"/>
      <c r="T10" s="53" t="s">
        <v>4</v>
      </c>
      <c r="U10" s="58">
        <f>CORREL(F5:F20,F5:F20)</f>
        <v>1</v>
      </c>
      <c r="V10" s="47">
        <f>CORREL(F5:F20,G5:G20)</f>
        <v>0.47341540784759129</v>
      </c>
      <c r="W10" s="43">
        <f>CORREL(F5:F20,H5:H20)</f>
        <v>0.14576604291843026</v>
      </c>
      <c r="X10" s="47">
        <f>CORREL(F5:F20,I5:I20)</f>
        <v>0.42306570112017644</v>
      </c>
      <c r="Y10" s="65">
        <f>CORREL(F5:F20,J5:J20)</f>
        <v>-0.4124660509236055</v>
      </c>
      <c r="Z10" s="43">
        <f>CORREL(F5:F20,K5:K20)</f>
        <v>4.1635921827125819E-2</v>
      </c>
      <c r="AA10" s="63">
        <f>CORREL(F5:F20,L5:L20)</f>
        <v>-0.21017576718419276</v>
      </c>
      <c r="AB10" s="46">
        <f>CORREL(F5:F20,M5:M20)</f>
        <v>0.53880028229858357</v>
      </c>
      <c r="AC10" s="38"/>
    </row>
    <row r="11" spans="1:29" ht="15" customHeight="1" x14ac:dyDescent="0.25">
      <c r="A11" s="6">
        <v>7</v>
      </c>
      <c r="B11" s="4"/>
      <c r="C11" s="5">
        <v>69.183394047181196</v>
      </c>
      <c r="D11" s="11">
        <v>15.375069939099239</v>
      </c>
      <c r="E11" s="11">
        <v>3.0180694674403106</v>
      </c>
      <c r="F11" s="11">
        <v>0.85075206553093863</v>
      </c>
      <c r="G11" s="5">
        <v>532.70782693242586</v>
      </c>
      <c r="H11" s="5">
        <v>97.720469847604079</v>
      </c>
      <c r="I11" s="5">
        <v>105.48245353388049</v>
      </c>
      <c r="J11" s="5">
        <v>8.9287896141259182</v>
      </c>
      <c r="K11" s="5">
        <v>2.2548732153350053</v>
      </c>
      <c r="L11" s="11">
        <v>158.63140387232556</v>
      </c>
      <c r="M11" s="5">
        <v>30.711388717929172</v>
      </c>
      <c r="N11" s="11"/>
      <c r="O11" s="45"/>
      <c r="P11" s="45"/>
      <c r="Q11" s="38"/>
      <c r="R11" s="38"/>
      <c r="S11" s="38"/>
      <c r="T11" s="38"/>
      <c r="U11" s="53" t="s">
        <v>12</v>
      </c>
      <c r="V11" s="58">
        <f>CORREL(G5:G20,G5:G20)</f>
        <v>1</v>
      </c>
      <c r="W11" s="43">
        <f>CORREL(G5:G20,H5:H20)</f>
        <v>2.9647129557685562E-2</v>
      </c>
      <c r="X11" s="44">
        <f>CORREL(G5:G20,I5:I20)</f>
        <v>0.52430617572907334</v>
      </c>
      <c r="Y11" s="63">
        <f>CORREL(G5:G20,J5:J20)</f>
        <v>-0.11343714935637755</v>
      </c>
      <c r="Z11" s="43">
        <f>CORREL(G5:G20,K5:K20)</f>
        <v>0.19380956964382007</v>
      </c>
      <c r="AA11" s="43">
        <f>CORREL(G5:G20,L5:L20)</f>
        <v>0.18512418450789286</v>
      </c>
      <c r="AB11" s="48">
        <f>CORREL(G5:G20,M5:M20)</f>
        <v>0.39532301112025664</v>
      </c>
      <c r="AC11" s="38"/>
    </row>
    <row r="12" spans="1:29" ht="15" customHeight="1" x14ac:dyDescent="0.25">
      <c r="A12" s="6">
        <v>8</v>
      </c>
      <c r="B12" s="4"/>
      <c r="C12" s="5">
        <v>70.553539553415419</v>
      </c>
      <c r="D12" s="11">
        <v>17.763148194047751</v>
      </c>
      <c r="E12" s="11">
        <v>3.4504298925613757</v>
      </c>
      <c r="F12" s="11">
        <v>0.81892241628059503</v>
      </c>
      <c r="G12" s="5">
        <v>354.66212931453572</v>
      </c>
      <c r="H12" s="5">
        <v>136.69023306196647</v>
      </c>
      <c r="I12" s="5">
        <v>82.093303207874186</v>
      </c>
      <c r="J12" s="5">
        <v>9.4620325635952653</v>
      </c>
      <c r="K12" s="5">
        <v>1.8772581631376037</v>
      </c>
      <c r="L12" s="11">
        <v>111.55041669739816</v>
      </c>
      <c r="M12" s="5">
        <v>23.146119942838112</v>
      </c>
      <c r="N12" s="11"/>
      <c r="O12" s="45"/>
      <c r="P12" s="45"/>
      <c r="Q12" s="38"/>
      <c r="R12" s="38"/>
      <c r="S12" s="38"/>
      <c r="T12" s="38"/>
      <c r="U12" s="38"/>
      <c r="V12" s="53" t="s">
        <v>24</v>
      </c>
      <c r="W12" s="58">
        <f>CORREL(H5:H20,H5:H20)</f>
        <v>1</v>
      </c>
      <c r="X12" s="63">
        <f>CORREL(H5:H20,I5:I20)</f>
        <v>-0.27564999527831968</v>
      </c>
      <c r="Y12" s="63">
        <f>CORREL(H5:H20,J5:J20)</f>
        <v>-0.14242783836071155</v>
      </c>
      <c r="Z12" s="43">
        <f>CORREL(H5:H20,K5:K20)</f>
        <v>0.13547240385776643</v>
      </c>
      <c r="AA12" s="65">
        <f>CORREL(H5:H20,L5:L20)</f>
        <v>-0.33236218667158618</v>
      </c>
      <c r="AB12" s="64">
        <f>CORREL(H5:H20,M5:M20)</f>
        <v>-0.1111778667064534</v>
      </c>
      <c r="AC12" s="38"/>
    </row>
    <row r="13" spans="1:29" ht="15" customHeight="1" x14ac:dyDescent="0.25">
      <c r="A13" s="6">
        <v>9</v>
      </c>
      <c r="B13" s="4"/>
      <c r="C13" s="5">
        <v>71.075320958830233</v>
      </c>
      <c r="D13" s="11">
        <v>17.150726188756366</v>
      </c>
      <c r="E13" s="11">
        <v>3.2225153216726712</v>
      </c>
      <c r="F13" s="11">
        <v>0.8451611179078703</v>
      </c>
      <c r="G13" s="5">
        <v>399.68400583373847</v>
      </c>
      <c r="H13" s="5">
        <v>114.51068716865178</v>
      </c>
      <c r="I13" s="5">
        <v>96.020204842233056</v>
      </c>
      <c r="J13" s="5">
        <v>10.876944253380405</v>
      </c>
      <c r="K13" s="5">
        <v>2.4987496032124938</v>
      </c>
      <c r="L13" s="11">
        <v>172.76586870453917</v>
      </c>
      <c r="M13" s="5">
        <v>29.340433926675896</v>
      </c>
      <c r="N13" s="11"/>
      <c r="O13" s="45"/>
      <c r="P13" s="45"/>
      <c r="Q13" s="38"/>
      <c r="R13" s="38"/>
      <c r="S13" s="38"/>
      <c r="T13" s="38"/>
      <c r="U13" s="38"/>
      <c r="V13" s="38"/>
      <c r="W13" s="53" t="s">
        <v>27</v>
      </c>
      <c r="X13" s="58">
        <f>CORREL(I5:I20,I5:I20)</f>
        <v>1.0000000000000002</v>
      </c>
      <c r="Y13" s="63">
        <f>CORREL(I5:I20,J5:J20)</f>
        <v>-0.27559327450118365</v>
      </c>
      <c r="Z13" s="43">
        <f>CORREL(I5:I20,K5:K20)</f>
        <v>7.8528549432785505E-2</v>
      </c>
      <c r="AA13" s="43">
        <f>CORREL(I5:I20,L5:L20)</f>
        <v>8.8653364962712512E-3</v>
      </c>
      <c r="AB13" s="61">
        <f>CORREL(I5:I20,M5:M20)</f>
        <v>0.7223852167712419</v>
      </c>
      <c r="AC13" s="38"/>
    </row>
    <row r="14" spans="1:29" ht="15" customHeight="1" x14ac:dyDescent="0.25">
      <c r="A14" s="6">
        <v>10</v>
      </c>
      <c r="B14" s="4"/>
      <c r="C14" s="5">
        <v>69.642307786147072</v>
      </c>
      <c r="D14" s="11">
        <v>17.460270355142722</v>
      </c>
      <c r="E14" s="11">
        <v>2.8240928771681144</v>
      </c>
      <c r="F14" s="11">
        <v>0.8495246005126863</v>
      </c>
      <c r="G14" s="5">
        <v>540.05833738454066</v>
      </c>
      <c r="H14" s="5">
        <v>109.39233042404071</v>
      </c>
      <c r="I14" s="5">
        <v>106.78967173782753</v>
      </c>
      <c r="J14" s="5">
        <v>9.511519125193745</v>
      </c>
      <c r="K14" s="5">
        <v>2.2863411363514556</v>
      </c>
      <c r="L14" s="11">
        <v>154.97067916757959</v>
      </c>
      <c r="M14" s="5">
        <v>30.070942684059027</v>
      </c>
      <c r="N14" s="11"/>
      <c r="O14" s="45"/>
      <c r="P14" s="45"/>
      <c r="Q14" s="38"/>
      <c r="R14" s="38"/>
      <c r="S14" s="38"/>
      <c r="T14" s="38"/>
      <c r="U14" s="38"/>
      <c r="V14" s="38"/>
      <c r="W14" s="38"/>
      <c r="X14" s="53" t="s">
        <v>29</v>
      </c>
      <c r="Y14" s="58">
        <f>CORREL(J5:J20,J5:J20)</f>
        <v>1</v>
      </c>
      <c r="Z14" s="43">
        <f>CORREL(J5:J20,K5:K20)</f>
        <v>0.11176644738169998</v>
      </c>
      <c r="AA14" s="43">
        <f>CORREL(J5:J20,L5:L20)</f>
        <v>0.26659221672334071</v>
      </c>
      <c r="AB14" s="68">
        <f>CORREL(J5:J20,M5:M20)</f>
        <v>-0.3685782725508131</v>
      </c>
      <c r="AC14" s="38"/>
    </row>
    <row r="15" spans="1:29" ht="15" customHeight="1" x14ac:dyDescent="0.25">
      <c r="A15" s="6">
        <v>11</v>
      </c>
      <c r="B15" s="4"/>
      <c r="C15" s="5">
        <v>72.349123580356164</v>
      </c>
      <c r="D15" s="11">
        <v>17.573715771832962</v>
      </c>
      <c r="E15" s="11">
        <v>2.8810657294645976</v>
      </c>
      <c r="F15" s="11">
        <v>0.76042146990765802</v>
      </c>
      <c r="G15" s="5">
        <v>740.35974720466709</v>
      </c>
      <c r="H15" s="5">
        <v>108.68981087085879</v>
      </c>
      <c r="I15" s="5">
        <v>110.40966061029626</v>
      </c>
      <c r="J15" s="5">
        <v>11.068830920803087</v>
      </c>
      <c r="K15" s="5">
        <v>2.7288587756452856</v>
      </c>
      <c r="L15" s="11">
        <v>344.92161662495403</v>
      </c>
      <c r="M15" s="5">
        <v>26.538482528494022</v>
      </c>
      <c r="N15" s="11"/>
      <c r="O15" s="45"/>
      <c r="P15" s="45"/>
      <c r="Q15" s="38"/>
      <c r="R15" s="38"/>
      <c r="S15" s="38"/>
      <c r="T15" s="38"/>
      <c r="U15" s="38"/>
      <c r="V15" s="38"/>
      <c r="W15" s="38"/>
      <c r="X15" s="38"/>
      <c r="Y15" s="53" t="s">
        <v>31</v>
      </c>
      <c r="Z15" s="58">
        <f>CORREL(K5:K20,K5:K20)</f>
        <v>0.99999999999999978</v>
      </c>
      <c r="AA15" s="44">
        <f>CORREL(K5:K20,L5:L20)</f>
        <v>0.57472328538754447</v>
      </c>
      <c r="AB15" s="48">
        <f>CORREL(K5:K20,M5:M20)</f>
        <v>0.46037853259822553</v>
      </c>
      <c r="AC15" s="38"/>
    </row>
    <row r="16" spans="1:29" ht="15" customHeight="1" x14ac:dyDescent="0.25">
      <c r="A16" s="6">
        <v>12</v>
      </c>
      <c r="B16" s="4"/>
      <c r="C16" s="5">
        <v>67.211408948119896</v>
      </c>
      <c r="D16" s="11">
        <v>17.988640956404694</v>
      </c>
      <c r="E16" s="11">
        <v>3.4076029765648483</v>
      </c>
      <c r="F16" s="11">
        <v>0.89906228240211772</v>
      </c>
      <c r="G16" s="5">
        <v>510.24793388429754</v>
      </c>
      <c r="H16" s="5">
        <v>130.16683721099156</v>
      </c>
      <c r="I16" s="5">
        <v>86.909899513186758</v>
      </c>
      <c r="J16" s="5">
        <v>11.341511974509002</v>
      </c>
      <c r="K16" s="5">
        <v>2.8094953232499393</v>
      </c>
      <c r="L16" s="11">
        <v>186.29021275262846</v>
      </c>
      <c r="M16" s="5">
        <v>39.267347451663106</v>
      </c>
      <c r="N16" s="11"/>
      <c r="O16" s="45"/>
      <c r="P16" s="45"/>
      <c r="Q16" s="38"/>
      <c r="R16" s="38"/>
      <c r="S16" s="38"/>
      <c r="T16" s="38"/>
      <c r="U16" s="38"/>
      <c r="V16" s="38"/>
      <c r="W16" s="38"/>
      <c r="X16" s="38"/>
      <c r="Y16" s="38"/>
      <c r="Z16" s="53" t="s">
        <v>36</v>
      </c>
      <c r="AA16" s="58">
        <f>CORREL(L5:L20,L5:L20)</f>
        <v>1</v>
      </c>
      <c r="AB16" s="14">
        <f>CORREL(L5:L20,M5:M20)</f>
        <v>1.4448993675717496E-2</v>
      </c>
      <c r="AC16" s="38"/>
    </row>
    <row r="17" spans="1:29" ht="15" customHeight="1" x14ac:dyDescent="0.25">
      <c r="A17" s="6">
        <v>13</v>
      </c>
      <c r="B17" s="4"/>
      <c r="C17" s="5">
        <v>71.490066624050598</v>
      </c>
      <c r="D17" s="11">
        <v>17.614755255951081</v>
      </c>
      <c r="E17" s="11">
        <v>3.0039467775293716</v>
      </c>
      <c r="F17" s="11">
        <v>0.83878076103080546</v>
      </c>
      <c r="G17" s="5">
        <v>562.0077783179388</v>
      </c>
      <c r="H17" s="5">
        <v>112.00168876443067</v>
      </c>
      <c r="I17" s="5">
        <v>103.47134860473119</v>
      </c>
      <c r="J17" s="5">
        <v>10.796149867097169</v>
      </c>
      <c r="K17" s="5">
        <v>2.5577519551183379</v>
      </c>
      <c r="L17" s="11">
        <v>174.69791785426622</v>
      </c>
      <c r="M17" s="5">
        <v>29.540573312260314</v>
      </c>
      <c r="N17" s="11"/>
      <c r="O17" s="45"/>
      <c r="P17" s="45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53" t="s">
        <v>32</v>
      </c>
      <c r="AB17" s="59">
        <f>CORREL(M5:M20,M5:M20)</f>
        <v>1</v>
      </c>
      <c r="AC17" s="38"/>
    </row>
    <row r="18" spans="1:29" ht="15" customHeight="1" x14ac:dyDescent="0.25">
      <c r="A18" s="6">
        <v>14</v>
      </c>
      <c r="B18" s="4"/>
      <c r="C18" s="5">
        <v>72.274618320973403</v>
      </c>
      <c r="D18" s="11">
        <v>17.376230846430904</v>
      </c>
      <c r="E18" s="11">
        <v>3.1958277177242289</v>
      </c>
      <c r="F18" s="11">
        <v>0.76413170318217538</v>
      </c>
      <c r="G18" s="5">
        <v>526.78658240155573</v>
      </c>
      <c r="H18" s="5">
        <v>124.94812053021164</v>
      </c>
      <c r="I18" s="5">
        <v>109.50466339217908</v>
      </c>
      <c r="J18" s="5">
        <v>11.089029517373895</v>
      </c>
      <c r="K18" s="5">
        <v>2.3728779191466933</v>
      </c>
      <c r="L18" s="11">
        <v>136.76874244120376</v>
      </c>
      <c r="M18" s="5">
        <v>26.79866372975377</v>
      </c>
      <c r="N18" s="11"/>
      <c r="O18" s="45"/>
      <c r="P18" s="45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 spans="1:29" ht="15" customHeight="1" x14ac:dyDescent="0.25">
      <c r="A19" s="6">
        <v>15</v>
      </c>
      <c r="B19" s="4"/>
      <c r="C19" s="5">
        <v>76.070410038439519</v>
      </c>
      <c r="D19" s="11">
        <v>17.610920138669997</v>
      </c>
      <c r="E19" s="11">
        <v>2.6165252325371489</v>
      </c>
      <c r="F19" s="11">
        <v>0.75973632143010694</v>
      </c>
      <c r="G19" s="5">
        <v>628.97909577053963</v>
      </c>
      <c r="H19" s="5">
        <v>99.346300813539358</v>
      </c>
      <c r="I19" s="5">
        <v>61.24820061724175</v>
      </c>
      <c r="J19" s="5">
        <v>14.4116986532719</v>
      </c>
      <c r="K19" s="5">
        <v>2.0355811407516184</v>
      </c>
      <c r="L19" s="11">
        <v>170.63044596010403</v>
      </c>
      <c r="M19" s="5">
        <v>17.752363501338007</v>
      </c>
      <c r="N19" s="11"/>
      <c r="O19" s="45"/>
      <c r="P19" s="45"/>
      <c r="Q19" s="38"/>
      <c r="R19" s="49" t="s">
        <v>3</v>
      </c>
      <c r="S19" s="50" t="s">
        <v>2</v>
      </c>
      <c r="T19" s="50" t="s">
        <v>10</v>
      </c>
      <c r="U19" s="50" t="s">
        <v>4</v>
      </c>
      <c r="V19" s="50" t="s">
        <v>19</v>
      </c>
      <c r="W19" s="50" t="s">
        <v>15</v>
      </c>
      <c r="X19" s="50" t="s">
        <v>32</v>
      </c>
      <c r="Y19" s="50" t="s">
        <v>25</v>
      </c>
      <c r="Z19" s="50" t="s">
        <v>14</v>
      </c>
      <c r="AA19" s="50" t="s">
        <v>22</v>
      </c>
      <c r="AB19" s="51" t="s">
        <v>17</v>
      </c>
      <c r="AC19" s="42"/>
    </row>
    <row r="20" spans="1:29" ht="15" customHeight="1" x14ac:dyDescent="0.25">
      <c r="A20" s="6">
        <v>16</v>
      </c>
      <c r="B20" s="4"/>
      <c r="C20" s="5">
        <v>72.590421285759064</v>
      </c>
      <c r="D20" s="11">
        <v>16.591932715290447</v>
      </c>
      <c r="E20" s="11">
        <v>3.0020690094724447</v>
      </c>
      <c r="F20" s="11">
        <v>0.86604278012450975</v>
      </c>
      <c r="G20" s="5">
        <v>724.84200291686932</v>
      </c>
      <c r="H20" s="5">
        <v>114.51068716865178</v>
      </c>
      <c r="I20" s="5">
        <v>130.11848891595935</v>
      </c>
      <c r="J20" s="5">
        <v>11.694987414498151</v>
      </c>
      <c r="K20" s="5">
        <v>2.790811245146422</v>
      </c>
      <c r="L20" s="11">
        <v>242.92975887883702</v>
      </c>
      <c r="M20" s="5">
        <v>33.043012559987659</v>
      </c>
      <c r="N20" s="11"/>
      <c r="O20" s="45"/>
      <c r="P20" s="45"/>
      <c r="Q20" s="52" t="s">
        <v>3</v>
      </c>
      <c r="R20" s="57">
        <f>CORREL(C28:C43,C28:C43)</f>
        <v>1.0000000000000002</v>
      </c>
      <c r="S20" s="47">
        <f>CORREL(C28:C43,D28:D43)</f>
        <v>0.31820820744082384</v>
      </c>
      <c r="T20" s="63">
        <f>CORREL(C28:C43,E28:E43)</f>
        <v>-0.18705209529288794</v>
      </c>
      <c r="U20" s="63">
        <f>CORREL(C28:C43,F28:F43)</f>
        <v>-0.12561665655309368</v>
      </c>
      <c r="V20" s="43">
        <f>CORREL(C28:C43,G28:G43)</f>
        <v>0.1317018589449209</v>
      </c>
      <c r="W20" s="13">
        <f>CORREL(C28:C43,H28:H43)</f>
        <v>-4.2087023171958121E-3</v>
      </c>
      <c r="X20" s="65">
        <f>CORREL(C28:C43,I28:I43)</f>
        <v>-0.47871241742550463</v>
      </c>
      <c r="Y20" s="72">
        <f>CORREL(C28:C43,J28:J43)</f>
        <v>-0.55850600426683106</v>
      </c>
      <c r="Z20" s="65">
        <f>CORREL(C28:C43,K28:K43)</f>
        <v>-0.39085477468536822</v>
      </c>
      <c r="AA20" s="65">
        <f>CORREL(C28:C43,L28:L43)</f>
        <v>-0.49802813064128976</v>
      </c>
      <c r="AB20" s="70">
        <f>CORREL(C28:C43,M28:M43)</f>
        <v>-0.76561047710395125</v>
      </c>
      <c r="AC20" s="38"/>
    </row>
    <row r="21" spans="1:29" ht="15" customHeight="1" x14ac:dyDescent="0.25">
      <c r="A21" s="11"/>
      <c r="B21" s="1"/>
      <c r="C21" s="11"/>
      <c r="D21" s="11"/>
      <c r="E21" s="11"/>
      <c r="F21" s="11"/>
      <c r="G21" s="11"/>
      <c r="H21" s="11"/>
      <c r="I21" s="11"/>
      <c r="J21" s="11"/>
      <c r="L21" s="11"/>
      <c r="M21" s="11"/>
      <c r="N21" s="11"/>
      <c r="O21" s="45"/>
      <c r="P21" s="45"/>
      <c r="Q21" s="38"/>
      <c r="R21" s="53" t="s">
        <v>2</v>
      </c>
      <c r="S21" s="58">
        <f>CORREL(D28:D43,D28:D43)</f>
        <v>1</v>
      </c>
      <c r="T21" s="65">
        <f>CORREL(D28:D43,E28:E43)</f>
        <v>-0.37348050684235934</v>
      </c>
      <c r="U21" s="43">
        <f>CORREL(D28:D43,F28:F43)</f>
        <v>0.20122955673719586</v>
      </c>
      <c r="V21" s="43">
        <f>CORREL(D28:D43,G28:G43)</f>
        <v>3.813700216153855E-2</v>
      </c>
      <c r="W21" s="43">
        <f>CORREL(D28:D43,H28:H43)</f>
        <v>0.1848540036739878</v>
      </c>
      <c r="X21" s="43">
        <f>CORREL(D28:D43,I28:I43)</f>
        <v>2.670342083092328E-2</v>
      </c>
      <c r="Y21" s="63">
        <f>CORREL(D28:D43,J28:J43)</f>
        <v>-0.12208404896224562</v>
      </c>
      <c r="Z21" s="43">
        <f>CORREL(D28:D43,K28:K43)</f>
        <v>2.6188493235098691E-2</v>
      </c>
      <c r="AA21" s="63">
        <f>CORREL(D28:D43,L28:L43)</f>
        <v>-0.10094542525310826</v>
      </c>
      <c r="AB21" s="14">
        <f>CORREL(D28:D43,M28:M43)</f>
        <v>4.1856277705505318E-2</v>
      </c>
      <c r="AC21" s="38"/>
    </row>
    <row r="22" spans="1:29" ht="15" customHeight="1" x14ac:dyDescent="0.25">
      <c r="A22" s="12" t="s">
        <v>53</v>
      </c>
      <c r="B22" s="11"/>
      <c r="C22" s="1">
        <f t="shared" ref="C22:M22" si="0">SUM(C5:C20)</f>
        <v>1139.5567670823887</v>
      </c>
      <c r="D22" s="1">
        <f t="shared" si="0"/>
        <v>272.15280901103392</v>
      </c>
      <c r="E22" s="1">
        <f t="shared" si="0"/>
        <v>53.740642521638406</v>
      </c>
      <c r="F22" s="1">
        <f t="shared" si="0"/>
        <v>13.337032019470488</v>
      </c>
      <c r="G22" s="1">
        <f t="shared" si="0"/>
        <v>11610.335439961107</v>
      </c>
      <c r="H22" s="1">
        <f t="shared" si="0"/>
        <v>1897.2644492975412</v>
      </c>
      <c r="I22" s="1">
        <f t="shared" si="0"/>
        <v>1915.4065010957252</v>
      </c>
      <c r="J22" s="1">
        <f t="shared" si="0"/>
        <v>171.27500955199963</v>
      </c>
      <c r="K22" s="1">
        <f t="shared" si="0"/>
        <v>39.67121467642599</v>
      </c>
      <c r="L22" s="1">
        <f t="shared" si="0"/>
        <v>2918.9195180481447</v>
      </c>
      <c r="M22" s="1">
        <f t="shared" si="0"/>
        <v>490.21140408119788</v>
      </c>
      <c r="N22" s="1"/>
      <c r="O22" s="45"/>
      <c r="P22" s="45"/>
      <c r="Q22" s="38"/>
      <c r="R22" s="38"/>
      <c r="S22" s="53" t="s">
        <v>10</v>
      </c>
      <c r="T22" s="58">
        <f>CORREL(E28:E43,E28:E43)</f>
        <v>1.0000000000000002</v>
      </c>
      <c r="U22" s="43">
        <f>CORREL(E28:E43,F28:F43)</f>
        <v>0.16007652810071324</v>
      </c>
      <c r="V22" s="63">
        <f>CORREL(E28:E43,G28:G43)</f>
        <v>-0.22891621939567336</v>
      </c>
      <c r="W22" s="65">
        <f>CORREL(E28:E43,H28:H43)</f>
        <v>-0.3097270997429965</v>
      </c>
      <c r="X22" s="63">
        <f>CORREL(E28:E43,I28:I43)</f>
        <v>-0.15506053887411203</v>
      </c>
      <c r="Y22" s="63">
        <f>CORREL(E28:E43,J28:J43)</f>
        <v>-2.2814881937364508E-2</v>
      </c>
      <c r="Z22" s="63">
        <f>CORREL(E28:E43,K28:K43)</f>
        <v>-0.10003553297300537</v>
      </c>
      <c r="AA22" s="63">
        <f>CORREL(E28:E43,L28:L43)</f>
        <v>-0.10145468827263128</v>
      </c>
      <c r="AB22" s="64">
        <f>CORREL(E28:E43,M28:M43)</f>
        <v>-0.16678926636704844</v>
      </c>
      <c r="AC22" s="38"/>
    </row>
    <row r="23" spans="1:29" ht="15" customHeight="1" x14ac:dyDescent="0.25">
      <c r="O23" s="39"/>
      <c r="P23" s="45"/>
      <c r="Q23" s="38"/>
      <c r="R23" s="38"/>
      <c r="S23" s="38"/>
      <c r="T23" s="53" t="s">
        <v>4</v>
      </c>
      <c r="U23" s="58">
        <f>CORREL(F28:F43,F28:F43)</f>
        <v>1</v>
      </c>
      <c r="V23" s="63">
        <f>CORREL(F28:F43,G28:G43)</f>
        <v>-0.19811592561059765</v>
      </c>
      <c r="W23" s="43">
        <f>CORREL(F28:F43,H28:H43)</f>
        <v>0.16097564037809481</v>
      </c>
      <c r="X23" s="47">
        <f>CORREL(F28:F43,I28:I43)</f>
        <v>0.441904486726512</v>
      </c>
      <c r="Y23" s="47">
        <f>CORREL(F28:F43,J28:J43)</f>
        <v>0.45757607560578617</v>
      </c>
      <c r="Z23" s="47">
        <f>CORREL(F28:F43,K28:K43)</f>
        <v>0.30648121655045907</v>
      </c>
      <c r="AA23" s="43">
        <f>CORREL(F28:F43,L28:L43)</f>
        <v>0.15937493922440171</v>
      </c>
      <c r="AB23" s="48">
        <f>CORREL(F28:F43,M28:M43)</f>
        <v>0.37412249433920219</v>
      </c>
      <c r="AC23" s="38"/>
    </row>
    <row r="24" spans="1:29" ht="15" customHeight="1" x14ac:dyDescent="0.25">
      <c r="A24" s="12"/>
      <c r="B24" s="1"/>
      <c r="C24" s="12" t="s">
        <v>3</v>
      </c>
      <c r="D24" s="12" t="s">
        <v>2</v>
      </c>
      <c r="E24" s="12" t="s">
        <v>10</v>
      </c>
      <c r="F24" s="12" t="s">
        <v>4</v>
      </c>
      <c r="G24" s="12" t="s">
        <v>19</v>
      </c>
      <c r="H24" s="12" t="s">
        <v>15</v>
      </c>
      <c r="I24" s="12" t="s">
        <v>32</v>
      </c>
      <c r="J24" s="12" t="s">
        <v>25</v>
      </c>
      <c r="K24" s="12" t="s">
        <v>14</v>
      </c>
      <c r="L24" s="12" t="s">
        <v>22</v>
      </c>
      <c r="M24" s="12" t="s">
        <v>17</v>
      </c>
      <c r="O24" s="39"/>
      <c r="P24" s="69">
        <v>-1</v>
      </c>
      <c r="Q24" s="40"/>
      <c r="R24" s="39"/>
      <c r="S24" s="38"/>
      <c r="T24" s="38"/>
      <c r="U24" s="53" t="s">
        <v>19</v>
      </c>
      <c r="V24" s="58">
        <f>CORREL(G28:G43,G28:G43)</f>
        <v>1.0000000000000002</v>
      </c>
      <c r="W24" s="44">
        <f>CORREL(G28:G43,H28:H43)</f>
        <v>0.58675381518493785</v>
      </c>
      <c r="X24" s="43">
        <f>CORREL(G28:G43,I28:I43)</f>
        <v>9.517897268262375E-2</v>
      </c>
      <c r="Y24" s="63">
        <f>CORREL(G28:G43,J28:J43)</f>
        <v>-0.2844501014733502</v>
      </c>
      <c r="Z24" s="63">
        <f>CORREL(G28:G43,K28:K43)</f>
        <v>-0.17594850696391331</v>
      </c>
      <c r="AA24" s="63">
        <f>CORREL(G28:G43,L28:L43)</f>
        <v>-5.9192709806605057E-2</v>
      </c>
      <c r="AB24" s="14">
        <f>CORREL(G28:G43,M28:M43)</f>
        <v>3.3296753937351466E-2</v>
      </c>
      <c r="AC24" s="38"/>
    </row>
    <row r="25" spans="1:29" ht="15" customHeight="1" x14ac:dyDescent="0.25">
      <c r="A25" s="12"/>
      <c r="B25" s="1"/>
      <c r="C25" s="11" t="s">
        <v>51</v>
      </c>
      <c r="D25" s="11" t="s">
        <v>51</v>
      </c>
      <c r="E25" s="11" t="s">
        <v>51</v>
      </c>
      <c r="F25" s="11" t="s">
        <v>51</v>
      </c>
      <c r="G25" s="11" t="s">
        <v>83</v>
      </c>
      <c r="H25" s="11" t="s">
        <v>83</v>
      </c>
      <c r="I25" s="11" t="s">
        <v>83</v>
      </c>
      <c r="J25" s="11" t="s">
        <v>83</v>
      </c>
      <c r="K25" s="11" t="s">
        <v>83</v>
      </c>
      <c r="L25" s="11" t="s">
        <v>83</v>
      </c>
      <c r="M25" s="11" t="s">
        <v>83</v>
      </c>
      <c r="O25" s="39"/>
      <c r="P25" s="71">
        <v>-0.7</v>
      </c>
      <c r="Q25" s="73" t="s">
        <v>210</v>
      </c>
      <c r="R25" s="74"/>
      <c r="S25" s="74"/>
      <c r="T25" s="38"/>
      <c r="U25" s="38"/>
      <c r="V25" s="53" t="s">
        <v>15</v>
      </c>
      <c r="W25" s="58">
        <f>CORREL(H28:H43,H28:H43)</f>
        <v>1.0000000000000002</v>
      </c>
      <c r="X25" s="44">
        <f>CORREL(H28:H43,I28:I43)</f>
        <v>0.59043198580884881</v>
      </c>
      <c r="Y25" s="43">
        <f>CORREL(H28:H43,J28:J43)</f>
        <v>0.21661878302302634</v>
      </c>
      <c r="Z25" s="63">
        <f>CORREL(H28:H43,K28:K43)</f>
        <v>-0.14822659411887165</v>
      </c>
      <c r="AA25" s="43">
        <f>CORREL(H28:H43,L28:L43)</f>
        <v>4.1685656197861548E-2</v>
      </c>
      <c r="AB25" s="48">
        <f>CORREL(H28:H43,M28:M43)</f>
        <v>0.31131980389716113</v>
      </c>
      <c r="AC25" s="38"/>
    </row>
    <row r="26" spans="1:29" ht="15" customHeight="1" x14ac:dyDescent="0.25">
      <c r="A26" s="8" t="s">
        <v>1</v>
      </c>
      <c r="B26" s="1"/>
      <c r="C26" s="11"/>
      <c r="D26" s="11"/>
      <c r="E26" s="11"/>
      <c r="F26" s="11"/>
      <c r="G26" s="11"/>
      <c r="H26" s="11"/>
      <c r="I26" s="11"/>
      <c r="J26" s="11"/>
      <c r="K26" s="11"/>
      <c r="L26" s="11"/>
      <c r="O26" s="39"/>
      <c r="P26" s="66">
        <v>-0.5</v>
      </c>
      <c r="Q26" s="73"/>
      <c r="R26" s="74"/>
      <c r="S26" s="74"/>
      <c r="T26" s="38"/>
      <c r="U26" s="38"/>
      <c r="V26" s="38"/>
      <c r="W26" s="53" t="s">
        <v>32</v>
      </c>
      <c r="X26" s="58">
        <f>CORREL(I28:I43,I28:I43)</f>
        <v>1</v>
      </c>
      <c r="Y26" s="44">
        <f>CORREL(I28:I43,J28:J43)</f>
        <v>0.55752659186117093</v>
      </c>
      <c r="Z26" s="43">
        <f>CORREL(I28:I43,K28:K43)</f>
        <v>8.8367648244599722E-2</v>
      </c>
      <c r="AA26" s="43">
        <f>CORREL(I28:I43,L28:L43)</f>
        <v>0.20399888782573108</v>
      </c>
      <c r="AB26" s="61">
        <f>CORREL(I28:I43,M28:M43)</f>
        <v>0.70557843896414085</v>
      </c>
      <c r="AC26" s="38"/>
    </row>
    <row r="27" spans="1:29" ht="15" customHeight="1" x14ac:dyDescent="0.25">
      <c r="A27" s="11"/>
      <c r="B27" s="1"/>
      <c r="C27" s="11"/>
      <c r="D27" s="11"/>
      <c r="E27" s="11"/>
      <c r="F27" s="11"/>
      <c r="G27" s="11"/>
      <c r="H27" s="11"/>
      <c r="I27" s="11"/>
      <c r="J27" s="11"/>
      <c r="K27" s="11"/>
      <c r="L27" s="11"/>
      <c r="O27" s="39"/>
      <c r="P27" s="62">
        <v>-0.3</v>
      </c>
      <c r="Q27" s="40"/>
      <c r="R27" s="39"/>
      <c r="S27" s="38"/>
      <c r="T27" s="38"/>
      <c r="U27" s="38"/>
      <c r="V27" s="38"/>
      <c r="W27" s="38"/>
      <c r="X27" s="53" t="s">
        <v>25</v>
      </c>
      <c r="Y27" s="58">
        <f>CORREL(J28:J43,J28:J43)</f>
        <v>1</v>
      </c>
      <c r="Z27" s="47">
        <f>CORREL(J28:J43,K28:K43)</f>
        <v>0.40055656632392417</v>
      </c>
      <c r="AA27" s="43">
        <f>CORREL(J28:J43,L28:L43)</f>
        <v>0.19404916335097844</v>
      </c>
      <c r="AB27" s="46">
        <f>CORREL(J28:J43,M28:M43)</f>
        <v>0.53700855413409398</v>
      </c>
      <c r="AC27" s="38"/>
    </row>
    <row r="28" spans="1:29" ht="15" customHeight="1" x14ac:dyDescent="0.25">
      <c r="A28" s="6">
        <v>1</v>
      </c>
      <c r="B28" s="4"/>
      <c r="C28" s="5">
        <v>73.889866999079061</v>
      </c>
      <c r="D28" s="11">
        <v>16.876245435480836</v>
      </c>
      <c r="E28" s="11">
        <v>4.8249280325664872</v>
      </c>
      <c r="F28" s="11">
        <v>0.90607951813756737</v>
      </c>
      <c r="G28" s="5">
        <v>4.4114973482862858</v>
      </c>
      <c r="H28" s="5">
        <v>51.621982233174201</v>
      </c>
      <c r="I28" s="5">
        <v>102.89566351143628</v>
      </c>
      <c r="J28" s="5">
        <v>14.641764653344936</v>
      </c>
      <c r="K28" s="5">
        <v>1.2227274514821087</v>
      </c>
      <c r="L28" s="5">
        <v>3.1067309001423911</v>
      </c>
      <c r="M28" s="5">
        <v>13.020028973258839</v>
      </c>
      <c r="O28" s="39"/>
      <c r="P28" s="54">
        <v>0</v>
      </c>
      <c r="Q28" s="40"/>
      <c r="R28" s="39"/>
      <c r="S28" s="38"/>
      <c r="T28" s="38"/>
      <c r="U28" s="38"/>
      <c r="V28" s="38"/>
      <c r="W28" s="38"/>
      <c r="X28" s="38"/>
      <c r="Y28" s="53" t="s">
        <v>14</v>
      </c>
      <c r="Z28" s="58">
        <f>CORREL(K28:K43,K28:K43)</f>
        <v>1.0000000000000002</v>
      </c>
      <c r="AA28" s="60">
        <f>CORREL(K28:K43,L28:L43)</f>
        <v>0.78078858180542621</v>
      </c>
      <c r="AB28" s="48">
        <f>CORREL(K28:K43,M28:M43)</f>
        <v>0.46281335099239529</v>
      </c>
      <c r="AC28" s="38"/>
    </row>
    <row r="29" spans="1:29" ht="15" customHeight="1" x14ac:dyDescent="0.25">
      <c r="A29" s="6">
        <v>2</v>
      </c>
      <c r="B29" s="4"/>
      <c r="C29" s="5">
        <v>71.172751426633937</v>
      </c>
      <c r="D29" s="11">
        <v>16.94243007068118</v>
      </c>
      <c r="E29" s="11">
        <v>3.5143403082149463</v>
      </c>
      <c r="F29" s="11">
        <v>0.8606174888430681</v>
      </c>
      <c r="G29" s="5">
        <v>6.4792661184913403</v>
      </c>
      <c r="H29" s="5">
        <v>76.448572468121824</v>
      </c>
      <c r="I29" s="5">
        <v>112.52332793355899</v>
      </c>
      <c r="J29" s="5">
        <v>16.851194346930217</v>
      </c>
      <c r="K29" s="5">
        <v>6.5323934585831349</v>
      </c>
      <c r="L29" s="5">
        <v>23.211886763421283</v>
      </c>
      <c r="M29" s="5">
        <v>26.279874289847083</v>
      </c>
      <c r="O29" s="39"/>
      <c r="P29" s="55">
        <v>0.3</v>
      </c>
      <c r="Q29" s="40"/>
      <c r="R29" s="39"/>
      <c r="S29" s="38"/>
      <c r="T29" s="38"/>
      <c r="U29" s="38"/>
      <c r="V29" s="38"/>
      <c r="W29" s="38"/>
      <c r="X29" s="38"/>
      <c r="Y29" s="38"/>
      <c r="Z29" s="53" t="s">
        <v>22</v>
      </c>
      <c r="AA29" s="58">
        <f>CORREL(L28:L43,L28:L43)</f>
        <v>1.0000000000000002</v>
      </c>
      <c r="AB29" s="46">
        <f>CORREL(L28:L43,M28:M43)</f>
        <v>0.57922508434482789</v>
      </c>
      <c r="AC29" s="38"/>
    </row>
    <row r="30" spans="1:29" ht="15" customHeight="1" x14ac:dyDescent="0.25">
      <c r="A30" s="6">
        <v>3</v>
      </c>
      <c r="B30" s="4"/>
      <c r="C30" s="5">
        <v>71.702591901946519</v>
      </c>
      <c r="D30" s="11">
        <v>15.926368123616276</v>
      </c>
      <c r="E30" s="11">
        <v>3.4651943094309421</v>
      </c>
      <c r="F30" s="11">
        <v>0.86189645419215855</v>
      </c>
      <c r="G30" s="5">
        <v>4.9016637203180951</v>
      </c>
      <c r="H30" s="5">
        <v>58.443880342935778</v>
      </c>
      <c r="I30" s="5">
        <v>112.52332793355899</v>
      </c>
      <c r="J30" s="5">
        <v>17.58385497070979</v>
      </c>
      <c r="K30" s="5">
        <v>11.922354950860461</v>
      </c>
      <c r="L30" s="5">
        <v>25.820516955239199</v>
      </c>
      <c r="M30" s="5">
        <v>31.785657838784626</v>
      </c>
      <c r="O30" s="39"/>
      <c r="P30" s="15">
        <v>0.5</v>
      </c>
      <c r="Q30" s="73" t="s">
        <v>211</v>
      </c>
      <c r="R30" s="74"/>
      <c r="S30" s="74"/>
      <c r="T30" s="38"/>
      <c r="U30" s="38"/>
      <c r="V30" s="38"/>
      <c r="W30" s="38"/>
      <c r="X30" s="38"/>
      <c r="Y30" s="38"/>
      <c r="Z30" s="38"/>
      <c r="AA30" s="53" t="s">
        <v>17</v>
      </c>
      <c r="AB30" s="59">
        <f>CORREL(M28:M43,M28:M43)</f>
        <v>0.99999999999999978</v>
      </c>
      <c r="AC30" s="38"/>
    </row>
    <row r="31" spans="1:29" ht="15" customHeight="1" x14ac:dyDescent="0.25">
      <c r="A31" s="6">
        <v>4</v>
      </c>
      <c r="B31" s="4"/>
      <c r="C31" s="5">
        <v>72.895662565144846</v>
      </c>
      <c r="D31" s="11">
        <v>18.383270703421552</v>
      </c>
      <c r="E31" s="11">
        <v>3.1673258430063385</v>
      </c>
      <c r="F31" s="11">
        <v>0.92464623879441254</v>
      </c>
      <c r="G31" s="5">
        <v>4.8428051598969528</v>
      </c>
      <c r="H31" s="5">
        <v>57.075563117456902</v>
      </c>
      <c r="I31" s="5">
        <v>100.48874740590561</v>
      </c>
      <c r="J31" s="5">
        <v>18.511128572680818</v>
      </c>
      <c r="K31" s="5">
        <v>21.811912808650085</v>
      </c>
      <c r="L31" s="5">
        <v>23.930490552110747</v>
      </c>
      <c r="M31" s="5">
        <v>27.399017225384299</v>
      </c>
      <c r="O31" s="39"/>
      <c r="P31" s="41">
        <v>0.7</v>
      </c>
      <c r="Q31" s="73"/>
      <c r="R31" s="74"/>
      <c r="S31" s="74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1:29" ht="15" customHeight="1" x14ac:dyDescent="0.25">
      <c r="A32" s="6">
        <v>5</v>
      </c>
      <c r="B32" s="4"/>
      <c r="C32" s="5">
        <v>65.645454618172224</v>
      </c>
      <c r="D32" s="11">
        <v>15.55178018180955</v>
      </c>
      <c r="E32" s="11">
        <v>4.138246304209841</v>
      </c>
      <c r="F32" s="11">
        <v>0.79470229817933002</v>
      </c>
      <c r="G32" s="5">
        <v>4.8910498815536272</v>
      </c>
      <c r="H32" s="5">
        <v>56.858994923496219</v>
      </c>
      <c r="I32" s="5">
        <v>116.53485477611011</v>
      </c>
      <c r="J32" s="5">
        <v>21.075440755909327</v>
      </c>
      <c r="K32" s="5">
        <v>14.077119869515547</v>
      </c>
      <c r="L32" s="5">
        <v>20.967480409706251</v>
      </c>
      <c r="M32" s="5">
        <v>31.316017499764545</v>
      </c>
      <c r="O32" s="39"/>
      <c r="P32" s="56">
        <v>1</v>
      </c>
      <c r="Q32" s="40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</row>
    <row r="33" spans="1:29" ht="15" customHeight="1" x14ac:dyDescent="0.25">
      <c r="A33" s="6">
        <v>6</v>
      </c>
      <c r="B33" s="4"/>
      <c r="C33" s="5">
        <v>71.809828428139625</v>
      </c>
      <c r="D33" s="11">
        <v>15.967304134398409</v>
      </c>
      <c r="E33" s="11">
        <v>4.00846272207475</v>
      </c>
      <c r="F33" s="11">
        <v>0.73655450301448611</v>
      </c>
      <c r="G33" s="5">
        <v>5.4294609752421108</v>
      </c>
      <c r="H33" s="5">
        <v>54.417680737030317</v>
      </c>
      <c r="I33" s="5">
        <v>83.289326068467673</v>
      </c>
      <c r="J33" s="5">
        <v>13.909104029565363</v>
      </c>
      <c r="K33" s="5">
        <v>9.0002091295711324</v>
      </c>
      <c r="L33" s="5">
        <v>17.837124179524753</v>
      </c>
      <c r="M33" s="5">
        <v>22.063103586305079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1:29" ht="15" customHeight="1" x14ac:dyDescent="0.25">
      <c r="A34" s="6">
        <v>7</v>
      </c>
      <c r="B34" s="4"/>
      <c r="C34" s="5">
        <v>69.183394047181196</v>
      </c>
      <c r="D34" s="11">
        <v>15.375069939099239</v>
      </c>
      <c r="E34" s="11">
        <v>3.0180694674403106</v>
      </c>
      <c r="F34" s="11">
        <v>0.85075206553093863</v>
      </c>
      <c r="G34" s="5">
        <v>4.4896537973700976</v>
      </c>
      <c r="H34" s="5">
        <v>53.256087696695737</v>
      </c>
      <c r="I34" s="5">
        <v>110.21669999909209</v>
      </c>
      <c r="J34" s="5">
        <v>17.995976571585803</v>
      </c>
      <c r="K34" s="5">
        <v>10.753496622344729</v>
      </c>
      <c r="L34" s="5">
        <v>18.654166843377155</v>
      </c>
      <c r="M34" s="5">
        <v>32.64499973571499</v>
      </c>
    </row>
    <row r="35" spans="1:29" ht="15" customHeight="1" x14ac:dyDescent="0.25">
      <c r="A35" s="6">
        <v>8</v>
      </c>
      <c r="B35" s="4"/>
      <c r="C35" s="5">
        <v>70.553539553415419</v>
      </c>
      <c r="D35" s="11">
        <v>17.763148194047751</v>
      </c>
      <c r="E35" s="11">
        <v>3.4504298925613757</v>
      </c>
      <c r="F35" s="11">
        <v>0.81892241628059503</v>
      </c>
      <c r="G35" s="5">
        <v>3.4195858710250651</v>
      </c>
      <c r="H35" s="5">
        <v>48.698311614704949</v>
      </c>
      <c r="I35" s="5">
        <v>100.9901882612245</v>
      </c>
      <c r="J35" s="5">
        <v>18.247828661010029</v>
      </c>
      <c r="K35" s="5">
        <v>9.342735439753568</v>
      </c>
      <c r="L35" s="5">
        <v>19.028234568996325</v>
      </c>
      <c r="M35" s="5">
        <v>29.197639800354818</v>
      </c>
    </row>
    <row r="36" spans="1:29" ht="15" customHeight="1" x14ac:dyDescent="0.25">
      <c r="A36" s="6">
        <v>9</v>
      </c>
      <c r="B36" s="4"/>
      <c r="C36" s="5">
        <v>71.075320958830233</v>
      </c>
      <c r="D36" s="11">
        <v>17.150726188756366</v>
      </c>
      <c r="E36" s="11">
        <v>3.2225153216726712</v>
      </c>
      <c r="F36" s="11">
        <v>0.8451611179078703</v>
      </c>
      <c r="G36" s="5">
        <v>4.813858326902948</v>
      </c>
      <c r="H36" s="5">
        <v>62.529144001739617</v>
      </c>
      <c r="I36" s="5">
        <v>117.036295631429</v>
      </c>
      <c r="J36" s="5">
        <v>16.885537813669885</v>
      </c>
      <c r="K36" s="5">
        <v>6.3250481550899096</v>
      </c>
      <c r="L36" s="5">
        <v>15.002084574832077</v>
      </c>
      <c r="M36" s="5">
        <v>27.069269753306369</v>
      </c>
    </row>
    <row r="37" spans="1:29" ht="15" customHeight="1" x14ac:dyDescent="0.25">
      <c r="A37" s="6">
        <v>10</v>
      </c>
      <c r="B37" s="4"/>
      <c r="C37" s="5">
        <v>69.642307786147072</v>
      </c>
      <c r="D37" s="11">
        <v>17.460270355142722</v>
      </c>
      <c r="E37" s="11">
        <v>2.8240928771681144</v>
      </c>
      <c r="F37" s="11">
        <v>0.8495246005126863</v>
      </c>
      <c r="G37" s="5">
        <v>4.466496330974894</v>
      </c>
      <c r="H37" s="5">
        <v>55.175669415892713</v>
      </c>
      <c r="I37" s="5">
        <v>112.62361610462276</v>
      </c>
      <c r="J37" s="5">
        <v>16.828298702437102</v>
      </c>
      <c r="K37" s="5">
        <v>9.5653267214448245</v>
      </c>
      <c r="L37" s="5">
        <v>18.979015131414858</v>
      </c>
      <c r="M37" s="5">
        <v>33.973981971665431</v>
      </c>
    </row>
    <row r="38" spans="1:29" ht="15" customHeight="1" x14ac:dyDescent="0.25">
      <c r="A38" s="6">
        <v>11</v>
      </c>
      <c r="B38" s="4"/>
      <c r="C38" s="5">
        <v>72.349123580356164</v>
      </c>
      <c r="D38" s="11">
        <v>17.573715771832962</v>
      </c>
      <c r="E38" s="11">
        <v>2.8810657294645976</v>
      </c>
      <c r="F38" s="11">
        <v>0.76042146990765802</v>
      </c>
      <c r="G38" s="5">
        <v>9.2967578632411119</v>
      </c>
      <c r="H38" s="5">
        <v>63.887617218402099</v>
      </c>
      <c r="I38" s="5">
        <v>103.7982570510103</v>
      </c>
      <c r="J38" s="5">
        <v>12.64984358244422</v>
      </c>
      <c r="K38" s="5">
        <v>5.8768163960677899</v>
      </c>
      <c r="L38" s="5">
        <v>14.598485186664023</v>
      </c>
      <c r="M38" s="5">
        <v>26.269881942208357</v>
      </c>
    </row>
    <row r="39" spans="1:29" ht="15" customHeight="1" x14ac:dyDescent="0.25">
      <c r="A39" s="6">
        <v>12</v>
      </c>
      <c r="B39" s="4"/>
      <c r="C39" s="5">
        <v>67.211408948119896</v>
      </c>
      <c r="D39" s="11">
        <v>17.988640956404694</v>
      </c>
      <c r="E39" s="11">
        <v>3.4076029765648483</v>
      </c>
      <c r="F39" s="11">
        <v>0.89906228240211772</v>
      </c>
      <c r="G39" s="5">
        <v>5.351304526158299</v>
      </c>
      <c r="H39" s="5">
        <v>71.989236474294984</v>
      </c>
      <c r="I39" s="5">
        <v>133.38326751482481</v>
      </c>
      <c r="J39" s="5">
        <v>20.548840932567757</v>
      </c>
      <c r="K39" s="5">
        <v>8.796929420264048</v>
      </c>
      <c r="L39" s="5">
        <v>16.262102176917711</v>
      </c>
      <c r="M39" s="5">
        <v>51.580498511099101</v>
      </c>
    </row>
    <row r="40" spans="1:29" ht="15" customHeight="1" x14ac:dyDescent="0.25">
      <c r="A40" s="6">
        <v>13</v>
      </c>
      <c r="B40" s="4"/>
      <c r="C40" s="5">
        <v>71.490066624050598</v>
      </c>
      <c r="D40" s="11">
        <v>17.614755255951081</v>
      </c>
      <c r="E40" s="11">
        <v>3.0039467775293716</v>
      </c>
      <c r="F40" s="11">
        <v>0.83878076103080546</v>
      </c>
      <c r="G40" s="5">
        <v>5.0811340848809232</v>
      </c>
      <c r="H40" s="5">
        <v>64.881862108857959</v>
      </c>
      <c r="I40" s="5">
        <v>119.14234722376833</v>
      </c>
      <c r="J40" s="5">
        <v>15.534694788576294</v>
      </c>
      <c r="K40" s="5">
        <v>13.213181104960441</v>
      </c>
      <c r="L40" s="5">
        <v>25.682702530011081</v>
      </c>
      <c r="M40" s="5">
        <v>33.50434163264535</v>
      </c>
    </row>
    <row r="41" spans="1:29" ht="15" customHeight="1" x14ac:dyDescent="0.25">
      <c r="A41" s="6">
        <v>14</v>
      </c>
      <c r="B41" s="4"/>
      <c r="C41" s="5">
        <v>72.274618320973403</v>
      </c>
      <c r="D41" s="11">
        <v>17.376230846430904</v>
      </c>
      <c r="E41" s="11">
        <v>3.1958277177242289</v>
      </c>
      <c r="F41" s="11">
        <v>0.76413170318217538</v>
      </c>
      <c r="G41" s="5">
        <v>4.2339567725897247</v>
      </c>
      <c r="H41" s="5">
        <v>59.762977524332683</v>
      </c>
      <c r="I41" s="5">
        <v>118.13946551313055</v>
      </c>
      <c r="J41" s="5">
        <v>15.202707943426173</v>
      </c>
      <c r="K41" s="5">
        <v>7.0385599347577736</v>
      </c>
      <c r="L41" s="5">
        <v>16.596794352471708</v>
      </c>
      <c r="M41" s="5">
        <v>24.751045101122138</v>
      </c>
    </row>
    <row r="42" spans="1:29" ht="15" customHeight="1" x14ac:dyDescent="0.25">
      <c r="A42" s="6">
        <v>15</v>
      </c>
      <c r="B42" s="4"/>
      <c r="C42" s="5">
        <v>76.070410038439519</v>
      </c>
      <c r="D42" s="11">
        <v>17.610920138669997</v>
      </c>
      <c r="E42" s="11">
        <v>2.6165252325371489</v>
      </c>
      <c r="F42" s="11">
        <v>0.75973632143010694</v>
      </c>
      <c r="G42" s="5">
        <v>4.9248211867132996</v>
      </c>
      <c r="H42" s="5">
        <v>61.456147040752583</v>
      </c>
      <c r="I42" s="5">
        <v>90.33958449425127</v>
      </c>
      <c r="J42" s="5">
        <v>16.564998790766321</v>
      </c>
      <c r="K42" s="5">
        <v>1.7319431232963531</v>
      </c>
      <c r="L42" s="5">
        <v>1.8988859018931152</v>
      </c>
      <c r="M42" s="5">
        <v>8.1097893435893127</v>
      </c>
    </row>
    <row r="43" spans="1:29" ht="15" customHeight="1" x14ac:dyDescent="0.25">
      <c r="A43" s="6">
        <v>16</v>
      </c>
      <c r="B43" s="4"/>
      <c r="C43" s="5">
        <v>72.590421285759064</v>
      </c>
      <c r="D43" s="11">
        <v>16.591932715290447</v>
      </c>
      <c r="E43" s="11">
        <v>3.0020690094724447</v>
      </c>
      <c r="F43" s="11">
        <v>0.86604278012450975</v>
      </c>
      <c r="G43" s="5">
        <v>6.8082951201898583</v>
      </c>
      <c r="H43" s="5">
        <v>74.853843039865879</v>
      </c>
      <c r="I43" s="5">
        <v>132.98211483056971</v>
      </c>
      <c r="J43" s="5">
        <v>20.331332309883198</v>
      </c>
      <c r="K43" s="5">
        <v>7.2530200280767474</v>
      </c>
      <c r="L43" s="5">
        <v>11.28109509367294</v>
      </c>
      <c r="M43" s="5">
        <v>31.236078718654746</v>
      </c>
    </row>
    <row r="44" spans="1:29" ht="15" customHeight="1" x14ac:dyDescent="0.25">
      <c r="A44" s="11"/>
      <c r="B44" s="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29" ht="15" customHeight="1" x14ac:dyDescent="0.25">
      <c r="A45" s="12" t="s">
        <v>53</v>
      </c>
      <c r="B45" s="11"/>
      <c r="C45" s="1">
        <f t="shared" ref="C45:M45" si="1">SUM(C28:C43)</f>
        <v>1139.5567670823887</v>
      </c>
      <c r="D45" s="1">
        <f t="shared" si="1"/>
        <v>272.15280901103392</v>
      </c>
      <c r="E45" s="1">
        <f t="shared" si="1"/>
        <v>53.740642521638406</v>
      </c>
      <c r="F45" s="1">
        <f t="shared" si="1"/>
        <v>13.337032019470488</v>
      </c>
      <c r="G45" s="1">
        <f t="shared" si="1"/>
        <v>83.841607083834631</v>
      </c>
      <c r="H45" s="1">
        <f t="shared" si="1"/>
        <v>971.35756995775444</v>
      </c>
      <c r="I45" s="1">
        <f t="shared" si="1"/>
        <v>1766.9070842529611</v>
      </c>
      <c r="J45" s="1">
        <f t="shared" si="1"/>
        <v>273.36254742550722</v>
      </c>
      <c r="K45" s="1">
        <f t="shared" si="1"/>
        <v>144.46377461471869</v>
      </c>
      <c r="L45" s="1">
        <f t="shared" si="1"/>
        <v>272.85779612039562</v>
      </c>
      <c r="M45" s="1">
        <f t="shared" si="1"/>
        <v>450.20122592370512</v>
      </c>
      <c r="N45" s="1"/>
    </row>
  </sheetData>
  <mergeCells count="2">
    <mergeCell ref="Q25:S26"/>
    <mergeCell ref="Q30:S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99BD-CF44-4E82-976A-DB62EE7F7698}">
  <dimension ref="A1:BS51"/>
  <sheetViews>
    <sheetView zoomScale="70" zoomScaleNormal="70" workbookViewId="0">
      <selection activeCell="AA1" sqref="AA1:AA18"/>
    </sheetView>
  </sheetViews>
  <sheetFormatPr defaultRowHeight="12.75" x14ac:dyDescent="0.2"/>
  <cols>
    <col min="1" max="49" width="9.140625" style="4"/>
    <col min="50" max="50" width="19.5703125" style="4" customWidth="1"/>
    <col min="51" max="52" width="9.140625" style="4"/>
    <col min="53" max="53" width="11.140625" style="4" customWidth="1"/>
    <col min="54" max="16384" width="9.140625" style="4"/>
  </cols>
  <sheetData>
    <row r="1" spans="1:71" ht="15" customHeight="1" x14ac:dyDescent="0.2">
      <c r="A1" s="6" t="s">
        <v>1</v>
      </c>
      <c r="B1" s="6"/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21</v>
      </c>
      <c r="M1" s="6" t="s">
        <v>22</v>
      </c>
      <c r="N1" s="6" t="s">
        <v>23</v>
      </c>
      <c r="O1" s="6" t="s">
        <v>24</v>
      </c>
      <c r="P1" s="6" t="s">
        <v>25</v>
      </c>
      <c r="Q1" s="6" t="s">
        <v>26</v>
      </c>
      <c r="R1" s="6" t="s">
        <v>27</v>
      </c>
      <c r="S1" s="6" t="s">
        <v>28</v>
      </c>
      <c r="T1" s="6" t="s">
        <v>29</v>
      </c>
      <c r="U1" s="6" t="s">
        <v>30</v>
      </c>
      <c r="V1" s="6" t="s">
        <v>31</v>
      </c>
      <c r="W1" s="6" t="s">
        <v>32</v>
      </c>
      <c r="X1" s="6" t="s">
        <v>33</v>
      </c>
      <c r="Y1" s="6" t="s">
        <v>34</v>
      </c>
      <c r="Z1" s="6" t="s">
        <v>35</v>
      </c>
      <c r="AA1" s="6" t="s">
        <v>36</v>
      </c>
      <c r="AC1" s="12" t="s">
        <v>37</v>
      </c>
      <c r="AD1" s="12" t="s">
        <v>38</v>
      </c>
      <c r="AE1" s="12" t="s">
        <v>49</v>
      </c>
      <c r="AF1" s="12"/>
      <c r="AG1" s="76" t="s">
        <v>85</v>
      </c>
      <c r="AH1" s="75" t="s">
        <v>86</v>
      </c>
      <c r="AI1" s="75" t="s">
        <v>87</v>
      </c>
      <c r="AJ1" s="75" t="s">
        <v>88</v>
      </c>
      <c r="AK1" s="75" t="s">
        <v>89</v>
      </c>
      <c r="AL1" s="75" t="s">
        <v>90</v>
      </c>
      <c r="AM1" s="75" t="s">
        <v>91</v>
      </c>
      <c r="AN1" s="75" t="s">
        <v>88</v>
      </c>
      <c r="AO1" s="75" t="s">
        <v>92</v>
      </c>
      <c r="AP1" s="75" t="s">
        <v>93</v>
      </c>
      <c r="AQ1" s="75" t="s">
        <v>94</v>
      </c>
      <c r="AR1" s="75" t="s">
        <v>95</v>
      </c>
      <c r="AS1" s="75" t="s">
        <v>96</v>
      </c>
      <c r="AT1" s="75" t="s">
        <v>97</v>
      </c>
      <c r="AU1" s="75" t="s">
        <v>98</v>
      </c>
      <c r="AV1" s="75" t="s">
        <v>99</v>
      </c>
      <c r="AW1" s="75" t="s">
        <v>100</v>
      </c>
      <c r="AX1" s="75" t="s">
        <v>101</v>
      </c>
      <c r="AY1" s="75" t="s">
        <v>102</v>
      </c>
      <c r="AZ1" s="75" t="s">
        <v>103</v>
      </c>
      <c r="BA1" s="75" t="s">
        <v>104</v>
      </c>
      <c r="BB1" s="76" t="s">
        <v>105</v>
      </c>
      <c r="BC1" s="76" t="s">
        <v>106</v>
      </c>
      <c r="BD1" s="76" t="s">
        <v>107</v>
      </c>
      <c r="BE1" s="12" t="s">
        <v>10</v>
      </c>
      <c r="BF1" s="12" t="s">
        <v>3</v>
      </c>
      <c r="BG1" s="12" t="s">
        <v>2</v>
      </c>
      <c r="BH1" s="12" t="s">
        <v>4</v>
      </c>
      <c r="BI1" s="1"/>
      <c r="BJ1" s="17"/>
    </row>
    <row r="2" spans="1:71" x14ac:dyDescent="0.2">
      <c r="A2" s="6"/>
      <c r="B2" s="6"/>
      <c r="C2" s="6" t="s">
        <v>52</v>
      </c>
      <c r="D2" s="6" t="s">
        <v>52</v>
      </c>
      <c r="E2" s="6" t="s">
        <v>52</v>
      </c>
      <c r="F2" s="6" t="s">
        <v>52</v>
      </c>
      <c r="G2" s="6" t="s">
        <v>52</v>
      </c>
      <c r="H2" s="6" t="s">
        <v>52</v>
      </c>
      <c r="I2" s="6" t="s">
        <v>52</v>
      </c>
      <c r="J2" s="6" t="s">
        <v>52</v>
      </c>
      <c r="K2" s="6" t="s">
        <v>52</v>
      </c>
      <c r="L2" s="6" t="s">
        <v>52</v>
      </c>
      <c r="M2" s="6" t="s">
        <v>52</v>
      </c>
      <c r="N2" s="6" t="s">
        <v>52</v>
      </c>
      <c r="O2" s="6" t="s">
        <v>52</v>
      </c>
      <c r="P2" s="6" t="s">
        <v>52</v>
      </c>
      <c r="Q2" s="6" t="s">
        <v>52</v>
      </c>
      <c r="R2" s="6" t="s">
        <v>52</v>
      </c>
      <c r="S2" s="6" t="s">
        <v>52</v>
      </c>
      <c r="T2" s="6" t="s">
        <v>52</v>
      </c>
      <c r="U2" s="6" t="s">
        <v>52</v>
      </c>
      <c r="V2" s="6" t="s">
        <v>52</v>
      </c>
      <c r="W2" s="6" t="s">
        <v>52</v>
      </c>
      <c r="X2" s="6" t="s">
        <v>52</v>
      </c>
      <c r="Y2" s="6" t="s">
        <v>52</v>
      </c>
      <c r="Z2" s="6" t="s">
        <v>52</v>
      </c>
      <c r="AA2" s="6" t="s">
        <v>52</v>
      </c>
      <c r="AC2" s="6" t="s">
        <v>52</v>
      </c>
      <c r="AD2" s="6" t="s">
        <v>52</v>
      </c>
      <c r="AE2" s="6" t="s">
        <v>52</v>
      </c>
      <c r="AF2" s="11"/>
      <c r="AG2" s="76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6"/>
      <c r="BC2" s="76"/>
      <c r="BD2" s="76"/>
      <c r="BE2" s="11" t="s">
        <v>51</v>
      </c>
      <c r="BF2" s="11" t="s">
        <v>51</v>
      </c>
      <c r="BG2" s="11" t="s">
        <v>51</v>
      </c>
      <c r="BH2" s="11" t="s">
        <v>51</v>
      </c>
      <c r="BI2" s="1"/>
      <c r="BJ2" s="17"/>
    </row>
    <row r="3" spans="1:71" x14ac:dyDescent="0.2">
      <c r="A3" s="6">
        <v>1</v>
      </c>
      <c r="C3" s="5">
        <v>1083.1793874574601</v>
      </c>
      <c r="D3" s="5">
        <v>1.2459624718685567</v>
      </c>
      <c r="E3" s="5">
        <v>1.2227274514821087</v>
      </c>
      <c r="F3" s="5">
        <v>51.621982233174201</v>
      </c>
      <c r="G3" s="5">
        <v>7.6131286193976067</v>
      </c>
      <c r="H3" s="5">
        <v>13.020028973258839</v>
      </c>
      <c r="I3" s="5">
        <v>17.292735520593464</v>
      </c>
      <c r="J3" s="5">
        <v>4.4114973482862858</v>
      </c>
      <c r="K3" s="5">
        <v>2.8564790044422943</v>
      </c>
      <c r="L3" s="5">
        <v>8.9483867753812572</v>
      </c>
      <c r="M3" s="5">
        <v>3.1067309001423911</v>
      </c>
      <c r="N3" s="5">
        <v>11.67764913381933</v>
      </c>
      <c r="O3" s="5">
        <v>161.88057704034651</v>
      </c>
      <c r="P3" s="5">
        <v>14.641764653344936</v>
      </c>
      <c r="Q3" s="5">
        <v>2.5674995403476624</v>
      </c>
      <c r="R3" s="5">
        <v>85.733403129634425</v>
      </c>
      <c r="S3" s="5">
        <v>0.73149550711756095</v>
      </c>
      <c r="T3" s="5">
        <v>10.260887057970743</v>
      </c>
      <c r="U3" s="5">
        <v>0.56591093798100833</v>
      </c>
      <c r="V3" s="5">
        <v>2.4554812118148748</v>
      </c>
      <c r="W3" s="5">
        <v>102.89566351143628</v>
      </c>
      <c r="X3" s="5">
        <v>3.8681233362910379</v>
      </c>
      <c r="Y3" s="5">
        <v>23.576419621844614</v>
      </c>
      <c r="Z3" s="5">
        <v>60.580460991994563</v>
      </c>
      <c r="AA3" s="5">
        <v>140.93790113272001</v>
      </c>
      <c r="AB3" s="5"/>
      <c r="AC3" s="5">
        <v>29.482109757643993</v>
      </c>
      <c r="AD3" s="5">
        <v>57.222267121653729</v>
      </c>
      <c r="AE3" s="5">
        <v>2.7040154393586571</v>
      </c>
      <c r="AF3" s="5"/>
      <c r="AG3" s="5">
        <f>F3/M3</f>
        <v>16.61617433000335</v>
      </c>
      <c r="AH3" s="5">
        <f>T3/P3</f>
        <v>0.70079579209918708</v>
      </c>
      <c r="AI3" s="5">
        <f>AA3/P3</f>
        <v>9.6257455620639636</v>
      </c>
      <c r="AJ3" s="5">
        <f>Y3/M3</f>
        <v>7.5888193666094592</v>
      </c>
      <c r="AK3" s="5">
        <f>F3/W3</f>
        <v>0.50169249579149366</v>
      </c>
      <c r="AL3" s="5">
        <f>AC3/T3</f>
        <v>2.8732515611057274</v>
      </c>
      <c r="AM3" s="5">
        <f>F3/T3</f>
        <v>5.030947318835735</v>
      </c>
      <c r="AN3" s="5">
        <f>Y3/M3</f>
        <v>7.5888193666094592</v>
      </c>
      <c r="AO3" s="5">
        <f>E3/T3</f>
        <v>0.11916391288336847</v>
      </c>
      <c r="AP3" s="5">
        <f>AC3/P3</f>
        <v>2.013562603665314</v>
      </c>
      <c r="AQ3" s="5">
        <f>O3/R3</f>
        <v>1.888185597806874</v>
      </c>
      <c r="AR3" s="5">
        <f>AC3*4</f>
        <v>117.92843903057597</v>
      </c>
      <c r="AS3" s="5">
        <f>T3/E3</f>
        <v>8.3918023150074692</v>
      </c>
      <c r="AT3" s="5">
        <f>T3/AE3</f>
        <v>3.7946850852317757</v>
      </c>
      <c r="AU3" s="5">
        <f>S3/AE3</f>
        <v>0.27052194172791344</v>
      </c>
      <c r="AV3" s="5">
        <f>AD3/P3</f>
        <v>3.908153728490726</v>
      </c>
      <c r="AW3" s="5">
        <f>((BH3/79.87)*35000)/AA3</f>
        <v>2.8172336921072576</v>
      </c>
      <c r="AX3" s="5">
        <f>(AA3/BH3)*0.0001</f>
        <v>1.5554694517586683E-2</v>
      </c>
      <c r="AY3" s="5">
        <f>L3/Y3</f>
        <v>0.37954816375469386</v>
      </c>
      <c r="AZ3" s="5">
        <f>T3/V3</f>
        <v>4.178768303581033</v>
      </c>
      <c r="BA3" s="5">
        <f>BH3/L3</f>
        <v>0.10125618626928011</v>
      </c>
      <c r="BB3" s="5">
        <f>T3/F3</f>
        <v>0.19876972200762791</v>
      </c>
      <c r="BC3" s="5">
        <f>(BE3/94.2)*35000</f>
        <v>1792.7014982996502</v>
      </c>
      <c r="BD3" s="5">
        <f>T3/S3</f>
        <v>14.027272837810724</v>
      </c>
      <c r="BE3" s="5">
        <v>4.8249280325664872</v>
      </c>
      <c r="BF3" s="5">
        <v>73.889866999079061</v>
      </c>
      <c r="BG3" s="5">
        <v>16.876245435480836</v>
      </c>
      <c r="BH3" s="5">
        <v>0.90607951813756737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x14ac:dyDescent="0.2">
      <c r="A4" s="6">
        <v>2</v>
      </c>
      <c r="C4" s="5">
        <v>1311.8619348565874</v>
      </c>
      <c r="D4" s="5">
        <v>2.336179634753544</v>
      </c>
      <c r="E4" s="5">
        <v>6.5323934585831349</v>
      </c>
      <c r="F4" s="5">
        <v>76.448572468121824</v>
      </c>
      <c r="G4" s="5">
        <v>6.5576094936870222</v>
      </c>
      <c r="H4" s="5">
        <v>26.279874289847083</v>
      </c>
      <c r="I4" s="5">
        <v>18.919578235074383</v>
      </c>
      <c r="J4" s="5">
        <v>6.4792661184913403</v>
      </c>
      <c r="K4" s="5">
        <v>1.0833909767190508</v>
      </c>
      <c r="L4" s="5">
        <v>8.3627027738298363</v>
      </c>
      <c r="M4" s="5">
        <v>23.211886763421283</v>
      </c>
      <c r="N4" s="5">
        <v>17.252164769716622</v>
      </c>
      <c r="O4" s="5">
        <v>110.99808940274222</v>
      </c>
      <c r="P4" s="5">
        <v>16.851194346930217</v>
      </c>
      <c r="Q4" s="5">
        <v>2.2580011976786012</v>
      </c>
      <c r="R4" s="5">
        <v>119.25852229855315</v>
      </c>
      <c r="S4" s="5">
        <v>0.7125345048866828</v>
      </c>
      <c r="T4" s="5">
        <v>10.775951270526361</v>
      </c>
      <c r="U4" s="5">
        <v>0.31484733240190388</v>
      </c>
      <c r="V4" s="5">
        <v>2.6246212872782944</v>
      </c>
      <c r="W4" s="5">
        <v>112.52332793355899</v>
      </c>
      <c r="X4" s="5">
        <v>1.9225820763087842</v>
      </c>
      <c r="Y4" s="5">
        <v>29.370454834513559</v>
      </c>
      <c r="Z4" s="5">
        <v>202.71154255013568</v>
      </c>
      <c r="AA4" s="5">
        <v>233.06613953549368</v>
      </c>
      <c r="AB4" s="5"/>
      <c r="AC4" s="5">
        <v>30.895906436162804</v>
      </c>
      <c r="AD4" s="5">
        <v>60.71812913816251</v>
      </c>
      <c r="AE4" s="5">
        <v>3.1339587142085539</v>
      </c>
      <c r="AF4" s="5"/>
      <c r="AG4" s="5">
        <f t="shared" ref="AG4:AG18" si="0">F4/M4</f>
        <v>3.293509624930369</v>
      </c>
      <c r="AH4" s="5">
        <f t="shared" ref="AH4:AH18" si="1">T4/P4</f>
        <v>0.63947700374658711</v>
      </c>
      <c r="AI4" s="5">
        <f t="shared" ref="AI4:AI18" si="2">AA4/P4</f>
        <v>13.830838024721455</v>
      </c>
      <c r="AJ4" s="5">
        <f t="shared" ref="AJ4:AJ18" si="3">Y4/M4</f>
        <v>1.2653195810345468</v>
      </c>
      <c r="AK4" s="5">
        <f t="shared" ref="AK4:AK18" si="4">F4/W4</f>
        <v>0.67940198598873636</v>
      </c>
      <c r="AL4" s="5">
        <f t="shared" ref="AL4:AL18" si="5">AC4/T4</f>
        <v>2.8671163835593019</v>
      </c>
      <c r="AM4" s="5">
        <f t="shared" ref="AM4:AM18" si="6">F4/T4</f>
        <v>7.0943687985318462</v>
      </c>
      <c r="AN4" s="5">
        <f t="shared" ref="AN4:AN18" si="7">Y4/M4</f>
        <v>1.2653195810345468</v>
      </c>
      <c r="AO4" s="5">
        <f t="shared" ref="AO4:AO18" si="8">E4/T4</f>
        <v>0.60620109488153373</v>
      </c>
      <c r="AP4" s="5">
        <f t="shared" ref="AP4:AP18" si="9">AC4/P4</f>
        <v>1.8334549943512528</v>
      </c>
      <c r="AQ4" s="5">
        <f t="shared" ref="AQ4:AQ18" si="10">O4/R4</f>
        <v>0.93073507254155252</v>
      </c>
      <c r="AR4" s="5">
        <f t="shared" ref="AR4:AR18" si="11">AC4*4</f>
        <v>123.58362574465121</v>
      </c>
      <c r="AS4" s="5">
        <f t="shared" ref="AS4:AS18" si="12">T4/E4</f>
        <v>1.6496176078260367</v>
      </c>
      <c r="AT4" s="5">
        <f t="shared" ref="AT4:AT18" si="13">T4/AE4</f>
        <v>3.4384471057870036</v>
      </c>
      <c r="AU4" s="5">
        <f t="shared" ref="AU4:AU18" si="14">S4/AE4</f>
        <v>0.22735925066792892</v>
      </c>
      <c r="AV4" s="5">
        <f t="shared" ref="AV4:AV18" si="15">AD4/P4</f>
        <v>3.6031944020171802</v>
      </c>
      <c r="AW4" s="5">
        <f t="shared" ref="AW4:AW18" si="16">((BH4/79.87)*35000)/AA4</f>
        <v>1.618137208747954</v>
      </c>
      <c r="AX4" s="5">
        <f t="shared" ref="AX4:AX18" si="17">(AA4/BH4)*0.0001</f>
        <v>2.7081269269673518E-2</v>
      </c>
      <c r="AY4" s="5">
        <f t="shared" ref="AY4:AY18" si="18">L4/Y4</f>
        <v>0.28473181028176409</v>
      </c>
      <c r="AZ4" s="5">
        <f t="shared" ref="AZ4:AZ18" si="19">T4/V4</f>
        <v>4.1057166314843512</v>
      </c>
      <c r="BA4" s="5">
        <f t="shared" ref="BA4:BA18" si="20">BH4/L4</f>
        <v>0.10291140461625355</v>
      </c>
      <c r="BB4" s="5">
        <f t="shared" ref="BB4:BB18" si="21">T4/F4</f>
        <v>0.14095686711507674</v>
      </c>
      <c r="BC4" s="5">
        <f t="shared" ref="BC4:BC18" si="22">(BE4/94.2)*35000</f>
        <v>1305.7527684450438</v>
      </c>
      <c r="BD4" s="5">
        <f t="shared" ref="BD4:BD18" si="23">T4/S4</f>
        <v>15.12340973892921</v>
      </c>
      <c r="BE4" s="5">
        <v>3.5143403082149463</v>
      </c>
      <c r="BF4" s="5">
        <v>71.172751426633937</v>
      </c>
      <c r="BG4" s="5">
        <v>16.94243007068118</v>
      </c>
      <c r="BH4" s="5">
        <v>0.8606174888430681</v>
      </c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x14ac:dyDescent="0.2">
      <c r="A5" s="6">
        <v>3</v>
      </c>
      <c r="C5" s="5">
        <v>1124.0155566358776</v>
      </c>
      <c r="D5" s="5">
        <v>2.6354549343690308</v>
      </c>
      <c r="E5" s="5">
        <v>11.922354950860461</v>
      </c>
      <c r="F5" s="5">
        <v>58.443880342935778</v>
      </c>
      <c r="G5" s="5">
        <v>7.2813096405128421</v>
      </c>
      <c r="H5" s="5">
        <v>31.785657838784626</v>
      </c>
      <c r="I5" s="5">
        <v>16.840834766570989</v>
      </c>
      <c r="J5" s="5">
        <v>4.9016637203180951</v>
      </c>
      <c r="K5" s="5">
        <v>1.0364993925147996</v>
      </c>
      <c r="L5" s="5">
        <v>8.1258741758870645</v>
      </c>
      <c r="M5" s="5">
        <v>25.820516955239199</v>
      </c>
      <c r="N5" s="5">
        <v>14.887801241387772</v>
      </c>
      <c r="O5" s="5">
        <v>116.71860576436637</v>
      </c>
      <c r="P5" s="5">
        <v>17.58385497070979</v>
      </c>
      <c r="Q5" s="5">
        <v>2.2158436161190278</v>
      </c>
      <c r="R5" s="5">
        <v>110.61077110321118</v>
      </c>
      <c r="S5" s="5">
        <v>0.68159813282577653</v>
      </c>
      <c r="T5" s="5">
        <v>9.6246312659902742</v>
      </c>
      <c r="U5" s="5">
        <v>0.53605472542565535</v>
      </c>
      <c r="V5" s="5">
        <v>2.3895952521866826</v>
      </c>
      <c r="W5" s="5">
        <v>112.52332793355899</v>
      </c>
      <c r="X5" s="5">
        <v>3.591614906832298</v>
      </c>
      <c r="Y5" s="5">
        <v>35.995068497357842</v>
      </c>
      <c r="Z5" s="5">
        <v>142.61650191865388</v>
      </c>
      <c r="AA5" s="5">
        <v>167.88490243154453</v>
      </c>
      <c r="AB5" s="5"/>
      <c r="AC5" s="5">
        <v>28.028766318886898</v>
      </c>
      <c r="AD5" s="5">
        <v>58.111214891565965</v>
      </c>
      <c r="AE5" s="5">
        <v>3.1378147077049658</v>
      </c>
      <c r="AF5" s="5"/>
      <c r="AG5" s="5">
        <f t="shared" si="0"/>
        <v>2.2634667014703989</v>
      </c>
      <c r="AH5" s="5">
        <f t="shared" si="1"/>
        <v>0.54735615608877863</v>
      </c>
      <c r="AI5" s="5">
        <f t="shared" si="2"/>
        <v>9.5476732895714775</v>
      </c>
      <c r="AJ5" s="5">
        <f t="shared" si="3"/>
        <v>1.394049102880341</v>
      </c>
      <c r="AK5" s="5">
        <f t="shared" si="4"/>
        <v>0.5193934574832767</v>
      </c>
      <c r="AL5" s="5">
        <f t="shared" si="5"/>
        <v>2.9121911836695213</v>
      </c>
      <c r="AM5" s="5">
        <f t="shared" si="6"/>
        <v>6.0723240951010613</v>
      </c>
      <c r="AN5" s="5">
        <f t="shared" si="7"/>
        <v>1.394049102880341</v>
      </c>
      <c r="AO5" s="5">
        <f t="shared" si="8"/>
        <v>1.2387336845817101</v>
      </c>
      <c r="AP5" s="5">
        <f t="shared" si="9"/>
        <v>1.5940057720889795</v>
      </c>
      <c r="AQ5" s="5">
        <f t="shared" si="10"/>
        <v>1.0552191671772722</v>
      </c>
      <c r="AR5" s="5">
        <f t="shared" si="11"/>
        <v>112.11506527554759</v>
      </c>
      <c r="AS5" s="5">
        <f t="shared" si="12"/>
        <v>0.80727602102600082</v>
      </c>
      <c r="AT5" s="5">
        <f t="shared" si="13"/>
        <v>3.0673038922141584</v>
      </c>
      <c r="AU5" s="5">
        <f t="shared" si="14"/>
        <v>0.21722064440328451</v>
      </c>
      <c r="AV5" s="5">
        <f t="shared" si="15"/>
        <v>3.3048051743127091</v>
      </c>
      <c r="AW5" s="5">
        <f t="shared" si="16"/>
        <v>2.2497165921172981</v>
      </c>
      <c r="AX5" s="5">
        <f t="shared" si="17"/>
        <v>1.947854659512439E-2</v>
      </c>
      <c r="AY5" s="5">
        <f t="shared" si="18"/>
        <v>0.22574965169141242</v>
      </c>
      <c r="AZ5" s="5">
        <f t="shared" si="19"/>
        <v>4.0277244680591489</v>
      </c>
      <c r="BA5" s="5">
        <f t="shared" si="20"/>
        <v>0.10606815162727637</v>
      </c>
      <c r="BB5" s="5">
        <f t="shared" si="21"/>
        <v>0.16468159214472181</v>
      </c>
      <c r="BC5" s="5">
        <f t="shared" si="22"/>
        <v>1287.4925778140444</v>
      </c>
      <c r="BD5" s="5">
        <f t="shared" si="23"/>
        <v>14.120683145196391</v>
      </c>
      <c r="BE5" s="5">
        <v>3.4651943094309421</v>
      </c>
      <c r="BF5" s="5">
        <v>71.702591901946519</v>
      </c>
      <c r="BG5" s="5">
        <v>15.926368123616276</v>
      </c>
      <c r="BH5" s="5">
        <v>0.86189645419215855</v>
      </c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</row>
    <row r="6" spans="1:71" x14ac:dyDescent="0.2">
      <c r="A6" s="6">
        <v>4</v>
      </c>
      <c r="C6" s="5">
        <v>1276.1302868254741</v>
      </c>
      <c r="D6" s="5">
        <v>2.7128186172628297</v>
      </c>
      <c r="E6" s="5">
        <v>21.811912808650085</v>
      </c>
      <c r="F6" s="5">
        <v>57.075563117456902</v>
      </c>
      <c r="G6" s="5">
        <v>6.9750909389307605</v>
      </c>
      <c r="H6" s="5">
        <v>27.399017225384299</v>
      </c>
      <c r="I6" s="5">
        <v>17.4534113442459</v>
      </c>
      <c r="J6" s="5">
        <v>4.8428051598969528</v>
      </c>
      <c r="K6" s="5">
        <v>1.0706911726637329</v>
      </c>
      <c r="L6" s="5">
        <v>8.9356117887702364</v>
      </c>
      <c r="M6" s="5">
        <v>23.930490552110747</v>
      </c>
      <c r="N6" s="5">
        <v>20.010588886100283</v>
      </c>
      <c r="O6" s="5">
        <v>102.86893457306581</v>
      </c>
      <c r="P6" s="5">
        <v>18.511128572680818</v>
      </c>
      <c r="Q6" s="5">
        <v>2.1932224747943789</v>
      </c>
      <c r="R6" s="5">
        <v>377.28328470840756</v>
      </c>
      <c r="S6" s="5">
        <v>0.7145303998583542</v>
      </c>
      <c r="T6" s="5">
        <v>9.7690512314715559</v>
      </c>
      <c r="U6" s="5">
        <v>0.31620443297260176</v>
      </c>
      <c r="V6" s="5">
        <v>2.4013957225678513</v>
      </c>
      <c r="W6" s="5">
        <v>100.48874740590561</v>
      </c>
      <c r="X6" s="5">
        <v>1.9994454303460516</v>
      </c>
      <c r="Y6" s="5">
        <v>47.723236492604826</v>
      </c>
      <c r="Z6" s="5">
        <v>301.05770759002428</v>
      </c>
      <c r="AA6" s="5">
        <v>164.12249092944452</v>
      </c>
      <c r="AB6" s="5"/>
      <c r="AC6" s="5">
        <v>163.6247204859182</v>
      </c>
      <c r="AD6" s="5">
        <v>336.5016895319452</v>
      </c>
      <c r="AE6" s="5">
        <v>3.6583738297205359</v>
      </c>
      <c r="AF6" s="5"/>
      <c r="AG6" s="5">
        <f t="shared" si="0"/>
        <v>2.3850561271683857</v>
      </c>
      <c r="AH6" s="5">
        <f t="shared" si="1"/>
        <v>0.52773936462679882</v>
      </c>
      <c r="AI6" s="5">
        <f t="shared" si="2"/>
        <v>8.8661526111195919</v>
      </c>
      <c r="AJ6" s="5">
        <f t="shared" si="3"/>
        <v>1.9942439704143666</v>
      </c>
      <c r="AK6" s="5">
        <f t="shared" si="4"/>
        <v>0.56797964539164547</v>
      </c>
      <c r="AL6" s="5">
        <f t="shared" si="5"/>
        <v>16.749294952901039</v>
      </c>
      <c r="AM6" s="5">
        <f t="shared" si="6"/>
        <v>5.8424878491357193</v>
      </c>
      <c r="AN6" s="5">
        <f t="shared" si="7"/>
        <v>1.9942439704143666</v>
      </c>
      <c r="AO6" s="5">
        <f t="shared" si="8"/>
        <v>2.2327565176832898</v>
      </c>
      <c r="AP6" s="5">
        <f t="shared" si="9"/>
        <v>8.8392622763908424</v>
      </c>
      <c r="AQ6" s="5">
        <f t="shared" si="10"/>
        <v>0.27265701594113967</v>
      </c>
      <c r="AR6" s="5">
        <f t="shared" si="11"/>
        <v>654.49888194367281</v>
      </c>
      <c r="AS6" s="5">
        <f t="shared" si="12"/>
        <v>0.44787686972585838</v>
      </c>
      <c r="AT6" s="5">
        <f t="shared" si="13"/>
        <v>2.6703261301805825</v>
      </c>
      <c r="AU6" s="5">
        <f t="shared" si="14"/>
        <v>0.19531366479104115</v>
      </c>
      <c r="AV6" s="5">
        <f t="shared" si="15"/>
        <v>18.178345432085795</v>
      </c>
      <c r="AW6" s="5">
        <f t="shared" si="16"/>
        <v>2.4688338741462221</v>
      </c>
      <c r="AX6" s="5">
        <f t="shared" si="17"/>
        <v>1.774976029139895E-2</v>
      </c>
      <c r="AY6" s="5">
        <f t="shared" si="18"/>
        <v>0.18723817673503546</v>
      </c>
      <c r="AZ6" s="5">
        <f t="shared" si="19"/>
        <v>4.0680722213602314</v>
      </c>
      <c r="BA6" s="5">
        <f t="shared" si="20"/>
        <v>0.10347878361909756</v>
      </c>
      <c r="BB6" s="5">
        <f t="shared" si="21"/>
        <v>0.1711599623006371</v>
      </c>
      <c r="BC6" s="5">
        <f t="shared" si="22"/>
        <v>1176.8195807348391</v>
      </c>
      <c r="BD6" s="5">
        <f t="shared" si="23"/>
        <v>13.671988250476307</v>
      </c>
      <c r="BE6" s="5">
        <v>3.1673258430063385</v>
      </c>
      <c r="BF6" s="5">
        <v>72.895662565144846</v>
      </c>
      <c r="BG6" s="5">
        <v>18.383270703421552</v>
      </c>
      <c r="BH6" s="5">
        <v>0.92464623879441254</v>
      </c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x14ac:dyDescent="0.2">
      <c r="A7" s="6">
        <v>5</v>
      </c>
      <c r="C7" s="5">
        <v>832.03694701020913</v>
      </c>
      <c r="D7" s="5">
        <v>2.2537262358798893</v>
      </c>
      <c r="E7" s="5">
        <v>14.077119869515547</v>
      </c>
      <c r="F7" s="5">
        <v>56.858994923496219</v>
      </c>
      <c r="G7" s="5">
        <v>8.8941271105818114</v>
      </c>
      <c r="H7" s="5">
        <v>31.316017499764545</v>
      </c>
      <c r="I7" s="5">
        <v>17.563875973006951</v>
      </c>
      <c r="J7" s="5">
        <v>4.8910498815536272</v>
      </c>
      <c r="K7" s="5">
        <v>0.80204147149354432</v>
      </c>
      <c r="L7" s="5">
        <v>7.9509551284438551</v>
      </c>
      <c r="M7" s="5">
        <v>20.967480409706251</v>
      </c>
      <c r="N7" s="5">
        <v>20.519984280415038</v>
      </c>
      <c r="O7" s="5">
        <v>135.98771350878457</v>
      </c>
      <c r="P7" s="5">
        <v>21.075440755909327</v>
      </c>
      <c r="Q7" s="5">
        <v>2.5500195675058883</v>
      </c>
      <c r="R7" s="5">
        <v>122.27517969227709</v>
      </c>
      <c r="S7" s="5">
        <v>0.68958171271246194</v>
      </c>
      <c r="T7" s="5">
        <v>10.907242148236618</v>
      </c>
      <c r="U7" s="5">
        <v>0.71247779961637736</v>
      </c>
      <c r="V7" s="5">
        <v>2.8606306949016704</v>
      </c>
      <c r="W7" s="5">
        <v>116.53485477611011</v>
      </c>
      <c r="X7" s="5">
        <v>2.5175244010647733</v>
      </c>
      <c r="Y7" s="5">
        <v>39.067208066078685</v>
      </c>
      <c r="Z7" s="5">
        <v>95.268599954237601</v>
      </c>
      <c r="AA7" s="5">
        <v>166.3596004712337</v>
      </c>
      <c r="AB7" s="5"/>
      <c r="AC7" s="5">
        <v>32.37890994509862</v>
      </c>
      <c r="AD7" s="5">
        <v>67.320314260769095</v>
      </c>
      <c r="AE7" s="5">
        <v>3.6699418102097709</v>
      </c>
      <c r="AF7" s="5"/>
      <c r="AG7" s="5">
        <f t="shared" si="0"/>
        <v>2.7117705042507203</v>
      </c>
      <c r="AH7" s="5">
        <f t="shared" si="1"/>
        <v>0.51753328789474284</v>
      </c>
      <c r="AI7" s="5">
        <f t="shared" si="2"/>
        <v>7.8935288897618081</v>
      </c>
      <c r="AJ7" s="5">
        <f t="shared" si="3"/>
        <v>1.8632285473839632</v>
      </c>
      <c r="AK7" s="5">
        <f t="shared" si="4"/>
        <v>0.48791406684922933</v>
      </c>
      <c r="AL7" s="5">
        <f t="shared" si="5"/>
        <v>2.9685698277390258</v>
      </c>
      <c r="AM7" s="5">
        <f t="shared" si="6"/>
        <v>5.2129579733121316</v>
      </c>
      <c r="AN7" s="5">
        <f t="shared" si="7"/>
        <v>1.8632285473839632</v>
      </c>
      <c r="AO7" s="5">
        <f t="shared" si="8"/>
        <v>1.2906213759810408</v>
      </c>
      <c r="AP7" s="5">
        <f t="shared" si="9"/>
        <v>1.5363337032949085</v>
      </c>
      <c r="AQ7" s="5">
        <f t="shared" si="10"/>
        <v>1.11214486742949</v>
      </c>
      <c r="AR7" s="5">
        <f t="shared" si="11"/>
        <v>129.51563978039448</v>
      </c>
      <c r="AS7" s="5">
        <f t="shared" si="12"/>
        <v>0.77482057759958411</v>
      </c>
      <c r="AT7" s="5">
        <f t="shared" si="13"/>
        <v>2.97204770873824</v>
      </c>
      <c r="AU7" s="5">
        <f t="shared" si="14"/>
        <v>0.1878999036971232</v>
      </c>
      <c r="AV7" s="5">
        <f t="shared" si="15"/>
        <v>3.1942541577401271</v>
      </c>
      <c r="AW7" s="5">
        <f t="shared" si="16"/>
        <v>2.0933457265159801</v>
      </c>
      <c r="AX7" s="5">
        <f t="shared" si="17"/>
        <v>2.0933574855938508E-2</v>
      </c>
      <c r="AY7" s="5">
        <f t="shared" si="18"/>
        <v>0.20351992174602102</v>
      </c>
      <c r="AZ7" s="5">
        <f t="shared" si="19"/>
        <v>3.8128802042416514</v>
      </c>
      <c r="BA7" s="5">
        <f t="shared" si="20"/>
        <v>9.9950544977464556E-2</v>
      </c>
      <c r="BB7" s="5">
        <f t="shared" si="21"/>
        <v>0.19182966851440678</v>
      </c>
      <c r="BC7" s="5">
        <f t="shared" si="22"/>
        <v>1537.5649750248876</v>
      </c>
      <c r="BD7" s="5">
        <f t="shared" si="23"/>
        <v>15.817185907284436</v>
      </c>
      <c r="BE7" s="5">
        <v>4.138246304209841</v>
      </c>
      <c r="BF7" s="5">
        <v>65.645454618172224</v>
      </c>
      <c r="BG7" s="5">
        <v>15.55178018180955</v>
      </c>
      <c r="BH7" s="5">
        <v>0.79470229817933002</v>
      </c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x14ac:dyDescent="0.2">
      <c r="A8" s="6">
        <v>6</v>
      </c>
      <c r="C8" s="5">
        <v>462.77588721438991</v>
      </c>
      <c r="D8" s="5">
        <v>1.6846959893320763</v>
      </c>
      <c r="E8" s="5">
        <v>9.0002091295711324</v>
      </c>
      <c r="F8" s="5">
        <v>54.417680737030317</v>
      </c>
      <c r="G8" s="5">
        <v>5.8299708426607904</v>
      </c>
      <c r="H8" s="5">
        <v>22.063103586305079</v>
      </c>
      <c r="I8" s="5">
        <v>15.726146239982212</v>
      </c>
      <c r="J8" s="5">
        <v>5.4294609752421108</v>
      </c>
      <c r="K8" s="5">
        <v>1.2650958655105236</v>
      </c>
      <c r="L8" s="5">
        <v>7.8064995106115429</v>
      </c>
      <c r="M8" s="5">
        <v>17.837124179524753</v>
      </c>
      <c r="N8" s="5">
        <v>17.031106391051729</v>
      </c>
      <c r="O8" s="5">
        <v>120.83336314728902</v>
      </c>
      <c r="P8" s="5">
        <v>13.909104029565363</v>
      </c>
      <c r="Q8" s="5">
        <v>2.4790714424422164</v>
      </c>
      <c r="R8" s="5">
        <v>108.19744518823202</v>
      </c>
      <c r="S8" s="5">
        <v>0.65664944567988426</v>
      </c>
      <c r="T8" s="5">
        <v>10.755752673955554</v>
      </c>
      <c r="U8" s="5">
        <v>0.45598579175448151</v>
      </c>
      <c r="V8" s="5">
        <v>2.7268920305817574</v>
      </c>
      <c r="W8" s="5">
        <v>83.289326068467673</v>
      </c>
      <c r="X8" s="5">
        <v>2.1621561668145519</v>
      </c>
      <c r="Y8" s="5">
        <v>28.269688213799252</v>
      </c>
      <c r="Z8" s="5">
        <v>114.55920508101536</v>
      </c>
      <c r="AA8" s="5">
        <v>192.39142059387174</v>
      </c>
      <c r="AB8" s="5"/>
      <c r="AC8" s="5">
        <v>26.456782599414936</v>
      </c>
      <c r="AD8" s="5">
        <v>54.205837610266158</v>
      </c>
      <c r="AE8" s="5">
        <v>2.8090912621358743</v>
      </c>
      <c r="AF8" s="5"/>
      <c r="AG8" s="5">
        <f t="shared" si="0"/>
        <v>3.0508102197043852</v>
      </c>
      <c r="AH8" s="5">
        <f t="shared" si="1"/>
        <v>0.77328867848662242</v>
      </c>
      <c r="AI8" s="5">
        <f t="shared" si="2"/>
        <v>13.832049870712174</v>
      </c>
      <c r="AJ8" s="5">
        <f t="shared" si="3"/>
        <v>1.5848792624457952</v>
      </c>
      <c r="AK8" s="5">
        <f t="shared" si="4"/>
        <v>0.65335719840374828</v>
      </c>
      <c r="AL8" s="5">
        <f t="shared" si="5"/>
        <v>2.4597797477696317</v>
      </c>
      <c r="AM8" s="5">
        <f t="shared" si="6"/>
        <v>5.0594023855531418</v>
      </c>
      <c r="AN8" s="5">
        <f t="shared" si="7"/>
        <v>1.5848792624457952</v>
      </c>
      <c r="AO8" s="5">
        <f t="shared" si="8"/>
        <v>0.83678096758069098</v>
      </c>
      <c r="AP8" s="5">
        <f t="shared" si="9"/>
        <v>1.9021198305209359</v>
      </c>
      <c r="AQ8" s="5">
        <f t="shared" si="10"/>
        <v>1.1167857331295963</v>
      </c>
      <c r="AR8" s="5">
        <f t="shared" si="11"/>
        <v>105.82713039765974</v>
      </c>
      <c r="AS8" s="5">
        <f t="shared" si="12"/>
        <v>1.1950558613817537</v>
      </c>
      <c r="AT8" s="5">
        <f t="shared" si="13"/>
        <v>3.8289082376688208</v>
      </c>
      <c r="AU8" s="5">
        <f t="shared" si="14"/>
        <v>0.23375867296693134</v>
      </c>
      <c r="AV8" s="5">
        <f t="shared" si="15"/>
        <v>3.8971480474260285</v>
      </c>
      <c r="AW8" s="5">
        <f t="shared" si="16"/>
        <v>1.6776584454564647</v>
      </c>
      <c r="AX8" s="5">
        <f t="shared" si="17"/>
        <v>2.6120459491656641E-2</v>
      </c>
      <c r="AY8" s="5">
        <f t="shared" si="18"/>
        <v>0.27614381352819323</v>
      </c>
      <c r="AZ8" s="5">
        <f t="shared" si="19"/>
        <v>3.9443265642097729</v>
      </c>
      <c r="BA8" s="5">
        <f t="shared" si="20"/>
        <v>9.4351444205340904E-2</v>
      </c>
      <c r="BB8" s="5">
        <f t="shared" si="21"/>
        <v>0.1976518022870542</v>
      </c>
      <c r="BC8" s="5">
        <f t="shared" si="22"/>
        <v>1489.3438988600451</v>
      </c>
      <c r="BD8" s="5">
        <f t="shared" si="23"/>
        <v>16.379748349317833</v>
      </c>
      <c r="BE8" s="5">
        <v>4.00846272207475</v>
      </c>
      <c r="BF8" s="5">
        <v>71.809828428139625</v>
      </c>
      <c r="BG8" s="5">
        <v>15.967304134398409</v>
      </c>
      <c r="BH8" s="5">
        <v>0.73655450301448611</v>
      </c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x14ac:dyDescent="0.2">
      <c r="A9" s="6">
        <v>7</v>
      </c>
      <c r="C9" s="5">
        <v>532.70782693242586</v>
      </c>
      <c r="D9" s="5">
        <v>1.7447546378943679</v>
      </c>
      <c r="E9" s="5">
        <v>10.753496622344729</v>
      </c>
      <c r="F9" s="5">
        <v>53.256087696695737</v>
      </c>
      <c r="G9" s="5">
        <v>5.8348939729113054</v>
      </c>
      <c r="H9" s="5">
        <v>32.64499973571499</v>
      </c>
      <c r="I9" s="5">
        <v>16.368849534591956</v>
      </c>
      <c r="J9" s="5">
        <v>4.4896537973700976</v>
      </c>
      <c r="K9" s="5">
        <v>1.0316148524935236</v>
      </c>
      <c r="L9" s="5">
        <v>7.4350422076141651</v>
      </c>
      <c r="M9" s="5">
        <v>18.654166843377155</v>
      </c>
      <c r="N9" s="5">
        <v>14.368794613218023</v>
      </c>
      <c r="O9" s="5">
        <v>97.720469847604079</v>
      </c>
      <c r="P9" s="5">
        <v>17.995976571585803</v>
      </c>
      <c r="Q9" s="5">
        <v>2.2837070400929753</v>
      </c>
      <c r="R9" s="5">
        <v>105.48245353388049</v>
      </c>
      <c r="S9" s="5">
        <v>0.62671102110481347</v>
      </c>
      <c r="T9" s="5">
        <v>8.9287896141259182</v>
      </c>
      <c r="U9" s="5">
        <v>0.33384674039167395</v>
      </c>
      <c r="V9" s="5">
        <v>2.2548732153350053</v>
      </c>
      <c r="W9" s="5">
        <v>110.21669999909209</v>
      </c>
      <c r="X9" s="5">
        <v>3.643522626441881</v>
      </c>
      <c r="Y9" s="5">
        <v>30.711388717929172</v>
      </c>
      <c r="Z9" s="5">
        <v>97.375324318863051</v>
      </c>
      <c r="AA9" s="5">
        <v>158.63140387232556</v>
      </c>
      <c r="AB9" s="5"/>
      <c r="AC9" s="5">
        <v>24.88479887994297</v>
      </c>
      <c r="AD9" s="5">
        <v>51.4790652373893</v>
      </c>
      <c r="AE9" s="5">
        <v>3.019242907690308</v>
      </c>
      <c r="AF9" s="5"/>
      <c r="AG9" s="5">
        <f t="shared" si="0"/>
        <v>2.854916445416237</v>
      </c>
      <c r="AH9" s="5">
        <f t="shared" si="1"/>
        <v>0.49615476985137652</v>
      </c>
      <c r="AI9" s="5">
        <f t="shared" si="2"/>
        <v>8.8148260941166026</v>
      </c>
      <c r="AJ9" s="5">
        <f t="shared" si="3"/>
        <v>1.6463554215948664</v>
      </c>
      <c r="AK9" s="5">
        <f t="shared" si="4"/>
        <v>0.48319435890508822</v>
      </c>
      <c r="AL9" s="5">
        <f t="shared" si="5"/>
        <v>2.78702936852422</v>
      </c>
      <c r="AM9" s="5">
        <f t="shared" si="6"/>
        <v>5.964536067961685</v>
      </c>
      <c r="AN9" s="5">
        <f t="shared" si="7"/>
        <v>1.6463554215948664</v>
      </c>
      <c r="AO9" s="5">
        <f t="shared" si="8"/>
        <v>1.2043621909661761</v>
      </c>
      <c r="AP9" s="5">
        <f t="shared" si="9"/>
        <v>1.3827979149091616</v>
      </c>
      <c r="AQ9" s="5">
        <f t="shared" si="10"/>
        <v>0.92641445637417508</v>
      </c>
      <c r="AR9" s="5">
        <f t="shared" si="11"/>
        <v>99.53919551977188</v>
      </c>
      <c r="AS9" s="5">
        <f t="shared" si="12"/>
        <v>0.8303150061509067</v>
      </c>
      <c r="AT9" s="5">
        <f t="shared" si="13"/>
        <v>2.9572942247817871</v>
      </c>
      <c r="AU9" s="5">
        <f t="shared" si="14"/>
        <v>0.20757224253421908</v>
      </c>
      <c r="AV9" s="5">
        <f t="shared" si="15"/>
        <v>2.86058747812945</v>
      </c>
      <c r="AW9" s="5">
        <f t="shared" si="16"/>
        <v>2.3501641892258989</v>
      </c>
      <c r="AX9" s="5">
        <f t="shared" si="17"/>
        <v>1.8646020421158385E-2</v>
      </c>
      <c r="AY9" s="5">
        <f t="shared" si="18"/>
        <v>0.24209397614356726</v>
      </c>
      <c r="AZ9" s="5">
        <f t="shared" si="19"/>
        <v>3.9597745688772008</v>
      </c>
      <c r="BA9" s="5">
        <f t="shared" si="20"/>
        <v>0.11442464504904767</v>
      </c>
      <c r="BB9" s="5">
        <f t="shared" si="21"/>
        <v>0.16765763315129706</v>
      </c>
      <c r="BC9" s="5">
        <f t="shared" si="22"/>
        <v>1121.3633902379072</v>
      </c>
      <c r="BD9" s="5">
        <f t="shared" si="23"/>
        <v>14.247060149645325</v>
      </c>
      <c r="BE9" s="5">
        <v>3.0180694674403106</v>
      </c>
      <c r="BF9" s="5">
        <v>69.183394047181196</v>
      </c>
      <c r="BG9" s="5">
        <v>15.375069939099239</v>
      </c>
      <c r="BH9" s="5">
        <v>0.85075206553093863</v>
      </c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</row>
    <row r="10" spans="1:71" x14ac:dyDescent="0.2">
      <c r="A10" s="6">
        <v>8</v>
      </c>
      <c r="C10" s="5">
        <v>354.66212931453572</v>
      </c>
      <c r="D10" s="5">
        <v>1.8679257646068641</v>
      </c>
      <c r="E10" s="5">
        <v>9.342735439753568</v>
      </c>
      <c r="F10" s="5">
        <v>48.698311614704949</v>
      </c>
      <c r="G10" s="5">
        <v>9.4730872280424698</v>
      </c>
      <c r="H10" s="5">
        <v>29.197639800354818</v>
      </c>
      <c r="I10" s="5">
        <v>18.558057631856403</v>
      </c>
      <c r="J10" s="5">
        <v>3.4195858710250651</v>
      </c>
      <c r="K10" s="5">
        <v>0.64671309881696271</v>
      </c>
      <c r="L10" s="5">
        <v>6.4425240170656188</v>
      </c>
      <c r="M10" s="5">
        <v>19.028234568996325</v>
      </c>
      <c r="N10" s="5">
        <v>13.177001615198602</v>
      </c>
      <c r="O10" s="5">
        <v>136.69023306196647</v>
      </c>
      <c r="P10" s="5">
        <v>18.247828661010029</v>
      </c>
      <c r="Q10" s="5">
        <v>2.4482244315449675</v>
      </c>
      <c r="R10" s="5">
        <v>82.093303207874186</v>
      </c>
      <c r="S10" s="5">
        <v>0.62072333618979936</v>
      </c>
      <c r="T10" s="5">
        <v>9.4620325635952653</v>
      </c>
      <c r="U10" s="5">
        <v>0.44241478604750289</v>
      </c>
      <c r="V10" s="5">
        <v>1.8772581631376037</v>
      </c>
      <c r="W10" s="5">
        <v>100.9901882612245</v>
      </c>
      <c r="X10" s="5">
        <v>2.1142413487133984</v>
      </c>
      <c r="Y10" s="5">
        <v>23.146119942838112</v>
      </c>
      <c r="Z10" s="5">
        <v>116.11255023465624</v>
      </c>
      <c r="AA10" s="5">
        <v>111.55041669739816</v>
      </c>
      <c r="AB10" s="5"/>
      <c r="AC10" s="5">
        <v>24.014770154700624</v>
      </c>
      <c r="AD10" s="5">
        <v>51.499041591769355</v>
      </c>
      <c r="AE10" s="5">
        <v>2.4340958946098428</v>
      </c>
      <c r="AF10" s="5"/>
      <c r="AG10" s="5">
        <f t="shared" si="0"/>
        <v>2.559265886602617</v>
      </c>
      <c r="AH10" s="5">
        <f t="shared" si="1"/>
        <v>0.51852923103189286</v>
      </c>
      <c r="AI10" s="5">
        <f t="shared" si="2"/>
        <v>6.1130789185754981</v>
      </c>
      <c r="AJ10" s="5">
        <f t="shared" si="3"/>
        <v>1.216409218569928</v>
      </c>
      <c r="AK10" s="5">
        <f t="shared" si="4"/>
        <v>0.48220834571315296</v>
      </c>
      <c r="AL10" s="5">
        <f t="shared" si="5"/>
        <v>2.5380138985249689</v>
      </c>
      <c r="AM10" s="5">
        <f t="shared" si="6"/>
        <v>5.1467072521045276</v>
      </c>
      <c r="AN10" s="5">
        <f t="shared" si="7"/>
        <v>1.216409218569928</v>
      </c>
      <c r="AO10" s="5">
        <f t="shared" si="8"/>
        <v>0.98739201931087328</v>
      </c>
      <c r="AP10" s="5">
        <f t="shared" si="9"/>
        <v>1.3160343951504085</v>
      </c>
      <c r="AQ10" s="5">
        <f t="shared" si="10"/>
        <v>1.665059483790579</v>
      </c>
      <c r="AR10" s="5">
        <f t="shared" si="11"/>
        <v>96.059080618802497</v>
      </c>
      <c r="AS10" s="5">
        <f t="shared" si="12"/>
        <v>1.0127689716369452</v>
      </c>
      <c r="AT10" s="5">
        <f t="shared" si="13"/>
        <v>3.8872883293334337</v>
      </c>
      <c r="AU10" s="5">
        <f t="shared" si="14"/>
        <v>0.25501186603385406</v>
      </c>
      <c r="AV10" s="5">
        <f t="shared" si="15"/>
        <v>2.8222010710680823</v>
      </c>
      <c r="AW10" s="5">
        <f t="shared" si="16"/>
        <v>3.2170360095629396</v>
      </c>
      <c r="AX10" s="5">
        <f t="shared" si="17"/>
        <v>1.3621609871670262E-2</v>
      </c>
      <c r="AY10" s="5">
        <f t="shared" si="18"/>
        <v>0.27834142538689594</v>
      </c>
      <c r="AZ10" s="5">
        <f t="shared" si="19"/>
        <v>5.040347006817993</v>
      </c>
      <c r="BA10" s="5">
        <f t="shared" si="20"/>
        <v>0.12711204709696841</v>
      </c>
      <c r="BB10" s="5">
        <f t="shared" si="21"/>
        <v>0.19429898593728881</v>
      </c>
      <c r="BC10" s="5">
        <f t="shared" si="22"/>
        <v>1282.0068602935046</v>
      </c>
      <c r="BD10" s="5">
        <f t="shared" si="23"/>
        <v>15.243558622552008</v>
      </c>
      <c r="BE10" s="5">
        <v>3.4504298925613757</v>
      </c>
      <c r="BF10" s="5">
        <v>70.553539553415419</v>
      </c>
      <c r="BG10" s="5">
        <v>17.763148194047751</v>
      </c>
      <c r="BH10" s="5">
        <v>0.81892241628059503</v>
      </c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</row>
    <row r="11" spans="1:71" x14ac:dyDescent="0.2">
      <c r="A11" s="6">
        <v>9</v>
      </c>
      <c r="C11" s="5">
        <v>399.68400583373847</v>
      </c>
      <c r="D11" s="5">
        <v>1.7457725810903391</v>
      </c>
      <c r="E11" s="5">
        <v>6.3250481550899096</v>
      </c>
      <c r="F11" s="5">
        <v>62.529144001739617</v>
      </c>
      <c r="G11" s="5">
        <v>8.0808259931966067</v>
      </c>
      <c r="H11" s="5">
        <v>27.069269753306369</v>
      </c>
      <c r="I11" s="5">
        <v>17.192313130810692</v>
      </c>
      <c r="J11" s="5">
        <v>4.813858326902948</v>
      </c>
      <c r="K11" s="5">
        <v>0.87433266380843144</v>
      </c>
      <c r="L11" s="5">
        <v>8.4875045661067343</v>
      </c>
      <c r="M11" s="5">
        <v>15.002084574832077</v>
      </c>
      <c r="N11" s="5">
        <v>11.802595173934268</v>
      </c>
      <c r="O11" s="5">
        <v>114.51068716865178</v>
      </c>
      <c r="P11" s="5">
        <v>16.885537813669885</v>
      </c>
      <c r="Q11" s="5">
        <v>2.5130031544291902</v>
      </c>
      <c r="R11" s="5">
        <v>96.020204842233056</v>
      </c>
      <c r="S11" s="5">
        <v>0.70854271494334009</v>
      </c>
      <c r="T11" s="5">
        <v>10.876944253380405</v>
      </c>
      <c r="U11" s="5">
        <v>0.40034466835586913</v>
      </c>
      <c r="V11" s="5">
        <v>2.4987496032124938</v>
      </c>
      <c r="W11" s="5">
        <v>117.036295631429</v>
      </c>
      <c r="X11" s="5">
        <v>1.9096051464063886</v>
      </c>
      <c r="Y11" s="5">
        <v>29.340433926675896</v>
      </c>
      <c r="Z11" s="5">
        <v>87.17178834088449</v>
      </c>
      <c r="AA11" s="5">
        <v>172.76586870453917</v>
      </c>
      <c r="AB11" s="5"/>
      <c r="AC11" s="5">
        <v>26.77315668132124</v>
      </c>
      <c r="AD11" s="5">
        <v>54.445553862826749</v>
      </c>
      <c r="AE11" s="5">
        <v>2.7859553011574043</v>
      </c>
      <c r="AF11" s="5"/>
      <c r="AG11" s="5">
        <f t="shared" si="0"/>
        <v>4.1680303620365056</v>
      </c>
      <c r="AH11" s="5">
        <f t="shared" si="1"/>
        <v>0.64415740697195012</v>
      </c>
      <c r="AI11" s="5">
        <f t="shared" si="2"/>
        <v>10.231588156148307</v>
      </c>
      <c r="AJ11" s="5">
        <f t="shared" si="3"/>
        <v>1.9557571336384971</v>
      </c>
      <c r="AK11" s="5">
        <f t="shared" si="4"/>
        <v>0.53427138704608834</v>
      </c>
      <c r="AL11" s="5">
        <f t="shared" si="5"/>
        <v>2.4614594005113624</v>
      </c>
      <c r="AM11" s="5">
        <f t="shared" si="6"/>
        <v>5.7487785673174177</v>
      </c>
      <c r="AN11" s="5">
        <f t="shared" si="7"/>
        <v>1.9557571336384971</v>
      </c>
      <c r="AO11" s="5">
        <f t="shared" si="8"/>
        <v>0.58150966004300075</v>
      </c>
      <c r="AP11" s="5">
        <f t="shared" si="9"/>
        <v>1.58556730480013</v>
      </c>
      <c r="AQ11" s="5">
        <f t="shared" si="10"/>
        <v>1.1925686615311819</v>
      </c>
      <c r="AR11" s="5">
        <f t="shared" si="11"/>
        <v>107.09262672528496</v>
      </c>
      <c r="AS11" s="5">
        <f t="shared" si="12"/>
        <v>1.7196618882067294</v>
      </c>
      <c r="AT11" s="5">
        <f t="shared" si="13"/>
        <v>3.9042063054140383</v>
      </c>
      <c r="AU11" s="5">
        <f t="shared" si="14"/>
        <v>0.25432666297588524</v>
      </c>
      <c r="AV11" s="5">
        <f t="shared" si="15"/>
        <v>3.2243896797145375</v>
      </c>
      <c r="AW11" s="5">
        <f t="shared" si="16"/>
        <v>2.1437094408488044</v>
      </c>
      <c r="AX11" s="5">
        <f t="shared" si="17"/>
        <v>2.0441767261159323E-2</v>
      </c>
      <c r="AY11" s="5">
        <f t="shared" si="18"/>
        <v>0.28927672260463805</v>
      </c>
      <c r="AZ11" s="5">
        <f t="shared" si="19"/>
        <v>4.3529548696662381</v>
      </c>
      <c r="BA11" s="5">
        <f t="shared" si="20"/>
        <v>9.9577103178578957E-2</v>
      </c>
      <c r="BB11" s="5">
        <f t="shared" si="21"/>
        <v>0.17394999447102297</v>
      </c>
      <c r="BC11" s="5">
        <f t="shared" si="22"/>
        <v>1197.3252256745593</v>
      </c>
      <c r="BD11" s="5">
        <f t="shared" si="23"/>
        <v>15.351148242700088</v>
      </c>
      <c r="BE11" s="5">
        <v>3.2225153216726712</v>
      </c>
      <c r="BF11" s="5">
        <v>71.075320958830233</v>
      </c>
      <c r="BG11" s="5">
        <v>17.150726188756366</v>
      </c>
      <c r="BH11" s="5">
        <v>0.8451611179078703</v>
      </c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</row>
    <row r="12" spans="1:71" x14ac:dyDescent="0.2">
      <c r="A12" s="6">
        <v>10</v>
      </c>
      <c r="C12" s="5">
        <v>540.05833738454066</v>
      </c>
      <c r="D12" s="5">
        <v>1.6877498189199893</v>
      </c>
      <c r="E12" s="5">
        <v>9.5653267214448245</v>
      </c>
      <c r="F12" s="5">
        <v>55.175669415892713</v>
      </c>
      <c r="G12" s="5">
        <v>7.0942306909932427</v>
      </c>
      <c r="H12" s="5">
        <v>33.973981971665431</v>
      </c>
      <c r="I12" s="5">
        <v>16.770539093723048</v>
      </c>
      <c r="J12" s="5">
        <v>4.466496330974894</v>
      </c>
      <c r="K12" s="5">
        <v>0.9642082001999126</v>
      </c>
      <c r="L12" s="5">
        <v>8.023674282998897</v>
      </c>
      <c r="M12" s="5">
        <v>18.979015131414858</v>
      </c>
      <c r="N12" s="5">
        <v>12.177433294279087</v>
      </c>
      <c r="O12" s="5">
        <v>109.39233042404071</v>
      </c>
      <c r="P12" s="5">
        <v>16.828298702437102</v>
      </c>
      <c r="Q12" s="5">
        <v>2.4122362521648446</v>
      </c>
      <c r="R12" s="5">
        <v>106.78967173782753</v>
      </c>
      <c r="S12" s="5">
        <v>0.66363507808073408</v>
      </c>
      <c r="T12" s="5">
        <v>9.511519125193745</v>
      </c>
      <c r="U12" s="5">
        <v>0.38541656207819264</v>
      </c>
      <c r="V12" s="5">
        <v>2.2863411363514556</v>
      </c>
      <c r="W12" s="5">
        <v>112.62361610462276</v>
      </c>
      <c r="X12" s="5">
        <v>2.1232253771073646</v>
      </c>
      <c r="Y12" s="5">
        <v>30.070942684059027</v>
      </c>
      <c r="Z12" s="5">
        <v>89.152303411776614</v>
      </c>
      <c r="AA12" s="5">
        <v>154.97067916757959</v>
      </c>
      <c r="AB12" s="5"/>
      <c r="AC12" s="5">
        <v>27.020323932810541</v>
      </c>
      <c r="AD12" s="5">
        <v>55.754005074720041</v>
      </c>
      <c r="AE12" s="5">
        <v>2.849579193848196</v>
      </c>
      <c r="AF12" s="5"/>
      <c r="AG12" s="5">
        <f t="shared" si="0"/>
        <v>2.9071934994436903</v>
      </c>
      <c r="AH12" s="5">
        <f t="shared" si="1"/>
        <v>0.56520978700100388</v>
      </c>
      <c r="AI12" s="5">
        <f t="shared" si="2"/>
        <v>9.2089332325160402</v>
      </c>
      <c r="AJ12" s="5">
        <f t="shared" si="3"/>
        <v>1.5844311454435982</v>
      </c>
      <c r="AK12" s="5">
        <f t="shared" si="4"/>
        <v>0.48991207460997133</v>
      </c>
      <c r="AL12" s="5">
        <f t="shared" si="5"/>
        <v>2.8408000422603523</v>
      </c>
      <c r="AM12" s="5">
        <f t="shared" si="6"/>
        <v>5.8009313433167087</v>
      </c>
      <c r="AN12" s="5">
        <f t="shared" si="7"/>
        <v>1.5844311454435982</v>
      </c>
      <c r="AO12" s="5">
        <f t="shared" si="8"/>
        <v>1.0056570980453119</v>
      </c>
      <c r="AP12" s="5">
        <f t="shared" si="9"/>
        <v>1.6056479867984166</v>
      </c>
      <c r="AQ12" s="5">
        <f t="shared" si="10"/>
        <v>1.0243718202693122</v>
      </c>
      <c r="AR12" s="5">
        <f t="shared" si="11"/>
        <v>108.08129573124216</v>
      </c>
      <c r="AS12" s="5">
        <f t="shared" si="12"/>
        <v>0.99437472468865629</v>
      </c>
      <c r="AT12" s="5">
        <f t="shared" si="13"/>
        <v>3.3378679721299394</v>
      </c>
      <c r="AU12" s="5">
        <f t="shared" si="14"/>
        <v>0.23288879969134402</v>
      </c>
      <c r="AV12" s="5">
        <f t="shared" si="15"/>
        <v>3.313110021433459</v>
      </c>
      <c r="AW12" s="5">
        <f t="shared" si="16"/>
        <v>2.4022089639811561</v>
      </c>
      <c r="AX12" s="5">
        <f t="shared" si="17"/>
        <v>1.8242047266677754E-2</v>
      </c>
      <c r="AY12" s="5">
        <f t="shared" si="18"/>
        <v>0.26682483377058691</v>
      </c>
      <c r="AZ12" s="5">
        <f t="shared" si="19"/>
        <v>4.1601487083297783</v>
      </c>
      <c r="BA12" s="5">
        <f t="shared" si="20"/>
        <v>0.10587725405463136</v>
      </c>
      <c r="BB12" s="5">
        <f t="shared" si="21"/>
        <v>0.17238611195633383</v>
      </c>
      <c r="BC12" s="5">
        <f t="shared" si="22"/>
        <v>1049.2914087142674</v>
      </c>
      <c r="BD12" s="5">
        <f t="shared" si="23"/>
        <v>14.332453843008924</v>
      </c>
      <c r="BE12" s="5">
        <v>2.8240928771681144</v>
      </c>
      <c r="BF12" s="5">
        <v>69.642307786147072</v>
      </c>
      <c r="BG12" s="5">
        <v>17.460270355142722</v>
      </c>
      <c r="BH12" s="5">
        <v>0.8495246005126863</v>
      </c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</row>
    <row r="13" spans="1:71" x14ac:dyDescent="0.2">
      <c r="A13" s="6">
        <v>11</v>
      </c>
      <c r="C13" s="5">
        <v>740.35974720466709</v>
      </c>
      <c r="D13" s="5">
        <v>1.8536745598632693</v>
      </c>
      <c r="E13" s="5">
        <v>5.8768163960677899</v>
      </c>
      <c r="F13" s="5">
        <v>63.887617218402099</v>
      </c>
      <c r="G13" s="5">
        <v>7.3187254304167624</v>
      </c>
      <c r="H13" s="5">
        <v>26.269881942208357</v>
      </c>
      <c r="I13" s="5">
        <v>17.674340601768005</v>
      </c>
      <c r="J13" s="5">
        <v>9.2967578632411119</v>
      </c>
      <c r="K13" s="5">
        <v>0.94662385612331845</v>
      </c>
      <c r="L13" s="5">
        <v>9.1242885141022381</v>
      </c>
      <c r="M13" s="5">
        <v>14.598485186664023</v>
      </c>
      <c r="N13" s="5">
        <v>16.838881713951825</v>
      </c>
      <c r="O13" s="5">
        <v>108.68981087085879</v>
      </c>
      <c r="P13" s="5">
        <v>12.64984358244422</v>
      </c>
      <c r="Q13" s="5">
        <v>2.4286879913100439</v>
      </c>
      <c r="R13" s="5">
        <v>110.40966061029626</v>
      </c>
      <c r="S13" s="5">
        <v>0.77839903895183848</v>
      </c>
      <c r="T13" s="5">
        <v>11.068830920803087</v>
      </c>
      <c r="U13" s="5">
        <v>0.38134526036609917</v>
      </c>
      <c r="V13" s="5">
        <v>2.7288587756452856</v>
      </c>
      <c r="W13" s="5">
        <v>103.7982570510103</v>
      </c>
      <c r="X13" s="5">
        <v>2.0882874889086072</v>
      </c>
      <c r="Y13" s="5">
        <v>26.538482528494022</v>
      </c>
      <c r="Z13" s="5">
        <v>109.41374925957993</v>
      </c>
      <c r="AA13" s="5">
        <v>344.92161662495403</v>
      </c>
      <c r="AB13" s="5"/>
      <c r="AC13" s="5">
        <v>30.332365102767195</v>
      </c>
      <c r="AD13" s="5">
        <v>61.577112376504665</v>
      </c>
      <c r="AE13" s="5">
        <v>2.5748396572288672</v>
      </c>
      <c r="AF13" s="5"/>
      <c r="AG13" s="5">
        <f t="shared" si="0"/>
        <v>4.3763182550450219</v>
      </c>
      <c r="AH13" s="5">
        <f t="shared" si="1"/>
        <v>0.87501721651046316</v>
      </c>
      <c r="AI13" s="5">
        <f t="shared" si="2"/>
        <v>27.266868113977722</v>
      </c>
      <c r="AJ13" s="5">
        <f t="shared" si="3"/>
        <v>1.8178928970477979</v>
      </c>
      <c r="AK13" s="5">
        <f t="shared" si="4"/>
        <v>0.61549797687841101</v>
      </c>
      <c r="AL13" s="5">
        <f t="shared" si="5"/>
        <v>2.7403404496638983</v>
      </c>
      <c r="AM13" s="5">
        <f t="shared" si="6"/>
        <v>5.7718486871391113</v>
      </c>
      <c r="AN13" s="5">
        <f t="shared" si="7"/>
        <v>1.8178928970477979</v>
      </c>
      <c r="AO13" s="5">
        <f t="shared" si="8"/>
        <v>0.53093379401276497</v>
      </c>
      <c r="AP13" s="5">
        <f t="shared" si="9"/>
        <v>2.3978450725559357</v>
      </c>
      <c r="AQ13" s="5">
        <f t="shared" si="10"/>
        <v>0.98442301398327925</v>
      </c>
      <c r="AR13" s="5">
        <f t="shared" si="11"/>
        <v>121.32946041106878</v>
      </c>
      <c r="AS13" s="5">
        <f t="shared" si="12"/>
        <v>1.8834740061318409</v>
      </c>
      <c r="AT13" s="5">
        <f t="shared" si="13"/>
        <v>4.2988427996777681</v>
      </c>
      <c r="AU13" s="5">
        <f t="shared" si="14"/>
        <v>0.3023097134481682</v>
      </c>
      <c r="AV13" s="5">
        <f t="shared" si="15"/>
        <v>4.8678161097551413</v>
      </c>
      <c r="AW13" s="5">
        <f t="shared" si="16"/>
        <v>0.96609162513086155</v>
      </c>
      <c r="AX13" s="5">
        <f t="shared" si="17"/>
        <v>4.5359268547065047E-2</v>
      </c>
      <c r="AY13" s="5">
        <f t="shared" si="18"/>
        <v>0.3438134981646222</v>
      </c>
      <c r="AZ13" s="5">
        <f t="shared" si="19"/>
        <v>4.0562124429417103</v>
      </c>
      <c r="BA13" s="5">
        <f t="shared" si="20"/>
        <v>8.3340357851724264E-2</v>
      </c>
      <c r="BB13" s="5">
        <f t="shared" si="21"/>
        <v>0.17325471511895479</v>
      </c>
      <c r="BC13" s="5">
        <f t="shared" si="22"/>
        <v>1070.4596659369524</v>
      </c>
      <c r="BD13" s="5">
        <f t="shared" si="23"/>
        <v>14.219995615241174</v>
      </c>
      <c r="BE13" s="5">
        <v>2.8810657294645976</v>
      </c>
      <c r="BF13" s="5">
        <v>72.349123580356164</v>
      </c>
      <c r="BG13" s="5">
        <v>17.573715771832962</v>
      </c>
      <c r="BH13" s="5">
        <v>0.76042146990765802</v>
      </c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</row>
    <row r="14" spans="1:71" x14ac:dyDescent="0.2">
      <c r="A14" s="6">
        <v>12</v>
      </c>
      <c r="C14" s="5">
        <v>510.24793388429754</v>
      </c>
      <c r="D14" s="5">
        <v>2.3443231803213123</v>
      </c>
      <c r="E14" s="5">
        <v>8.796929420264048</v>
      </c>
      <c r="F14" s="5">
        <v>71.989236474294984</v>
      </c>
      <c r="G14" s="5">
        <v>10.446882391594491</v>
      </c>
      <c r="H14" s="5">
        <v>51.580498511099101</v>
      </c>
      <c r="I14" s="5">
        <v>20.144731390424209</v>
      </c>
      <c r="J14" s="5">
        <v>5.351304526158299</v>
      </c>
      <c r="K14" s="5">
        <v>0.95346221215310512</v>
      </c>
      <c r="L14" s="5">
        <v>8.9454387015479444</v>
      </c>
      <c r="M14" s="5">
        <v>16.262102176917711</v>
      </c>
      <c r="N14" s="5">
        <v>18.49201393701102</v>
      </c>
      <c r="O14" s="5">
        <v>130.16683721099156</v>
      </c>
      <c r="P14" s="5">
        <v>20.548840932567757</v>
      </c>
      <c r="Q14" s="5">
        <v>2.4286879913100439</v>
      </c>
      <c r="R14" s="5">
        <v>86.909899513186758</v>
      </c>
      <c r="S14" s="5">
        <v>0.76243187917846744</v>
      </c>
      <c r="T14" s="5">
        <v>11.341511974509002</v>
      </c>
      <c r="U14" s="5">
        <v>0.58219614482938264</v>
      </c>
      <c r="V14" s="5">
        <v>2.8094953232499393</v>
      </c>
      <c r="W14" s="5">
        <v>133.38326751482481</v>
      </c>
      <c r="X14" s="5">
        <v>2.1831188997338065</v>
      </c>
      <c r="Y14" s="5">
        <v>39.267347451663106</v>
      </c>
      <c r="Z14" s="5">
        <v>147.27653737957652</v>
      </c>
      <c r="AA14" s="5">
        <v>186.29021275262846</v>
      </c>
      <c r="AB14" s="5"/>
      <c r="AC14" s="5">
        <v>31.48910783973713</v>
      </c>
      <c r="AD14" s="5">
        <v>65.662276847224916</v>
      </c>
      <c r="AE14" s="5">
        <v>3.8318935370590594</v>
      </c>
      <c r="AF14" s="5"/>
      <c r="AG14" s="5">
        <f t="shared" si="0"/>
        <v>4.4268099960948399</v>
      </c>
      <c r="AH14" s="5">
        <f t="shared" si="1"/>
        <v>0.55192952301917408</v>
      </c>
      <c r="AI14" s="5">
        <f t="shared" si="2"/>
        <v>9.0657284935900222</v>
      </c>
      <c r="AJ14" s="5">
        <f t="shared" si="3"/>
        <v>2.4146538389974479</v>
      </c>
      <c r="AK14" s="5">
        <f t="shared" si="4"/>
        <v>0.53971714605277443</v>
      </c>
      <c r="AL14" s="5">
        <f t="shared" si="5"/>
        <v>2.7764470831148031</v>
      </c>
      <c r="AM14" s="5">
        <f t="shared" si="6"/>
        <v>6.3474108775000033</v>
      </c>
      <c r="AN14" s="5">
        <f t="shared" si="7"/>
        <v>2.4146538389974479</v>
      </c>
      <c r="AO14" s="5">
        <f t="shared" si="8"/>
        <v>0.77563991820807343</v>
      </c>
      <c r="AP14" s="5">
        <f t="shared" si="9"/>
        <v>1.5324031142715304</v>
      </c>
      <c r="AQ14" s="5">
        <f t="shared" si="10"/>
        <v>1.4977216397683382</v>
      </c>
      <c r="AR14" s="5">
        <f t="shared" si="11"/>
        <v>125.95643135894852</v>
      </c>
      <c r="AS14" s="5">
        <f t="shared" si="12"/>
        <v>1.2892580391043511</v>
      </c>
      <c r="AT14" s="5">
        <f t="shared" si="13"/>
        <v>2.9597669833002462</v>
      </c>
      <c r="AU14" s="5">
        <f t="shared" si="14"/>
        <v>0.19897000576994797</v>
      </c>
      <c r="AV14" s="5">
        <f t="shared" si="15"/>
        <v>3.1954248447734637</v>
      </c>
      <c r="AW14" s="5">
        <f t="shared" si="16"/>
        <v>2.1148720599660735</v>
      </c>
      <c r="AX14" s="5">
        <f t="shared" si="17"/>
        <v>2.0720501393395974E-2</v>
      </c>
      <c r="AY14" s="5">
        <f t="shared" si="18"/>
        <v>0.22780858097327567</v>
      </c>
      <c r="AZ14" s="5">
        <f t="shared" si="19"/>
        <v>4.0368502772197123</v>
      </c>
      <c r="BA14" s="5">
        <f t="shared" si="20"/>
        <v>0.10050510795479951</v>
      </c>
      <c r="BB14" s="5">
        <f t="shared" si="21"/>
        <v>0.15754455151859664</v>
      </c>
      <c r="BC14" s="5">
        <f t="shared" si="22"/>
        <v>1266.0945242013765</v>
      </c>
      <c r="BD14" s="5">
        <f t="shared" si="23"/>
        <v>14.875443018895883</v>
      </c>
      <c r="BE14" s="5">
        <v>3.4076029765648483</v>
      </c>
      <c r="BF14" s="5">
        <v>67.211408948119896</v>
      </c>
      <c r="BG14" s="5">
        <v>17.988640956404694</v>
      </c>
      <c r="BH14" s="5">
        <v>0.89906228240211772</v>
      </c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</row>
    <row r="15" spans="1:71" x14ac:dyDescent="0.2">
      <c r="A15" s="6">
        <v>13</v>
      </c>
      <c r="C15" s="5">
        <v>562.0077783179388</v>
      </c>
      <c r="D15" s="5">
        <v>1.843495127903559</v>
      </c>
      <c r="E15" s="5">
        <v>13.213181104960441</v>
      </c>
      <c r="F15" s="5">
        <v>64.881862108857959</v>
      </c>
      <c r="G15" s="5">
        <v>7.9685786234848459</v>
      </c>
      <c r="H15" s="5">
        <v>33.50434163264535</v>
      </c>
      <c r="I15" s="5">
        <v>20.034266761663162</v>
      </c>
      <c r="J15" s="5">
        <v>5.0811340848809232</v>
      </c>
      <c r="K15" s="5">
        <v>1.3012414616679673</v>
      </c>
      <c r="L15" s="5">
        <v>9.1989730512128212</v>
      </c>
      <c r="M15" s="5">
        <v>25.682702530011081</v>
      </c>
      <c r="N15" s="5">
        <v>14.39762831478301</v>
      </c>
      <c r="O15" s="5">
        <v>112.00168876443067</v>
      </c>
      <c r="P15" s="5">
        <v>15.534694788576294</v>
      </c>
      <c r="Q15" s="5">
        <v>2.6631252741291331</v>
      </c>
      <c r="R15" s="5">
        <v>103.47134860473119</v>
      </c>
      <c r="S15" s="5">
        <v>0.75844008923512463</v>
      </c>
      <c r="T15" s="5">
        <v>10.796149867097169</v>
      </c>
      <c r="U15" s="5">
        <v>0.47091389803215794</v>
      </c>
      <c r="V15" s="5">
        <v>2.5577519551183379</v>
      </c>
      <c r="W15" s="5">
        <v>119.14234722376833</v>
      </c>
      <c r="X15" s="5">
        <v>2.4276841171251107</v>
      </c>
      <c r="Y15" s="5">
        <v>29.540573312260314</v>
      </c>
      <c r="Z15" s="5">
        <v>103.97704122183681</v>
      </c>
      <c r="AA15" s="5">
        <v>174.69791785426622</v>
      </c>
      <c r="AB15" s="5"/>
      <c r="AC15" s="5">
        <v>27.48499836561043</v>
      </c>
      <c r="AD15" s="5">
        <v>55.614170594059686</v>
      </c>
      <c r="AE15" s="5">
        <v>3.0626228345249391</v>
      </c>
      <c r="AF15" s="5"/>
      <c r="AG15" s="5">
        <f t="shared" si="0"/>
        <v>2.5262863996902731</v>
      </c>
      <c r="AH15" s="5">
        <f t="shared" si="1"/>
        <v>0.69497019503957713</v>
      </c>
      <c r="AI15" s="5">
        <f t="shared" si="2"/>
        <v>11.245661419929109</v>
      </c>
      <c r="AJ15" s="5">
        <f t="shared" si="3"/>
        <v>1.1502128048144926</v>
      </c>
      <c r="AK15" s="5">
        <f t="shared" si="4"/>
        <v>0.54457431484877061</v>
      </c>
      <c r="AL15" s="5">
        <f t="shared" si="5"/>
        <v>2.5458148232431403</v>
      </c>
      <c r="AM15" s="5">
        <f t="shared" si="6"/>
        <v>6.0097222535410362</v>
      </c>
      <c r="AN15" s="5">
        <f t="shared" si="7"/>
        <v>1.1502128048144926</v>
      </c>
      <c r="AO15" s="5">
        <f t="shared" si="8"/>
        <v>1.2238790001637088</v>
      </c>
      <c r="AP15" s="5">
        <f t="shared" si="9"/>
        <v>1.7692654242439316</v>
      </c>
      <c r="AQ15" s="5">
        <f t="shared" si="10"/>
        <v>1.0824415673974257</v>
      </c>
      <c r="AR15" s="5">
        <f t="shared" si="11"/>
        <v>109.93999346244172</v>
      </c>
      <c r="AS15" s="5">
        <f t="shared" si="12"/>
        <v>0.81707423680464963</v>
      </c>
      <c r="AT15" s="5">
        <f t="shared" si="13"/>
        <v>3.525132035650032</v>
      </c>
      <c r="AU15" s="5">
        <f t="shared" si="14"/>
        <v>0.24764397387926176</v>
      </c>
      <c r="AV15" s="5">
        <f t="shared" si="15"/>
        <v>3.579997634389092</v>
      </c>
      <c r="AW15" s="5">
        <f t="shared" si="16"/>
        <v>2.1039968807942606</v>
      </c>
      <c r="AX15" s="5">
        <f t="shared" si="17"/>
        <v>2.0827601915853932E-2</v>
      </c>
      <c r="AY15" s="5">
        <f t="shared" si="18"/>
        <v>0.31140130402936167</v>
      </c>
      <c r="AZ15" s="5">
        <f t="shared" si="19"/>
        <v>4.2209526398730368</v>
      </c>
      <c r="BA15" s="5">
        <f t="shared" si="20"/>
        <v>9.1182000029907465E-2</v>
      </c>
      <c r="BB15" s="5">
        <f t="shared" si="21"/>
        <v>0.16639704096321289</v>
      </c>
      <c r="BC15" s="5">
        <f t="shared" si="22"/>
        <v>1116.1161063007221</v>
      </c>
      <c r="BD15" s="5">
        <f t="shared" si="23"/>
        <v>14.234677228078652</v>
      </c>
      <c r="BE15" s="5">
        <v>3.0039467775293716</v>
      </c>
      <c r="BF15" s="5">
        <v>71.490066624050598</v>
      </c>
      <c r="BG15" s="5">
        <v>17.614755255951081</v>
      </c>
      <c r="BH15" s="5">
        <v>0.83878076103080546</v>
      </c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</row>
    <row r="16" spans="1:71" x14ac:dyDescent="0.2">
      <c r="A16" s="6">
        <v>14</v>
      </c>
      <c r="C16" s="5">
        <v>526.78658240155573</v>
      </c>
      <c r="D16" s="5">
        <v>1.9167870380134742</v>
      </c>
      <c r="E16" s="5">
        <v>7.0385599347577736</v>
      </c>
      <c r="F16" s="5">
        <v>59.762977524332683</v>
      </c>
      <c r="G16" s="5">
        <v>8.8153570265735599</v>
      </c>
      <c r="H16" s="5">
        <v>24.751045101122138</v>
      </c>
      <c r="I16" s="5">
        <v>19.451816900923081</v>
      </c>
      <c r="J16" s="5">
        <v>4.2339567725897247</v>
      </c>
      <c r="K16" s="5">
        <v>0.73268100319142304</v>
      </c>
      <c r="L16" s="5">
        <v>8.1917144914977111</v>
      </c>
      <c r="M16" s="5">
        <v>16.596794352471708</v>
      </c>
      <c r="N16" s="5">
        <v>13.003999405808685</v>
      </c>
      <c r="O16" s="5">
        <v>124.94812053021164</v>
      </c>
      <c r="P16" s="5">
        <v>15.202707943426173</v>
      </c>
      <c r="Q16" s="5">
        <v>2.562358371864788</v>
      </c>
      <c r="R16" s="5">
        <v>109.50466339217908</v>
      </c>
      <c r="S16" s="5">
        <v>0.73149550711756095</v>
      </c>
      <c r="T16" s="5">
        <v>11.089029517373895</v>
      </c>
      <c r="U16" s="5">
        <v>0.46955679746146006</v>
      </c>
      <c r="V16" s="5">
        <v>2.3728779191466933</v>
      </c>
      <c r="W16" s="5">
        <v>118.13946551313055</v>
      </c>
      <c r="X16" s="5">
        <v>2.3797692990239572</v>
      </c>
      <c r="Y16" s="5">
        <v>26.79866372975377</v>
      </c>
      <c r="Z16" s="5">
        <v>92.705580450730139</v>
      </c>
      <c r="AA16" s="5">
        <v>136.76874244120376</v>
      </c>
      <c r="AB16" s="5"/>
      <c r="AC16" s="5">
        <v>27.089530763227547</v>
      </c>
      <c r="AD16" s="5">
        <v>56.782787325292624</v>
      </c>
      <c r="AE16" s="5">
        <v>2.7310073938335386</v>
      </c>
      <c r="AF16" s="5"/>
      <c r="AG16" s="5">
        <f t="shared" si="0"/>
        <v>3.6008747385263815</v>
      </c>
      <c r="AH16" s="5">
        <f t="shared" si="1"/>
        <v>0.72941146792002409</v>
      </c>
      <c r="AI16" s="5">
        <f t="shared" si="2"/>
        <v>8.9963408459967251</v>
      </c>
      <c r="AJ16" s="5">
        <f t="shared" si="3"/>
        <v>1.6146891478331014</v>
      </c>
      <c r="AK16" s="5">
        <f t="shared" si="4"/>
        <v>0.50586802018069366</v>
      </c>
      <c r="AL16" s="5">
        <f t="shared" si="5"/>
        <v>2.4429126751610353</v>
      </c>
      <c r="AM16" s="5">
        <f t="shared" si="6"/>
        <v>5.3893785232240736</v>
      </c>
      <c r="AN16" s="5">
        <f t="shared" si="7"/>
        <v>1.6146891478331014</v>
      </c>
      <c r="AO16" s="5">
        <f t="shared" si="8"/>
        <v>0.63473182425297092</v>
      </c>
      <c r="AP16" s="5">
        <f t="shared" si="9"/>
        <v>1.7818885203896437</v>
      </c>
      <c r="AQ16" s="5">
        <f t="shared" si="10"/>
        <v>1.1410301320476506</v>
      </c>
      <c r="AR16" s="5">
        <f t="shared" si="11"/>
        <v>108.35812305291019</v>
      </c>
      <c r="AS16" s="5">
        <f t="shared" si="12"/>
        <v>1.575468507785821</v>
      </c>
      <c r="AT16" s="5">
        <f t="shared" si="13"/>
        <v>4.0604172447179385</v>
      </c>
      <c r="AU16" s="5">
        <f t="shared" si="14"/>
        <v>0.2678482338675599</v>
      </c>
      <c r="AV16" s="5">
        <f t="shared" si="15"/>
        <v>3.7350442787297089</v>
      </c>
      <c r="AW16" s="5">
        <f t="shared" si="16"/>
        <v>2.4483061572844216</v>
      </c>
      <c r="AX16" s="5">
        <f t="shared" si="17"/>
        <v>1.7898582387255953E-2</v>
      </c>
      <c r="AY16" s="5">
        <f t="shared" si="18"/>
        <v>0.30567622975927305</v>
      </c>
      <c r="AZ16" s="5">
        <f t="shared" si="19"/>
        <v>4.6732406365691173</v>
      </c>
      <c r="BA16" s="5">
        <f t="shared" si="20"/>
        <v>9.3281046840106283E-2</v>
      </c>
      <c r="BB16" s="5">
        <f t="shared" si="21"/>
        <v>0.18555015122629995</v>
      </c>
      <c r="BC16" s="5">
        <f t="shared" si="22"/>
        <v>1187.4094492605946</v>
      </c>
      <c r="BD16" s="5">
        <f t="shared" si="23"/>
        <v>15.159395251886</v>
      </c>
      <c r="BE16" s="5">
        <v>3.1958277177242289</v>
      </c>
      <c r="BF16" s="5">
        <v>72.274618320973403</v>
      </c>
      <c r="BG16" s="5">
        <v>17.376230846430904</v>
      </c>
      <c r="BH16" s="5">
        <v>0.76413170318217538</v>
      </c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71" x14ac:dyDescent="0.2">
      <c r="A17" s="6">
        <v>15</v>
      </c>
      <c r="C17" s="5">
        <v>628.97909577053963</v>
      </c>
      <c r="D17" s="5">
        <v>1.108540140412466</v>
      </c>
      <c r="E17" s="5">
        <v>1.7319431232963531</v>
      </c>
      <c r="F17" s="5">
        <v>61.456147040752583</v>
      </c>
      <c r="G17" s="5">
        <v>3.4767145829142456</v>
      </c>
      <c r="H17" s="5">
        <v>8.1097893435893127</v>
      </c>
      <c r="I17" s="5">
        <v>17.543791495050396</v>
      </c>
      <c r="J17" s="5">
        <v>4.9248211867132996</v>
      </c>
      <c r="K17" s="5">
        <v>0.54511466637441874</v>
      </c>
      <c r="L17" s="5">
        <v>8.013847370221189</v>
      </c>
      <c r="M17" s="5">
        <v>1.8988859018931152</v>
      </c>
      <c r="N17" s="5">
        <v>32.370635623624281</v>
      </c>
      <c r="O17" s="5">
        <v>99.346300813539358</v>
      </c>
      <c r="P17" s="5">
        <v>16.564998790766321</v>
      </c>
      <c r="Q17" s="5">
        <v>2.1932224747943789</v>
      </c>
      <c r="R17" s="5">
        <v>61.24820061724175</v>
      </c>
      <c r="S17" s="5">
        <v>0.65066176076487015</v>
      </c>
      <c r="T17" s="5">
        <v>14.4116986532719</v>
      </c>
      <c r="U17" s="5">
        <v>0.36234585237632905</v>
      </c>
      <c r="V17" s="5">
        <v>2.0355811407516184</v>
      </c>
      <c r="W17" s="5">
        <v>90.33958449425127</v>
      </c>
      <c r="X17" s="5">
        <v>2.395740905057675</v>
      </c>
      <c r="Y17" s="5">
        <v>17.752363501338007</v>
      </c>
      <c r="Z17" s="5">
        <v>65.230788045706959</v>
      </c>
      <c r="AA17" s="5">
        <v>170.63044596010403</v>
      </c>
      <c r="AB17" s="5"/>
      <c r="AC17" s="5">
        <v>17.667515136455339</v>
      </c>
      <c r="AD17" s="5">
        <v>29.555016305284234</v>
      </c>
      <c r="AE17" s="5">
        <v>2.3135960978469794</v>
      </c>
      <c r="AF17" s="5"/>
      <c r="AG17" s="5">
        <f t="shared" si="0"/>
        <v>32.364317929520254</v>
      </c>
      <c r="AH17" s="5">
        <f t="shared" si="1"/>
        <v>0.87000903744739688</v>
      </c>
      <c r="AI17" s="5">
        <f t="shared" si="2"/>
        <v>10.300661540356829</v>
      </c>
      <c r="AJ17" s="5">
        <f t="shared" si="3"/>
        <v>9.3488310612236329</v>
      </c>
      <c r="AK17" s="5">
        <f t="shared" si="4"/>
        <v>0.68027927496902896</v>
      </c>
      <c r="AL17" s="5">
        <f t="shared" si="5"/>
        <v>1.2259148322147486</v>
      </c>
      <c r="AM17" s="5">
        <f t="shared" si="6"/>
        <v>4.2643236248074157</v>
      </c>
      <c r="AN17" s="5">
        <f t="shared" si="7"/>
        <v>9.3488310612236329</v>
      </c>
      <c r="AO17" s="5">
        <f t="shared" si="8"/>
        <v>0.12017619608658335</v>
      </c>
      <c r="AP17" s="5">
        <f t="shared" si="9"/>
        <v>1.0665569831676405</v>
      </c>
      <c r="AQ17" s="5">
        <f t="shared" si="10"/>
        <v>1.6220280728634624</v>
      </c>
      <c r="AR17" s="5">
        <f t="shared" si="11"/>
        <v>70.670060545821357</v>
      </c>
      <c r="AS17" s="5">
        <f t="shared" si="12"/>
        <v>8.3211154335383508</v>
      </c>
      <c r="AT17" s="5">
        <f t="shared" si="13"/>
        <v>6.2291333680426559</v>
      </c>
      <c r="AU17" s="5">
        <f t="shared" si="14"/>
        <v>0.28123394630997717</v>
      </c>
      <c r="AV17" s="5">
        <f t="shared" si="15"/>
        <v>1.7841846340344329</v>
      </c>
      <c r="AW17" s="5">
        <f t="shared" si="16"/>
        <v>1.9511502939886372</v>
      </c>
      <c r="AX17" s="5">
        <f t="shared" si="17"/>
        <v>2.2459166574912984E-2</v>
      </c>
      <c r="AY17" s="5">
        <f t="shared" si="18"/>
        <v>0.45142424948752208</v>
      </c>
      <c r="AZ17" s="5">
        <f t="shared" si="19"/>
        <v>7.0798939746270797</v>
      </c>
      <c r="BA17" s="5">
        <f t="shared" si="20"/>
        <v>9.4802943746249257E-2</v>
      </c>
      <c r="BB17" s="5">
        <f t="shared" si="21"/>
        <v>0.23450377785179513</v>
      </c>
      <c r="BC17" s="5">
        <f t="shared" si="22"/>
        <v>972.16967238641405</v>
      </c>
      <c r="BD17" s="5">
        <f t="shared" si="23"/>
        <v>22.1492940300204</v>
      </c>
      <c r="BE17" s="5">
        <v>2.6165252325371489</v>
      </c>
      <c r="BF17" s="5">
        <v>76.070410038439519</v>
      </c>
      <c r="BG17" s="5">
        <v>17.610920138669997</v>
      </c>
      <c r="BH17" s="5">
        <v>0.75973632143010694</v>
      </c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71" x14ac:dyDescent="0.2">
      <c r="A18" s="6">
        <v>16</v>
      </c>
      <c r="C18" s="5">
        <v>724.84200291686932</v>
      </c>
      <c r="D18" s="5">
        <v>2.3280360891857756</v>
      </c>
      <c r="E18" s="5">
        <v>7.2530200280767474</v>
      </c>
      <c r="F18" s="5">
        <v>74.853843039865879</v>
      </c>
      <c r="G18" s="5">
        <v>5.3356885655090052</v>
      </c>
      <c r="H18" s="5">
        <v>31.236078718654746</v>
      </c>
      <c r="I18" s="5">
        <v>19.431732422966526</v>
      </c>
      <c r="J18" s="5">
        <v>6.8082951201898583</v>
      </c>
      <c r="K18" s="5">
        <v>0.68676632699142715</v>
      </c>
      <c r="L18" s="5">
        <v>8.153389531664649</v>
      </c>
      <c r="M18" s="5">
        <v>11.28109509367294</v>
      </c>
      <c r="N18" s="5">
        <v>15.752812288337353</v>
      </c>
      <c r="O18" s="5">
        <v>114.51068716865178</v>
      </c>
      <c r="P18" s="5">
        <v>20.331332309883198</v>
      </c>
      <c r="Q18" s="5">
        <v>2.6559276382531092</v>
      </c>
      <c r="R18" s="5">
        <v>130.11848891595935</v>
      </c>
      <c r="S18" s="5">
        <v>0.72949961214588965</v>
      </c>
      <c r="T18" s="5">
        <v>11.694987414498151</v>
      </c>
      <c r="U18" s="5">
        <v>0.51026981458239595</v>
      </c>
      <c r="V18" s="5">
        <v>2.790811245146422</v>
      </c>
      <c r="W18" s="5">
        <v>132.98211483056971</v>
      </c>
      <c r="X18" s="5">
        <v>2.2719609582963618</v>
      </c>
      <c r="Y18" s="5">
        <v>33.043012559987659</v>
      </c>
      <c r="Z18" s="5">
        <v>103.5887049334266</v>
      </c>
      <c r="AA18" s="5">
        <v>242.92975887883702</v>
      </c>
      <c r="AB18" s="5"/>
      <c r="AC18" s="5">
        <v>30.76737946538837</v>
      </c>
      <c r="AD18" s="5">
        <v>60.678176429402406</v>
      </c>
      <c r="AE18" s="5">
        <v>3.533054041087158</v>
      </c>
      <c r="AF18" s="5"/>
      <c r="AG18" s="5">
        <f t="shared" si="0"/>
        <v>6.6353348161959946</v>
      </c>
      <c r="AH18" s="5">
        <f t="shared" si="1"/>
        <v>0.57521992342888117</v>
      </c>
      <c r="AI18" s="5">
        <f t="shared" si="2"/>
        <v>11.948541058509344</v>
      </c>
      <c r="AJ18" s="5">
        <f t="shared" si="3"/>
        <v>2.9290607237696276</v>
      </c>
      <c r="AK18" s="5">
        <f t="shared" si="4"/>
        <v>0.5628865440682449</v>
      </c>
      <c r="AL18" s="5">
        <f t="shared" si="5"/>
        <v>2.6308176635783616</v>
      </c>
      <c r="AM18" s="5">
        <f t="shared" si="6"/>
        <v>6.4005065064944295</v>
      </c>
      <c r="AN18" s="5">
        <f t="shared" si="7"/>
        <v>2.9290607237696276</v>
      </c>
      <c r="AO18" s="5">
        <f t="shared" si="8"/>
        <v>0.62018194385444625</v>
      </c>
      <c r="AP18" s="5">
        <f t="shared" si="9"/>
        <v>1.5132987349988933</v>
      </c>
      <c r="AQ18" s="5">
        <f t="shared" si="10"/>
        <v>0.88004931599391467</v>
      </c>
      <c r="AR18" s="5">
        <f t="shared" si="11"/>
        <v>123.06951786155348</v>
      </c>
      <c r="AS18" s="5">
        <f t="shared" si="12"/>
        <v>1.6124300455846474</v>
      </c>
      <c r="AT18" s="5">
        <f t="shared" si="13"/>
        <v>3.3101637502548589</v>
      </c>
      <c r="AU18" s="5">
        <f t="shared" si="14"/>
        <v>0.20647847546691217</v>
      </c>
      <c r="AV18" s="5">
        <f t="shared" si="15"/>
        <v>2.9844663155648847</v>
      </c>
      <c r="AW18" s="5">
        <f t="shared" si="16"/>
        <v>1.5622228519456773</v>
      </c>
      <c r="AX18" s="5">
        <f t="shared" si="17"/>
        <v>2.805054951718567E-2</v>
      </c>
      <c r="AY18" s="5">
        <f t="shared" si="18"/>
        <v>0.24675079237592656</v>
      </c>
      <c r="AZ18" s="5">
        <f t="shared" si="19"/>
        <v>4.1905332848422594</v>
      </c>
      <c r="BA18" s="5">
        <f t="shared" si="20"/>
        <v>0.10621874212695598</v>
      </c>
      <c r="BB18" s="5">
        <f t="shared" si="21"/>
        <v>0.15623763509736702</v>
      </c>
      <c r="BC18" s="5">
        <f t="shared" si="22"/>
        <v>1115.4184217785091</v>
      </c>
      <c r="BD18" s="5">
        <f t="shared" si="23"/>
        <v>16.031519715406397</v>
      </c>
      <c r="BE18" s="5">
        <v>3.0020690094724447</v>
      </c>
      <c r="BF18" s="5">
        <v>72.590421285759064</v>
      </c>
      <c r="BG18" s="5">
        <v>16.591932715290447</v>
      </c>
      <c r="BH18" s="5">
        <v>0.86604278012450975</v>
      </c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71" x14ac:dyDescent="0.2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71" x14ac:dyDescent="0.2">
      <c r="A20" s="6" t="s">
        <v>108</v>
      </c>
      <c r="C20" s="5">
        <f>MIN(C3:C18)</f>
        <v>354.66212931453572</v>
      </c>
      <c r="D20" s="5">
        <f t="shared" ref="D20:AA20" si="24">MIN(D3:D18)</f>
        <v>1.108540140412466</v>
      </c>
      <c r="E20" s="5">
        <f t="shared" si="24"/>
        <v>1.2227274514821087</v>
      </c>
      <c r="F20" s="5">
        <f t="shared" si="24"/>
        <v>48.698311614704949</v>
      </c>
      <c r="G20" s="5">
        <f t="shared" si="24"/>
        <v>3.4767145829142456</v>
      </c>
      <c r="H20" s="5">
        <f t="shared" si="24"/>
        <v>8.1097893435893127</v>
      </c>
      <c r="I20" s="5">
        <f t="shared" si="24"/>
        <v>15.726146239982212</v>
      </c>
      <c r="J20" s="5">
        <f t="shared" si="24"/>
        <v>3.4195858710250651</v>
      </c>
      <c r="K20" s="5">
        <f t="shared" si="24"/>
        <v>0.54511466637441874</v>
      </c>
      <c r="L20" s="5">
        <f t="shared" si="24"/>
        <v>6.4425240170656188</v>
      </c>
      <c r="M20" s="5">
        <f t="shared" si="24"/>
        <v>1.8988859018931152</v>
      </c>
      <c r="N20" s="5">
        <f t="shared" si="24"/>
        <v>11.67764913381933</v>
      </c>
      <c r="O20" s="5">
        <f t="shared" si="24"/>
        <v>97.720469847604079</v>
      </c>
      <c r="P20" s="5">
        <f t="shared" si="24"/>
        <v>12.64984358244422</v>
      </c>
      <c r="Q20" s="5">
        <f t="shared" si="24"/>
        <v>2.1932224747943789</v>
      </c>
      <c r="R20" s="5">
        <f t="shared" si="24"/>
        <v>61.24820061724175</v>
      </c>
      <c r="S20" s="5">
        <f t="shared" si="24"/>
        <v>0.62072333618979936</v>
      </c>
      <c r="T20" s="5">
        <f t="shared" si="24"/>
        <v>8.9287896141259182</v>
      </c>
      <c r="U20" s="5">
        <f t="shared" si="24"/>
        <v>0.31484733240190388</v>
      </c>
      <c r="V20" s="5">
        <f t="shared" si="24"/>
        <v>1.8772581631376037</v>
      </c>
      <c r="W20" s="5">
        <f t="shared" si="24"/>
        <v>83.289326068467673</v>
      </c>
      <c r="X20" s="5">
        <f t="shared" si="24"/>
        <v>1.9096051464063886</v>
      </c>
      <c r="Y20" s="5">
        <f t="shared" si="24"/>
        <v>17.752363501338007</v>
      </c>
      <c r="Z20" s="5">
        <f t="shared" si="24"/>
        <v>60.580460991994563</v>
      </c>
      <c r="AA20" s="5">
        <f t="shared" si="24"/>
        <v>111.55041669739816</v>
      </c>
      <c r="AB20" s="5"/>
      <c r="AC20" s="5"/>
      <c r="AD20" s="5"/>
      <c r="AE20" s="5"/>
      <c r="AF20" s="5"/>
      <c r="AG20" s="5">
        <f t="shared" ref="AG20:BD20" si="25">MIN(AG3:AG18)</f>
        <v>2.2634667014703989</v>
      </c>
      <c r="AH20" s="5">
        <f t="shared" si="25"/>
        <v>0.49615476985137652</v>
      </c>
      <c r="AI20" s="5">
        <f t="shared" si="25"/>
        <v>6.1130789185754981</v>
      </c>
      <c r="AJ20" s="5">
        <f t="shared" si="25"/>
        <v>1.1502128048144926</v>
      </c>
      <c r="AK20" s="5">
        <f t="shared" si="25"/>
        <v>0.48220834571315296</v>
      </c>
      <c r="AL20" s="5">
        <f t="shared" si="25"/>
        <v>1.2259148322147486</v>
      </c>
      <c r="AM20" s="5">
        <f t="shared" si="25"/>
        <v>4.2643236248074157</v>
      </c>
      <c r="AN20" s="5">
        <f t="shared" si="25"/>
        <v>1.1502128048144926</v>
      </c>
      <c r="AO20" s="5">
        <f t="shared" si="25"/>
        <v>0.11916391288336847</v>
      </c>
      <c r="AP20" s="5">
        <f t="shared" si="25"/>
        <v>1.0665569831676405</v>
      </c>
      <c r="AQ20" s="5">
        <f t="shared" si="25"/>
        <v>0.27265701594113967</v>
      </c>
      <c r="AR20" s="5">
        <f t="shared" si="25"/>
        <v>70.670060545821357</v>
      </c>
      <c r="AS20" s="5">
        <f t="shared" si="25"/>
        <v>0.44787686972585838</v>
      </c>
      <c r="AT20" s="5">
        <f t="shared" si="25"/>
        <v>2.6703261301805825</v>
      </c>
      <c r="AU20" s="5">
        <f t="shared" si="25"/>
        <v>0.1878999036971232</v>
      </c>
      <c r="AV20" s="5">
        <f t="shared" si="25"/>
        <v>1.7841846340344329</v>
      </c>
      <c r="AW20" s="5">
        <f t="shared" si="25"/>
        <v>0.96609162513086155</v>
      </c>
      <c r="AX20" s="5">
        <f t="shared" si="25"/>
        <v>1.3621609871670262E-2</v>
      </c>
      <c r="AY20" s="5">
        <f t="shared" si="25"/>
        <v>0.18723817673503546</v>
      </c>
      <c r="AZ20" s="5">
        <f t="shared" si="25"/>
        <v>3.8128802042416514</v>
      </c>
      <c r="BA20" s="5">
        <f t="shared" si="25"/>
        <v>8.3340357851724264E-2</v>
      </c>
      <c r="BB20" s="5">
        <f t="shared" si="25"/>
        <v>0.14095686711507674</v>
      </c>
      <c r="BC20" s="5">
        <f t="shared" si="25"/>
        <v>972.16967238641405</v>
      </c>
      <c r="BD20" s="5">
        <f t="shared" si="25"/>
        <v>13.671988250476307</v>
      </c>
      <c r="BE20" s="5"/>
      <c r="BF20" s="5"/>
      <c r="BG20" s="5"/>
      <c r="BH20" s="5"/>
    </row>
    <row r="21" spans="1:71" x14ac:dyDescent="0.2">
      <c r="A21" s="6" t="s">
        <v>109</v>
      </c>
      <c r="C21" s="5">
        <f>MAX(C3:C18)</f>
        <v>1311.8619348565874</v>
      </c>
      <c r="D21" s="5">
        <f t="shared" ref="D21:AA21" si="26">MAX(D3:D18)</f>
        <v>2.7128186172628297</v>
      </c>
      <c r="E21" s="5">
        <f t="shared" si="26"/>
        <v>21.811912808650085</v>
      </c>
      <c r="F21" s="5">
        <f t="shared" si="26"/>
        <v>76.448572468121824</v>
      </c>
      <c r="G21" s="5">
        <f t="shared" si="26"/>
        <v>10.446882391594491</v>
      </c>
      <c r="H21" s="5">
        <f t="shared" si="26"/>
        <v>51.580498511099101</v>
      </c>
      <c r="I21" s="5">
        <f t="shared" si="26"/>
        <v>20.144731390424209</v>
      </c>
      <c r="J21" s="5">
        <f t="shared" si="26"/>
        <v>9.2967578632411119</v>
      </c>
      <c r="K21" s="5">
        <f t="shared" si="26"/>
        <v>2.8564790044422943</v>
      </c>
      <c r="L21" s="5">
        <f t="shared" si="26"/>
        <v>9.1989730512128212</v>
      </c>
      <c r="M21" s="5">
        <f t="shared" si="26"/>
        <v>25.820516955239199</v>
      </c>
      <c r="N21" s="5">
        <f t="shared" si="26"/>
        <v>32.370635623624281</v>
      </c>
      <c r="O21" s="5">
        <f t="shared" si="26"/>
        <v>161.88057704034651</v>
      </c>
      <c r="P21" s="5">
        <f t="shared" si="26"/>
        <v>21.075440755909327</v>
      </c>
      <c r="Q21" s="5">
        <f t="shared" si="26"/>
        <v>2.6631252741291331</v>
      </c>
      <c r="R21" s="5">
        <f t="shared" si="26"/>
        <v>377.28328470840756</v>
      </c>
      <c r="S21" s="5">
        <f t="shared" si="26"/>
        <v>0.77839903895183848</v>
      </c>
      <c r="T21" s="5">
        <f t="shared" si="26"/>
        <v>14.4116986532719</v>
      </c>
      <c r="U21" s="5">
        <f t="shared" si="26"/>
        <v>0.71247779961637736</v>
      </c>
      <c r="V21" s="5">
        <f t="shared" si="26"/>
        <v>2.8606306949016704</v>
      </c>
      <c r="W21" s="5">
        <f t="shared" si="26"/>
        <v>133.38326751482481</v>
      </c>
      <c r="X21" s="5">
        <f t="shared" si="26"/>
        <v>3.8681233362910379</v>
      </c>
      <c r="Y21" s="5">
        <f t="shared" si="26"/>
        <v>47.723236492604826</v>
      </c>
      <c r="Z21" s="5">
        <f t="shared" si="26"/>
        <v>301.05770759002428</v>
      </c>
      <c r="AA21" s="5">
        <f t="shared" si="26"/>
        <v>344.92161662495403</v>
      </c>
      <c r="AB21" s="5"/>
      <c r="AC21" s="5"/>
      <c r="AD21" s="5"/>
      <c r="AE21" s="5"/>
      <c r="AF21" s="5"/>
      <c r="AG21" s="5">
        <f t="shared" ref="AG21:BD21" si="27">MAX(AG3:AG18)</f>
        <v>32.364317929520254</v>
      </c>
      <c r="AH21" s="5">
        <f t="shared" si="27"/>
        <v>0.87501721651046316</v>
      </c>
      <c r="AI21" s="5">
        <f t="shared" si="27"/>
        <v>27.266868113977722</v>
      </c>
      <c r="AJ21" s="5">
        <f t="shared" si="27"/>
        <v>9.3488310612236329</v>
      </c>
      <c r="AK21" s="5">
        <f t="shared" si="27"/>
        <v>0.68027927496902896</v>
      </c>
      <c r="AL21" s="5">
        <f t="shared" si="27"/>
        <v>16.749294952901039</v>
      </c>
      <c r="AM21" s="5">
        <f t="shared" si="27"/>
        <v>7.0943687985318462</v>
      </c>
      <c r="AN21" s="5">
        <f t="shared" si="27"/>
        <v>9.3488310612236329</v>
      </c>
      <c r="AO21" s="5">
        <f t="shared" si="27"/>
        <v>2.2327565176832898</v>
      </c>
      <c r="AP21" s="5">
        <f t="shared" si="27"/>
        <v>8.8392622763908424</v>
      </c>
      <c r="AQ21" s="5">
        <f t="shared" si="27"/>
        <v>1.888185597806874</v>
      </c>
      <c r="AR21" s="5">
        <f t="shared" si="27"/>
        <v>654.49888194367281</v>
      </c>
      <c r="AS21" s="5">
        <f t="shared" si="27"/>
        <v>8.3918023150074692</v>
      </c>
      <c r="AT21" s="5">
        <f t="shared" si="27"/>
        <v>6.2291333680426559</v>
      </c>
      <c r="AU21" s="5">
        <f t="shared" si="27"/>
        <v>0.3023097134481682</v>
      </c>
      <c r="AV21" s="5">
        <f t="shared" si="27"/>
        <v>18.178345432085795</v>
      </c>
      <c r="AW21" s="5">
        <f t="shared" si="27"/>
        <v>3.2170360095629396</v>
      </c>
      <c r="AX21" s="5">
        <f t="shared" si="27"/>
        <v>4.5359268547065047E-2</v>
      </c>
      <c r="AY21" s="5">
        <f t="shared" si="27"/>
        <v>0.45142424948752208</v>
      </c>
      <c r="AZ21" s="5">
        <f t="shared" si="27"/>
        <v>7.0798939746270797</v>
      </c>
      <c r="BA21" s="5">
        <f t="shared" si="27"/>
        <v>0.12711204709696841</v>
      </c>
      <c r="BB21" s="5">
        <f t="shared" si="27"/>
        <v>0.23450377785179513</v>
      </c>
      <c r="BC21" s="5">
        <f t="shared" si="27"/>
        <v>1792.7014982996502</v>
      </c>
      <c r="BD21" s="5">
        <f t="shared" si="27"/>
        <v>22.1492940300204</v>
      </c>
      <c r="BE21" s="5"/>
      <c r="BF21" s="5"/>
      <c r="BG21" s="5"/>
      <c r="BH21" s="5"/>
    </row>
    <row r="22" spans="1:71" x14ac:dyDescent="0.2">
      <c r="A22" s="6" t="s">
        <v>110</v>
      </c>
      <c r="C22" s="5">
        <f>AVERAGE(C3:C18)</f>
        <v>725.64596499756908</v>
      </c>
      <c r="D22" s="5">
        <f t="shared" ref="D22:AA22" si="28">AVERAGE(D3:D18)</f>
        <v>1.9568685513548338</v>
      </c>
      <c r="E22" s="5">
        <f t="shared" si="28"/>
        <v>9.028985913419918</v>
      </c>
      <c r="F22" s="5">
        <f t="shared" si="28"/>
        <v>60.709848122359652</v>
      </c>
      <c r="G22" s="5">
        <f t="shared" si="28"/>
        <v>7.3122638219629605</v>
      </c>
      <c r="H22" s="5">
        <f t="shared" si="28"/>
        <v>28.13757662023157</v>
      </c>
      <c r="I22" s="5">
        <f t="shared" si="28"/>
        <v>17.935438815203213</v>
      </c>
      <c r="J22" s="5">
        <f t="shared" si="28"/>
        <v>5.2401004427396645</v>
      </c>
      <c r="K22" s="5">
        <f t="shared" si="28"/>
        <v>1.0498097640727775</v>
      </c>
      <c r="L22" s="5">
        <f t="shared" si="28"/>
        <v>8.2591516804347336</v>
      </c>
      <c r="M22" s="5">
        <f t="shared" si="28"/>
        <v>17.053612257524726</v>
      </c>
      <c r="N22" s="5">
        <f t="shared" si="28"/>
        <v>16.48506816766481</v>
      </c>
      <c r="O22" s="5">
        <f t="shared" si="28"/>
        <v>118.57902808109633</v>
      </c>
      <c r="P22" s="5">
        <f t="shared" si="28"/>
        <v>17.085159214094201</v>
      </c>
      <c r="Q22" s="5">
        <f t="shared" si="28"/>
        <v>2.4283024036738281</v>
      </c>
      <c r="R22" s="5">
        <f t="shared" si="28"/>
        <v>119.71290631848282</v>
      </c>
      <c r="S22" s="5">
        <f t="shared" si="28"/>
        <v>0.70105810879957242</v>
      </c>
      <c r="T22" s="5">
        <f t="shared" si="28"/>
        <v>10.704688096999977</v>
      </c>
      <c r="U22" s="5">
        <f t="shared" si="28"/>
        <v>0.45250822154206827</v>
      </c>
      <c r="V22" s="5">
        <f t="shared" si="28"/>
        <v>2.4794509172766244</v>
      </c>
      <c r="W22" s="5">
        <f t="shared" si="28"/>
        <v>110.43169276581007</v>
      </c>
      <c r="X22" s="5">
        <f t="shared" si="28"/>
        <v>2.4749126552795024</v>
      </c>
      <c r="Y22" s="5">
        <f t="shared" si="28"/>
        <v>30.638212755074868</v>
      </c>
      <c r="Z22" s="5">
        <f t="shared" si="28"/>
        <v>120.54989910519366</v>
      </c>
      <c r="AA22" s="5">
        <f t="shared" si="28"/>
        <v>182.43246987800904</v>
      </c>
      <c r="AB22" s="5"/>
      <c r="AC22" s="5"/>
      <c r="AD22" s="5"/>
      <c r="AE22" s="5"/>
      <c r="AF22" s="5"/>
      <c r="AG22" s="5">
        <f t="shared" ref="AG22:BD22" si="29">AVERAGE(AG3:AG18)</f>
        <v>6.0462584897562133</v>
      </c>
      <c r="AH22" s="5">
        <f t="shared" si="29"/>
        <v>0.63917492757277861</v>
      </c>
      <c r="AI22" s="5">
        <f t="shared" si="29"/>
        <v>11.049263507604167</v>
      </c>
      <c r="AJ22" s="5">
        <f t="shared" si="29"/>
        <v>2.585552076481342</v>
      </c>
      <c r="AK22" s="5">
        <f t="shared" si="29"/>
        <v>0.55300926832377217</v>
      </c>
      <c r="AL22" s="5">
        <f t="shared" si="29"/>
        <v>3.4887346183463213</v>
      </c>
      <c r="AM22" s="5">
        <f t="shared" si="29"/>
        <v>5.6972895077422523</v>
      </c>
      <c r="AN22" s="5">
        <f t="shared" si="29"/>
        <v>2.585552076481342</v>
      </c>
      <c r="AO22" s="5">
        <f t="shared" si="29"/>
        <v>0.87554507490847133</v>
      </c>
      <c r="AP22" s="5">
        <f t="shared" si="29"/>
        <v>2.1043777894748699</v>
      </c>
      <c r="AQ22" s="5">
        <f t="shared" si="29"/>
        <v>1.1494897261278278</v>
      </c>
      <c r="AR22" s="5">
        <f t="shared" si="29"/>
        <v>144.59778546627169</v>
      </c>
      <c r="AS22" s="5">
        <f t="shared" si="29"/>
        <v>2.0826493820124745</v>
      </c>
      <c r="AT22" s="5">
        <f t="shared" si="29"/>
        <v>3.640114448320205</v>
      </c>
      <c r="AU22" s="5">
        <f t="shared" si="29"/>
        <v>0.23664737488945956</v>
      </c>
      <c r="AV22" s="5">
        <f t="shared" si="29"/>
        <v>4.2783201881040522</v>
      </c>
      <c r="AW22" s="5">
        <f t="shared" si="29"/>
        <v>2.1365427507387444</v>
      </c>
      <c r="AX22" s="5">
        <f t="shared" si="29"/>
        <v>2.207408876110712E-2</v>
      </c>
      <c r="AY22" s="5">
        <f t="shared" si="29"/>
        <v>0.28252144690204933</v>
      </c>
      <c r="AZ22" s="5">
        <f t="shared" si="29"/>
        <v>4.3692748001687702</v>
      </c>
      <c r="BA22" s="5">
        <f t="shared" si="29"/>
        <v>0.10152111020273015</v>
      </c>
      <c r="BB22" s="5">
        <f t="shared" si="29"/>
        <v>0.17792688822885586</v>
      </c>
      <c r="BC22" s="5">
        <f t="shared" si="29"/>
        <v>1247.9581264977073</v>
      </c>
      <c r="BD22" s="5">
        <f t="shared" si="29"/>
        <v>15.311552121653108</v>
      </c>
      <c r="BE22" s="5"/>
      <c r="BF22" s="5"/>
      <c r="BG22" s="5"/>
      <c r="BH22" s="5"/>
    </row>
    <row r="23" spans="1:7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G23" s="18"/>
    </row>
    <row r="34" spans="53:62" x14ac:dyDescent="0.2">
      <c r="BA34" s="6"/>
      <c r="BB34" s="6"/>
      <c r="BC34" s="6"/>
      <c r="BD34" s="6"/>
      <c r="BE34" s="6"/>
      <c r="BF34" s="6"/>
      <c r="BG34" s="6"/>
      <c r="BH34" s="6"/>
      <c r="BI34" s="6"/>
      <c r="BJ34" s="6"/>
    </row>
    <row r="35" spans="53:62" x14ac:dyDescent="0.2">
      <c r="BA35" s="6"/>
      <c r="BB35" s="6"/>
      <c r="BC35" s="6"/>
      <c r="BD35" s="6"/>
      <c r="BE35" s="6"/>
      <c r="BF35" s="6"/>
      <c r="BG35" s="6"/>
      <c r="BH35" s="6"/>
      <c r="BI35" s="6"/>
      <c r="BJ35" s="6"/>
    </row>
    <row r="36" spans="53:62" x14ac:dyDescent="0.2">
      <c r="BD36" s="5"/>
      <c r="BE36" s="5"/>
      <c r="BF36" s="5"/>
      <c r="BG36" s="5"/>
      <c r="BH36" s="5"/>
      <c r="BJ36" s="5"/>
    </row>
    <row r="37" spans="53:62" x14ac:dyDescent="0.2">
      <c r="BD37" s="5"/>
      <c r="BE37" s="5"/>
      <c r="BF37" s="5"/>
      <c r="BG37" s="5"/>
      <c r="BH37" s="5"/>
      <c r="BJ37" s="5"/>
    </row>
    <row r="38" spans="53:62" x14ac:dyDescent="0.2">
      <c r="BD38" s="5"/>
      <c r="BE38" s="5"/>
      <c r="BF38" s="5"/>
      <c r="BG38" s="5"/>
      <c r="BH38" s="5"/>
      <c r="BJ38" s="5"/>
    </row>
    <row r="39" spans="53:62" x14ac:dyDescent="0.2">
      <c r="BD39" s="5"/>
      <c r="BE39" s="5"/>
      <c r="BF39" s="5"/>
      <c r="BG39" s="5"/>
      <c r="BH39" s="5"/>
      <c r="BJ39" s="5"/>
    </row>
    <row r="40" spans="53:62" x14ac:dyDescent="0.2">
      <c r="BD40" s="5"/>
      <c r="BE40" s="5"/>
      <c r="BF40" s="5"/>
      <c r="BG40" s="5"/>
      <c r="BH40" s="5"/>
      <c r="BJ40" s="5"/>
    </row>
    <row r="41" spans="53:62" x14ac:dyDescent="0.2">
      <c r="BD41" s="5"/>
      <c r="BE41" s="5"/>
      <c r="BF41" s="5"/>
      <c r="BG41" s="5"/>
      <c r="BH41" s="5"/>
      <c r="BJ41" s="5"/>
    </row>
    <row r="42" spans="53:62" x14ac:dyDescent="0.2">
      <c r="BD42" s="5"/>
      <c r="BE42" s="5"/>
      <c r="BF42" s="5"/>
      <c r="BG42" s="5"/>
      <c r="BH42" s="5"/>
      <c r="BJ42" s="5"/>
    </row>
    <row r="43" spans="53:62" x14ac:dyDescent="0.2">
      <c r="BD43" s="5"/>
      <c r="BE43" s="5"/>
      <c r="BF43" s="5"/>
      <c r="BG43" s="5"/>
      <c r="BH43" s="5"/>
      <c r="BJ43" s="5"/>
    </row>
    <row r="44" spans="53:62" x14ac:dyDescent="0.2">
      <c r="BD44" s="5"/>
      <c r="BE44" s="5"/>
      <c r="BF44" s="5"/>
      <c r="BG44" s="5"/>
      <c r="BH44" s="5"/>
      <c r="BJ44" s="5"/>
    </row>
    <row r="45" spans="53:62" x14ac:dyDescent="0.2">
      <c r="BD45" s="5"/>
      <c r="BE45" s="5"/>
      <c r="BF45" s="5"/>
      <c r="BG45" s="5"/>
      <c r="BH45" s="5"/>
      <c r="BJ45" s="5"/>
    </row>
    <row r="46" spans="53:62" x14ac:dyDescent="0.2">
      <c r="BD46" s="5"/>
      <c r="BE46" s="5"/>
      <c r="BF46" s="5"/>
      <c r="BG46" s="5"/>
      <c r="BH46" s="5"/>
      <c r="BJ46" s="5"/>
    </row>
    <row r="47" spans="53:62" x14ac:dyDescent="0.2">
      <c r="BD47" s="5"/>
      <c r="BE47" s="5"/>
      <c r="BF47" s="5"/>
      <c r="BG47" s="5"/>
      <c r="BH47" s="5"/>
      <c r="BJ47" s="5"/>
    </row>
    <row r="48" spans="53:62" x14ac:dyDescent="0.2">
      <c r="BD48" s="5"/>
      <c r="BE48" s="5"/>
      <c r="BF48" s="5"/>
      <c r="BG48" s="5"/>
      <c r="BH48" s="5"/>
      <c r="BJ48" s="5"/>
    </row>
    <row r="49" spans="56:62" x14ac:dyDescent="0.2">
      <c r="BD49" s="5"/>
      <c r="BE49" s="5"/>
      <c r="BF49" s="5"/>
      <c r="BG49" s="5"/>
      <c r="BH49" s="5"/>
      <c r="BJ49" s="5"/>
    </row>
    <row r="50" spans="56:62" x14ac:dyDescent="0.2">
      <c r="BD50" s="5"/>
      <c r="BE50" s="5"/>
      <c r="BF50" s="5"/>
      <c r="BG50" s="5"/>
      <c r="BH50" s="5"/>
      <c r="BJ50" s="5"/>
    </row>
    <row r="51" spans="56:62" x14ac:dyDescent="0.2">
      <c r="BD51" s="5"/>
      <c r="BE51" s="5"/>
      <c r="BF51" s="5"/>
      <c r="BG51" s="5"/>
      <c r="BH51" s="5"/>
      <c r="BJ51" s="5"/>
    </row>
  </sheetData>
  <mergeCells count="24">
    <mergeCell ref="BC1:BC2"/>
    <mergeCell ref="BD1:BD2"/>
    <mergeCell ref="AX1:AX2"/>
    <mergeCell ref="AW1:AW2"/>
    <mergeCell ref="AV1:AV2"/>
    <mergeCell ref="BB1:BB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S1:AS2"/>
    <mergeCell ref="AP1:AP2"/>
    <mergeCell ref="AQ1:AQ2"/>
    <mergeCell ref="AR1:AR2"/>
    <mergeCell ref="AT1:AT2"/>
    <mergeCell ref="AU1:AU2"/>
    <mergeCell ref="AY1:AY2"/>
    <mergeCell ref="AZ1:AZ2"/>
    <mergeCell ref="BA1:BA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9488-DD1D-4340-9B39-B5EF032BBF7C}">
  <dimension ref="A2:P23"/>
  <sheetViews>
    <sheetView tabSelected="1" workbookViewId="0">
      <selection activeCell="C2" sqref="C2:P2"/>
    </sheetView>
  </sheetViews>
  <sheetFormatPr defaultRowHeight="12.75" x14ac:dyDescent="0.2"/>
  <cols>
    <col min="1" max="16384" width="9.140625" style="4"/>
  </cols>
  <sheetData>
    <row r="2" spans="1:16" x14ac:dyDescent="0.2">
      <c r="A2" s="6" t="s">
        <v>1</v>
      </c>
      <c r="B2" s="6"/>
      <c r="C2" s="6" t="s">
        <v>37</v>
      </c>
      <c r="D2" s="6" t="s">
        <v>38</v>
      </c>
      <c r="E2" s="6" t="s">
        <v>39</v>
      </c>
      <c r="F2" s="6" t="s">
        <v>40</v>
      </c>
      <c r="G2" s="6" t="s">
        <v>41</v>
      </c>
      <c r="H2" s="6" t="s">
        <v>42</v>
      </c>
      <c r="I2" s="6" t="s">
        <v>43</v>
      </c>
      <c r="J2" s="6" t="s">
        <v>44</v>
      </c>
      <c r="K2" s="6" t="s">
        <v>45</v>
      </c>
      <c r="L2" s="6" t="s">
        <v>46</v>
      </c>
      <c r="M2" s="6" t="s">
        <v>47</v>
      </c>
      <c r="N2" s="6" t="s">
        <v>48</v>
      </c>
      <c r="O2" s="6" t="s">
        <v>49</v>
      </c>
      <c r="P2" s="6" t="s">
        <v>50</v>
      </c>
    </row>
    <row r="3" spans="1:16" x14ac:dyDescent="0.2">
      <c r="A3" s="6"/>
      <c r="B3" s="6"/>
      <c r="C3" s="6" t="s">
        <v>52</v>
      </c>
      <c r="D3" s="6" t="s">
        <v>52</v>
      </c>
      <c r="E3" s="6" t="s">
        <v>52</v>
      </c>
      <c r="F3" s="6" t="s">
        <v>52</v>
      </c>
      <c r="G3" s="6" t="s">
        <v>52</v>
      </c>
      <c r="H3" s="6" t="s">
        <v>52</v>
      </c>
      <c r="I3" s="6" t="s">
        <v>52</v>
      </c>
      <c r="J3" s="6" t="s">
        <v>52</v>
      </c>
      <c r="K3" s="6" t="s">
        <v>52</v>
      </c>
      <c r="L3" s="6" t="s">
        <v>52</v>
      </c>
      <c r="M3" s="6" t="s">
        <v>52</v>
      </c>
      <c r="N3" s="6" t="s">
        <v>52</v>
      </c>
      <c r="O3" s="6" t="s">
        <v>52</v>
      </c>
      <c r="P3" s="6" t="s">
        <v>52</v>
      </c>
    </row>
    <row r="4" spans="1:16" x14ac:dyDescent="0.2">
      <c r="A4" s="6">
        <v>1</v>
      </c>
      <c r="C4" s="5">
        <v>29.482109757643993</v>
      </c>
      <c r="D4" s="5">
        <v>57.222267121653729</v>
      </c>
      <c r="E4" s="5">
        <v>6.7116482051793476</v>
      </c>
      <c r="F4" s="5">
        <v>24.390989740293218</v>
      </c>
      <c r="G4" s="5">
        <v>4.5639244141700761</v>
      </c>
      <c r="H4" s="5">
        <v>0.93939143390965818</v>
      </c>
      <c r="I4" s="5">
        <v>3.6236272709695321</v>
      </c>
      <c r="J4" s="5">
        <v>0.62318863690442761</v>
      </c>
      <c r="K4" s="5">
        <v>4.0382661270082902</v>
      </c>
      <c r="L4" s="5">
        <v>0.89189125755312182</v>
      </c>
      <c r="M4" s="5">
        <v>2.5288557582131159</v>
      </c>
      <c r="N4" s="5">
        <v>0.40367341694252834</v>
      </c>
      <c r="O4" s="5">
        <v>2.7040154393586571</v>
      </c>
      <c r="P4" s="5">
        <v>0.41530189395927009</v>
      </c>
    </row>
    <row r="5" spans="1:16" x14ac:dyDescent="0.2">
      <c r="A5" s="6">
        <v>2</v>
      </c>
      <c r="C5" s="5">
        <v>30.895906436162804</v>
      </c>
      <c r="D5" s="5">
        <v>60.71812913816251</v>
      </c>
      <c r="E5" s="5">
        <v>7.2793147273705641</v>
      </c>
      <c r="F5" s="5">
        <v>27.939863709904316</v>
      </c>
      <c r="G5" s="5">
        <v>5.4143451124626365</v>
      </c>
      <c r="H5" s="5">
        <v>1.2895190682454813</v>
      </c>
      <c r="I5" s="5">
        <v>4.3594596286759888</v>
      </c>
      <c r="J5" s="5">
        <v>0.76145861571759743</v>
      </c>
      <c r="K5" s="5">
        <v>4.7142211286799913</v>
      </c>
      <c r="L5" s="5">
        <v>1.0261649963276027</v>
      </c>
      <c r="M5" s="5">
        <v>2.9203439834877032</v>
      </c>
      <c r="N5" s="5">
        <v>0.44885341007964835</v>
      </c>
      <c r="O5" s="5">
        <v>3.1339587142085539</v>
      </c>
      <c r="P5" s="5">
        <v>0.45826415885160832</v>
      </c>
    </row>
    <row r="6" spans="1:16" x14ac:dyDescent="0.2">
      <c r="A6" s="6">
        <v>3</v>
      </c>
      <c r="C6" s="5">
        <v>28.028766318886898</v>
      </c>
      <c r="D6" s="5">
        <v>58.111214891565965</v>
      </c>
      <c r="E6" s="5">
        <v>7.2704603102133349</v>
      </c>
      <c r="F6" s="5">
        <v>29.182972106039276</v>
      </c>
      <c r="G6" s="5">
        <v>6.0359621466907702</v>
      </c>
      <c r="H6" s="5">
        <v>1.5125110197965388</v>
      </c>
      <c r="I6" s="5">
        <v>5.8246453170399146</v>
      </c>
      <c r="J6" s="5">
        <v>0.96399492271153642</v>
      </c>
      <c r="K6" s="5">
        <v>5.7240444822412098</v>
      </c>
      <c r="L6" s="5">
        <v>1.2006228467061255</v>
      </c>
      <c r="M6" s="5">
        <v>3.260424664029264</v>
      </c>
      <c r="N6" s="5">
        <v>0.47635427546746051</v>
      </c>
      <c r="O6" s="5">
        <v>3.1378147077049658</v>
      </c>
      <c r="P6" s="5">
        <v>0.45635472485639328</v>
      </c>
    </row>
    <row r="7" spans="1:16" x14ac:dyDescent="0.2">
      <c r="A7" s="6">
        <v>4</v>
      </c>
      <c r="C7" s="5">
        <v>163.6247204859182</v>
      </c>
      <c r="D7" s="5">
        <v>336.5016895319452</v>
      </c>
      <c r="E7" s="5">
        <v>37.778846537509075</v>
      </c>
      <c r="F7" s="5">
        <v>140.15044659650604</v>
      </c>
      <c r="G7" s="5">
        <v>25.97832752165132</v>
      </c>
      <c r="H7" s="5">
        <v>4.8664714132613121</v>
      </c>
      <c r="I7" s="5">
        <v>21.519625555566186</v>
      </c>
      <c r="J7" s="5">
        <v>2.9241179322249939</v>
      </c>
      <c r="K7" s="5">
        <v>13.478008543970686</v>
      </c>
      <c r="L7" s="5">
        <v>2.1807231297315339</v>
      </c>
      <c r="M7" s="5">
        <v>4.9153521617809277</v>
      </c>
      <c r="N7" s="5">
        <v>0.58733991078255954</v>
      </c>
      <c r="O7" s="5">
        <v>3.6583738297205359</v>
      </c>
      <c r="P7" s="5">
        <v>0.50981887672241433</v>
      </c>
    </row>
    <row r="8" spans="1:16" x14ac:dyDescent="0.2">
      <c r="A8" s="6">
        <v>5</v>
      </c>
      <c r="C8" s="5">
        <v>32.37890994509862</v>
      </c>
      <c r="D8" s="5">
        <v>67.320314260769095</v>
      </c>
      <c r="E8" s="5">
        <v>8.2887182832946351</v>
      </c>
      <c r="F8" s="5">
        <v>33.864678726966915</v>
      </c>
      <c r="G8" s="5">
        <v>7.1465710824371271</v>
      </c>
      <c r="H8" s="5">
        <v>1.6285475556715234</v>
      </c>
      <c r="I8" s="5">
        <v>6.366106863276741</v>
      </c>
      <c r="J8" s="5">
        <v>1.0876589178472587</v>
      </c>
      <c r="K8" s="5">
        <v>6.5335468246687176</v>
      </c>
      <c r="L8" s="5">
        <v>1.3741005968016227</v>
      </c>
      <c r="M8" s="5">
        <v>3.7626368318057546</v>
      </c>
      <c r="N8" s="5">
        <v>0.56278556668629864</v>
      </c>
      <c r="O8" s="5">
        <v>3.6699418102097709</v>
      </c>
      <c r="P8" s="5">
        <v>0.54896227362432248</v>
      </c>
    </row>
    <row r="9" spans="1:16" x14ac:dyDescent="0.2">
      <c r="A9" s="6">
        <v>6</v>
      </c>
      <c r="C9" s="5">
        <v>26.456782599414936</v>
      </c>
      <c r="D9" s="5">
        <v>54.205837610266158</v>
      </c>
      <c r="E9" s="5">
        <v>6.6693437676503651</v>
      </c>
      <c r="F9" s="5">
        <v>26.786980923166247</v>
      </c>
      <c r="G9" s="5">
        <v>5.4973623711054813</v>
      </c>
      <c r="H9" s="5">
        <v>1.2542036008052688</v>
      </c>
      <c r="I9" s="5">
        <v>4.841684356179214</v>
      </c>
      <c r="J9" s="5">
        <v>0.80917149573059266</v>
      </c>
      <c r="K9" s="5">
        <v>4.6803206498727477</v>
      </c>
      <c r="L9" s="5">
        <v>0.98892118557263708</v>
      </c>
      <c r="M9" s="5">
        <v>2.6919758520775274</v>
      </c>
      <c r="N9" s="5">
        <v>0.42037037092798574</v>
      </c>
      <c r="O9" s="5">
        <v>2.8090912621358743</v>
      </c>
      <c r="P9" s="5">
        <v>0.42962264892338287</v>
      </c>
    </row>
    <row r="10" spans="1:16" x14ac:dyDescent="0.2">
      <c r="A10" s="6">
        <v>7</v>
      </c>
      <c r="C10" s="5">
        <v>24.88479887994297</v>
      </c>
      <c r="D10" s="5">
        <v>51.4790652373893</v>
      </c>
      <c r="E10" s="5">
        <v>6.4184686148622196</v>
      </c>
      <c r="F10" s="5">
        <v>25.984975506304984</v>
      </c>
      <c r="G10" s="5">
        <v>5.7848855595758248</v>
      </c>
      <c r="H10" s="5">
        <v>1.3147444021313475</v>
      </c>
      <c r="I10" s="5">
        <v>5.1869239403609857</v>
      </c>
      <c r="J10" s="5">
        <v>0.85785810798875106</v>
      </c>
      <c r="K10" s="5">
        <v>5.1528727787009885</v>
      </c>
      <c r="L10" s="5">
        <v>1.0712496093467714</v>
      </c>
      <c r="M10" s="5">
        <v>3.0646805513919704</v>
      </c>
      <c r="N10" s="5">
        <v>0.43804949867729359</v>
      </c>
      <c r="O10" s="5">
        <v>3.019242907690308</v>
      </c>
      <c r="P10" s="5">
        <v>0.44107925289467309</v>
      </c>
    </row>
    <row r="11" spans="1:16" x14ac:dyDescent="0.2">
      <c r="A11" s="6">
        <v>8</v>
      </c>
      <c r="C11" s="5">
        <v>24.014770154700624</v>
      </c>
      <c r="D11" s="5">
        <v>51.499041591769355</v>
      </c>
      <c r="E11" s="5">
        <v>6.4184686148622196</v>
      </c>
      <c r="F11" s="5">
        <v>24.701766839326961</v>
      </c>
      <c r="G11" s="5">
        <v>4.7876660502684762</v>
      </c>
      <c r="H11" s="5">
        <v>1.009013355434649</v>
      </c>
      <c r="I11" s="5">
        <v>3.7476543601930103</v>
      </c>
      <c r="J11" s="5">
        <v>0.64168954956252777</v>
      </c>
      <c r="K11" s="5">
        <v>3.9714924566303873</v>
      </c>
      <c r="L11" s="5">
        <v>0.81544343547713982</v>
      </c>
      <c r="M11" s="5">
        <v>2.4042913228984748</v>
      </c>
      <c r="N11" s="5">
        <v>0.35849342380540844</v>
      </c>
      <c r="O11" s="5">
        <v>2.4340958946098428</v>
      </c>
      <c r="P11" s="5">
        <v>0.3723396290669318</v>
      </c>
    </row>
    <row r="12" spans="1:16" x14ac:dyDescent="0.2">
      <c r="A12" s="6">
        <v>9</v>
      </c>
      <c r="C12" s="5">
        <v>26.77315668132124</v>
      </c>
      <c r="D12" s="5">
        <v>54.445553862826749</v>
      </c>
      <c r="E12" s="5">
        <v>6.6545864057216511</v>
      </c>
      <c r="F12" s="5">
        <v>26.125326454255703</v>
      </c>
      <c r="G12" s="5">
        <v>5.2138888050079624</v>
      </c>
      <c r="H12" s="5">
        <v>1.1785275991476698</v>
      </c>
      <c r="I12" s="5">
        <v>4.4825611426067544</v>
      </c>
      <c r="J12" s="5">
        <v>0.76827474143373964</v>
      </c>
      <c r="K12" s="5">
        <v>4.7594217670896493</v>
      </c>
      <c r="L12" s="5">
        <v>1.0438068014220601</v>
      </c>
      <c r="M12" s="5">
        <v>2.8827769315674145</v>
      </c>
      <c r="N12" s="5">
        <v>0.43804949867729359</v>
      </c>
      <c r="O12" s="5">
        <v>2.7859553011574043</v>
      </c>
      <c r="P12" s="5">
        <v>0.42198491294252272</v>
      </c>
    </row>
    <row r="13" spans="1:16" x14ac:dyDescent="0.2">
      <c r="A13" s="6">
        <v>10</v>
      </c>
      <c r="C13" s="5">
        <v>27.020323932810541</v>
      </c>
      <c r="D13" s="5">
        <v>55.754005074720041</v>
      </c>
      <c r="E13" s="5">
        <v>6.9507174684245223</v>
      </c>
      <c r="F13" s="5">
        <v>27.829587965085892</v>
      </c>
      <c r="G13" s="5">
        <v>5.949907671268309</v>
      </c>
      <c r="H13" s="5">
        <v>1.3924384304998154</v>
      </c>
      <c r="I13" s="5">
        <v>5.1128779169439831</v>
      </c>
      <c r="J13" s="5">
        <v>0.81890881818222439</v>
      </c>
      <c r="K13" s="5">
        <v>5.1015084168718321</v>
      </c>
      <c r="L13" s="5">
        <v>1.0545879045353397</v>
      </c>
      <c r="M13" s="5">
        <v>2.9154009503402967</v>
      </c>
      <c r="N13" s="5">
        <v>0.44492471502424663</v>
      </c>
      <c r="O13" s="5">
        <v>2.849579193848196</v>
      </c>
      <c r="P13" s="5">
        <v>0.43535095090902798</v>
      </c>
    </row>
    <row r="14" spans="1:16" x14ac:dyDescent="0.2">
      <c r="A14" s="6">
        <v>11</v>
      </c>
      <c r="C14" s="5">
        <v>30.332365102767195</v>
      </c>
      <c r="D14" s="5">
        <v>61.577112376504665</v>
      </c>
      <c r="E14" s="5">
        <v>7.4347589396863576</v>
      </c>
      <c r="F14" s="5">
        <v>29.243122512303874</v>
      </c>
      <c r="G14" s="5">
        <v>5.6583348604251453</v>
      </c>
      <c r="H14" s="5">
        <v>1.3470328295052563</v>
      </c>
      <c r="I14" s="5">
        <v>4.727838595175573</v>
      </c>
      <c r="J14" s="5">
        <v>0.7624323479627606</v>
      </c>
      <c r="K14" s="5">
        <v>4.5272548516218611</v>
      </c>
      <c r="L14" s="5">
        <v>0.93991617142136674</v>
      </c>
      <c r="M14" s="5">
        <v>2.5624683836154798</v>
      </c>
      <c r="N14" s="5">
        <v>0.39188733177632318</v>
      </c>
      <c r="O14" s="5">
        <v>2.5748396572288672</v>
      </c>
      <c r="P14" s="5">
        <v>0.37043019507171676</v>
      </c>
    </row>
    <row r="15" spans="1:16" x14ac:dyDescent="0.2">
      <c r="A15" s="6">
        <v>12</v>
      </c>
      <c r="C15" s="5">
        <v>31.48910783973713</v>
      </c>
      <c r="D15" s="5">
        <v>65.662276847224916</v>
      </c>
      <c r="E15" s="5">
        <v>7.9788136827916301</v>
      </c>
      <c r="F15" s="5">
        <v>31.889740387946045</v>
      </c>
      <c r="G15" s="5">
        <v>6.791216719222021</v>
      </c>
      <c r="H15" s="5">
        <v>1.5165470732182773</v>
      </c>
      <c r="I15" s="5">
        <v>6.1967265847103494</v>
      </c>
      <c r="J15" s="5">
        <v>1.065263076208506</v>
      </c>
      <c r="K15" s="5">
        <v>6.6034023567563702</v>
      </c>
      <c r="L15" s="5">
        <v>1.3995832041602834</v>
      </c>
      <c r="M15" s="5">
        <v>3.9030189731920961</v>
      </c>
      <c r="N15" s="5">
        <v>0.56867860926940128</v>
      </c>
      <c r="O15" s="5">
        <v>3.8318935370590594</v>
      </c>
      <c r="P15" s="5">
        <v>0.59478868950948338</v>
      </c>
    </row>
    <row r="16" spans="1:16" x14ac:dyDescent="0.2">
      <c r="A16" s="6">
        <v>13</v>
      </c>
      <c r="C16" s="5">
        <v>27.48499836561043</v>
      </c>
      <c r="D16" s="5">
        <v>55.614170594059686</v>
      </c>
      <c r="E16" s="5">
        <v>6.774612949408529</v>
      </c>
      <c r="F16" s="5">
        <v>27.258159105572243</v>
      </c>
      <c r="G16" s="5">
        <v>5.4993871822918932</v>
      </c>
      <c r="H16" s="5">
        <v>1.3137353887759129</v>
      </c>
      <c r="I16" s="5">
        <v>4.8583447114480389</v>
      </c>
      <c r="J16" s="5">
        <v>0.82572494389836648</v>
      </c>
      <c r="K16" s="5">
        <v>5.0521986295158419</v>
      </c>
      <c r="L16" s="5">
        <v>1.0898715147242544</v>
      </c>
      <c r="M16" s="5">
        <v>2.9737287414796922</v>
      </c>
      <c r="N16" s="5">
        <v>0.45474645266275099</v>
      </c>
      <c r="O16" s="5">
        <v>3.0626228345249391</v>
      </c>
      <c r="P16" s="5">
        <v>0.47449434781093613</v>
      </c>
    </row>
    <row r="17" spans="1:16" x14ac:dyDescent="0.2">
      <c r="A17" s="6">
        <v>14</v>
      </c>
      <c r="C17" s="5">
        <v>27.089530763227547</v>
      </c>
      <c r="D17" s="5">
        <v>56.782787325292624</v>
      </c>
      <c r="E17" s="5">
        <v>6.9517012925531025</v>
      </c>
      <c r="F17" s="5">
        <v>26.837106261720077</v>
      </c>
      <c r="G17" s="5">
        <v>5.2766579517866985</v>
      </c>
      <c r="H17" s="5">
        <v>1.1250498913096336</v>
      </c>
      <c r="I17" s="5">
        <v>4.2465394429650605</v>
      </c>
      <c r="J17" s="5">
        <v>0.73711530958851823</v>
      </c>
      <c r="K17" s="5">
        <v>4.6217652773875093</v>
      </c>
      <c r="L17" s="5">
        <v>0.95951817708187492</v>
      </c>
      <c r="M17" s="5">
        <v>2.7245998708504096</v>
      </c>
      <c r="N17" s="5">
        <v>0.40072689565097708</v>
      </c>
      <c r="O17" s="5">
        <v>2.7310073938335386</v>
      </c>
      <c r="P17" s="5">
        <v>0.40957359197362497</v>
      </c>
    </row>
    <row r="18" spans="1:16" x14ac:dyDescent="0.2">
      <c r="A18" s="6">
        <v>15</v>
      </c>
      <c r="C18" s="5">
        <v>17.667515136455339</v>
      </c>
      <c r="D18" s="5">
        <v>29.555016305284234</v>
      </c>
      <c r="E18" s="5">
        <v>3.1433180908161846</v>
      </c>
      <c r="F18" s="5">
        <v>10.706772315097886</v>
      </c>
      <c r="G18" s="5">
        <v>1.7423500259065443</v>
      </c>
      <c r="H18" s="5">
        <v>0.4288306760597258</v>
      </c>
      <c r="I18" s="5">
        <v>1.6234590634177672</v>
      </c>
      <c r="J18" s="5">
        <v>0.33009523111031402</v>
      </c>
      <c r="K18" s="5">
        <v>2.5774636765870773</v>
      </c>
      <c r="L18" s="5">
        <v>0.65274678849492207</v>
      </c>
      <c r="M18" s="5">
        <v>2.0236777705481819</v>
      </c>
      <c r="N18" s="5">
        <v>0.33001038465374588</v>
      </c>
      <c r="O18" s="5">
        <v>2.3135960978469794</v>
      </c>
      <c r="P18" s="5">
        <v>0.35610944010760398</v>
      </c>
    </row>
    <row r="19" spans="1:16" x14ac:dyDescent="0.2">
      <c r="A19" s="6">
        <v>16</v>
      </c>
      <c r="C19" s="5">
        <v>30.76737946538837</v>
      </c>
      <c r="D19" s="5">
        <v>60.678176429402406</v>
      </c>
      <c r="E19" s="5">
        <v>7.2871853203992121</v>
      </c>
      <c r="F19" s="5">
        <v>28.55139284026103</v>
      </c>
      <c r="G19" s="5">
        <v>5.4730646368685516</v>
      </c>
      <c r="H19" s="5">
        <v>1.256221627516138</v>
      </c>
      <c r="I19" s="5">
        <v>4.9546045418901414</v>
      </c>
      <c r="J19" s="5">
        <v>0.83740973084032455</v>
      </c>
      <c r="K19" s="5">
        <v>5.4456496411271811</v>
      </c>
      <c r="L19" s="5">
        <v>1.1780805401965411</v>
      </c>
      <c r="M19" s="5">
        <v>3.4611118098139637</v>
      </c>
      <c r="N19" s="5">
        <v>0.51662339978532834</v>
      </c>
      <c r="O19" s="5">
        <v>3.533054041087158</v>
      </c>
      <c r="P19" s="5">
        <v>0.50122642374394666</v>
      </c>
    </row>
    <row r="21" spans="1:16" x14ac:dyDescent="0.2">
      <c r="A21" s="6" t="s">
        <v>108</v>
      </c>
      <c r="C21" s="5">
        <f>MIN(C4:C19)</f>
        <v>17.667515136455339</v>
      </c>
      <c r="D21" s="5">
        <f t="shared" ref="D21:P21" si="0">MIN(D4:D19)</f>
        <v>29.555016305284234</v>
      </c>
      <c r="E21" s="5">
        <f t="shared" si="0"/>
        <v>3.1433180908161846</v>
      </c>
      <c r="F21" s="5">
        <f t="shared" si="0"/>
        <v>10.706772315097886</v>
      </c>
      <c r="G21" s="5">
        <f t="shared" si="0"/>
        <v>1.7423500259065443</v>
      </c>
      <c r="H21" s="5">
        <f t="shared" si="0"/>
        <v>0.4288306760597258</v>
      </c>
      <c r="I21" s="5">
        <f t="shared" si="0"/>
        <v>1.6234590634177672</v>
      </c>
      <c r="J21" s="5">
        <f t="shared" si="0"/>
        <v>0.33009523111031402</v>
      </c>
      <c r="K21" s="5">
        <f t="shared" si="0"/>
        <v>2.5774636765870773</v>
      </c>
      <c r="L21" s="5">
        <f t="shared" si="0"/>
        <v>0.65274678849492207</v>
      </c>
      <c r="M21" s="5">
        <f t="shared" si="0"/>
        <v>2.0236777705481819</v>
      </c>
      <c r="N21" s="5">
        <f t="shared" si="0"/>
        <v>0.33001038465374588</v>
      </c>
      <c r="O21" s="5">
        <f t="shared" si="0"/>
        <v>2.3135960978469794</v>
      </c>
      <c r="P21" s="5">
        <f t="shared" si="0"/>
        <v>0.35610944010760398</v>
      </c>
    </row>
    <row r="22" spans="1:16" x14ac:dyDescent="0.2">
      <c r="A22" s="6" t="s">
        <v>109</v>
      </c>
      <c r="C22" s="5">
        <f>MAX(C4:C19)</f>
        <v>163.6247204859182</v>
      </c>
      <c r="D22" s="5">
        <f t="shared" ref="D22:P22" si="1">MAX(D4:D19)</f>
        <v>336.5016895319452</v>
      </c>
      <c r="E22" s="5">
        <f t="shared" si="1"/>
        <v>37.778846537509075</v>
      </c>
      <c r="F22" s="5">
        <f t="shared" si="1"/>
        <v>140.15044659650604</v>
      </c>
      <c r="G22" s="5">
        <f t="shared" si="1"/>
        <v>25.97832752165132</v>
      </c>
      <c r="H22" s="5">
        <f t="shared" si="1"/>
        <v>4.8664714132613121</v>
      </c>
      <c r="I22" s="5">
        <f t="shared" si="1"/>
        <v>21.519625555566186</v>
      </c>
      <c r="J22" s="5">
        <f t="shared" si="1"/>
        <v>2.9241179322249939</v>
      </c>
      <c r="K22" s="5">
        <f t="shared" si="1"/>
        <v>13.478008543970686</v>
      </c>
      <c r="L22" s="5">
        <f t="shared" si="1"/>
        <v>2.1807231297315339</v>
      </c>
      <c r="M22" s="5">
        <f t="shared" si="1"/>
        <v>4.9153521617809277</v>
      </c>
      <c r="N22" s="5">
        <f t="shared" si="1"/>
        <v>0.58733991078255954</v>
      </c>
      <c r="O22" s="5">
        <f t="shared" si="1"/>
        <v>3.8318935370590594</v>
      </c>
      <c r="P22" s="5">
        <f t="shared" si="1"/>
        <v>0.59478868950948338</v>
      </c>
    </row>
    <row r="23" spans="1:16" x14ac:dyDescent="0.2">
      <c r="A23" s="6" t="s">
        <v>110</v>
      </c>
      <c r="C23" s="5">
        <f>AVERAGE(C4:C19)</f>
        <v>36.149446366567922</v>
      </c>
      <c r="D23" s="5">
        <f t="shared" ref="D23:P23" si="2">AVERAGE(D4:D19)</f>
        <v>73.570416137427287</v>
      </c>
      <c r="E23" s="5">
        <f t="shared" si="2"/>
        <v>8.750685200671434</v>
      </c>
      <c r="F23" s="5">
        <f t="shared" si="2"/>
        <v>33.840242624421919</v>
      </c>
      <c r="G23" s="5">
        <f t="shared" si="2"/>
        <v>6.6758657569461786</v>
      </c>
      <c r="H23" s="5">
        <f t="shared" si="2"/>
        <v>1.4607990853305128</v>
      </c>
      <c r="I23" s="5">
        <f t="shared" si="2"/>
        <v>5.7295424557137018</v>
      </c>
      <c r="J23" s="5">
        <f t="shared" si="2"/>
        <v>0.92589764861952761</v>
      </c>
      <c r="K23" s="5">
        <f t="shared" si="2"/>
        <v>5.4363398505456457</v>
      </c>
      <c r="L23" s="5">
        <f t="shared" si="2"/>
        <v>1.1167017599720748</v>
      </c>
      <c r="M23" s="5">
        <f t="shared" si="2"/>
        <v>3.0622090348182667</v>
      </c>
      <c r="N23" s="5">
        <f t="shared" si="2"/>
        <v>0.45259794755432814</v>
      </c>
      <c r="O23" s="5">
        <f t="shared" si="2"/>
        <v>3.0155676638890405</v>
      </c>
      <c r="P23" s="5">
        <f t="shared" si="2"/>
        <v>0.44973137568549115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52F32-0484-4D83-9837-17035968C719}">
  <dimension ref="A2:P64"/>
  <sheetViews>
    <sheetView workbookViewId="0">
      <selection activeCell="A5" sqref="A5:A20"/>
    </sheetView>
  </sheetViews>
  <sheetFormatPr defaultRowHeight="15" x14ac:dyDescent="0.25"/>
  <cols>
    <col min="1" max="11" width="9.140625" style="11"/>
    <col min="12" max="16" width="9.140625" style="1"/>
  </cols>
  <sheetData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N2" s="17"/>
      <c r="O2" s="20"/>
      <c r="P2" s="20"/>
    </row>
    <row r="3" spans="1:16" x14ac:dyDescent="0.25">
      <c r="A3" s="10" t="s">
        <v>1</v>
      </c>
      <c r="B3" s="4"/>
      <c r="C3" s="6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6" t="s">
        <v>60</v>
      </c>
      <c r="J3" s="6" t="s">
        <v>61</v>
      </c>
      <c r="K3" s="6" t="s">
        <v>62</v>
      </c>
      <c r="L3" s="6" t="s">
        <v>63</v>
      </c>
      <c r="N3" s="17" t="s">
        <v>111</v>
      </c>
      <c r="O3" s="20" t="s">
        <v>112</v>
      </c>
      <c r="P3" s="20" t="s">
        <v>113</v>
      </c>
    </row>
    <row r="4" spans="1:16" x14ac:dyDescent="0.25">
      <c r="A4" s="4"/>
      <c r="B4" s="4"/>
      <c r="C4" s="6" t="s">
        <v>51</v>
      </c>
      <c r="D4" s="6" t="s">
        <v>51</v>
      </c>
      <c r="E4" s="6" t="s">
        <v>51</v>
      </c>
      <c r="F4" s="6" t="s">
        <v>51</v>
      </c>
      <c r="G4" s="6" t="s">
        <v>51</v>
      </c>
      <c r="H4" s="6" t="s">
        <v>51</v>
      </c>
      <c r="I4" s="6" t="s">
        <v>51</v>
      </c>
      <c r="J4" s="6" t="s">
        <v>51</v>
      </c>
      <c r="K4" s="6" t="s">
        <v>51</v>
      </c>
      <c r="L4" s="6" t="s">
        <v>51</v>
      </c>
      <c r="N4" s="17"/>
      <c r="O4" s="20"/>
      <c r="P4" s="20"/>
    </row>
    <row r="5" spans="1:16" x14ac:dyDescent="0.25">
      <c r="A5" s="6">
        <v>1</v>
      </c>
      <c r="B5" s="4"/>
      <c r="C5" s="5">
        <v>16.876245435480836</v>
      </c>
      <c r="D5" s="5">
        <v>73.889866999079061</v>
      </c>
      <c r="E5" s="5">
        <v>0.90607951813756737</v>
      </c>
      <c r="F5" s="5">
        <v>1.3669242255686396</v>
      </c>
      <c r="G5" s="5">
        <v>1.193726696660825E-2</v>
      </c>
      <c r="H5" s="5">
        <v>0.85824735061101187</v>
      </c>
      <c r="I5" s="5">
        <v>0.51793008162012955</v>
      </c>
      <c r="J5" s="5">
        <v>0.71696381342691673</v>
      </c>
      <c r="K5" s="5">
        <v>4.8249280325664872</v>
      </c>
      <c r="L5" s="5">
        <v>3.0877276542728371E-2</v>
      </c>
      <c r="N5" s="5">
        <f>(F5+K5+J5+I5+H5+L5+E5)/C5</f>
        <v>0.54644561396844427</v>
      </c>
      <c r="O5" s="5">
        <f>C5/(C5+J5+J5+K5)*100</f>
        <v>72.946495311404817</v>
      </c>
      <c r="P5" s="5">
        <f>100*(C5-K5)/(C5+I5+J5-K5)</f>
        <v>90.705447419487257</v>
      </c>
    </row>
    <row r="6" spans="1:16" x14ac:dyDescent="0.25">
      <c r="A6" s="6">
        <v>2</v>
      </c>
      <c r="B6" s="4"/>
      <c r="C6" s="5">
        <v>16.94243007068118</v>
      </c>
      <c r="D6" s="5">
        <v>71.172751426633937</v>
      </c>
      <c r="E6" s="5">
        <v>0.8606174888430681</v>
      </c>
      <c r="F6" s="5">
        <v>3.0007241066731098</v>
      </c>
      <c r="G6" s="5">
        <v>2.8584114205519588E-2</v>
      </c>
      <c r="H6" s="5">
        <v>1.4190937303917861</v>
      </c>
      <c r="I6" s="5">
        <v>0.55902360900446324</v>
      </c>
      <c r="J6" s="5">
        <v>2.4270857958801835</v>
      </c>
      <c r="K6" s="5">
        <v>3.5143403082149463</v>
      </c>
      <c r="L6" s="5">
        <v>7.5349349471808727E-2</v>
      </c>
      <c r="N6" s="5">
        <f t="shared" ref="N6:N20" si="0">(F6+K6+J6+I6+H6+L6+E6)/C6</f>
        <v>0.69979538584589118</v>
      </c>
      <c r="O6" s="5">
        <f t="shared" ref="O6:O20" si="1">C6/(C6+J6+J6+K6)*100</f>
        <v>66.937177171528788</v>
      </c>
      <c r="P6" s="5">
        <f t="shared" ref="P6:P20" si="2">100*(C6-K6)/(C6+I6+J6-K6)</f>
        <v>81.807766711980378</v>
      </c>
    </row>
    <row r="7" spans="1:16" x14ac:dyDescent="0.25">
      <c r="A7" s="6">
        <v>3</v>
      </c>
      <c r="B7" s="4"/>
      <c r="C7" s="5">
        <v>15.926368123616276</v>
      </c>
      <c r="D7" s="5">
        <v>71.702591901946519</v>
      </c>
      <c r="E7" s="5">
        <v>0.86189645419215855</v>
      </c>
      <c r="F7" s="5">
        <v>3.7165753527235617</v>
      </c>
      <c r="G7" s="5">
        <v>3.6509208532597773E-2</v>
      </c>
      <c r="H7" s="5">
        <v>1.6954843965481801</v>
      </c>
      <c r="I7" s="5">
        <v>0.68031822093413108</v>
      </c>
      <c r="J7" s="5">
        <v>1.7800057089420167</v>
      </c>
      <c r="K7" s="5">
        <v>3.4651943094309421</v>
      </c>
      <c r="L7" s="5">
        <v>0.13505632313362623</v>
      </c>
      <c r="M7" s="6"/>
      <c r="N7" s="5">
        <f t="shared" si="0"/>
        <v>0.77447228835646875</v>
      </c>
      <c r="O7" s="5">
        <f t="shared" si="1"/>
        <v>69.391180870892953</v>
      </c>
      <c r="P7" s="5">
        <f t="shared" si="2"/>
        <v>83.511548424451448</v>
      </c>
    </row>
    <row r="8" spans="1:16" x14ac:dyDescent="0.25">
      <c r="A8" s="6">
        <v>4</v>
      </c>
      <c r="B8" s="4"/>
      <c r="C8" s="5">
        <v>18.383270703421552</v>
      </c>
      <c r="D8" s="5">
        <v>72.895662565144846</v>
      </c>
      <c r="E8" s="5">
        <v>0.92464623879441254</v>
      </c>
      <c r="F8" s="5">
        <v>1.1698859465092244</v>
      </c>
      <c r="G8" s="5">
        <v>1.0894225961654578E-2</v>
      </c>
      <c r="H8" s="5">
        <v>0.94519643119473917</v>
      </c>
      <c r="I8" s="5">
        <v>0.34714667046424702</v>
      </c>
      <c r="J8" s="5">
        <v>1.8965779132817906</v>
      </c>
      <c r="K8" s="5">
        <v>3.1673258430063385</v>
      </c>
      <c r="L8" s="5">
        <v>0.25939346222117937</v>
      </c>
      <c r="M8" s="6"/>
      <c r="N8" s="5">
        <f t="shared" si="0"/>
        <v>0.47380972874705957</v>
      </c>
      <c r="O8" s="5">
        <f t="shared" si="1"/>
        <v>72.535709917259055</v>
      </c>
      <c r="P8" s="5">
        <f t="shared" si="2"/>
        <v>87.149100440178316</v>
      </c>
    </row>
    <row r="9" spans="1:16" x14ac:dyDescent="0.25">
      <c r="A9" s="6">
        <v>5</v>
      </c>
      <c r="B9" s="4"/>
      <c r="C9" s="5">
        <v>15.55178018180955</v>
      </c>
      <c r="D9" s="5">
        <v>65.645454618172224</v>
      </c>
      <c r="E9" s="5">
        <v>0.79470229817933002</v>
      </c>
      <c r="F9" s="5">
        <v>8.9996338454781242</v>
      </c>
      <c r="G9" s="5">
        <v>0.20618772292594689</v>
      </c>
      <c r="H9" s="5">
        <v>1.835123615908786</v>
      </c>
      <c r="I9" s="5">
        <v>0.79360785518329413</v>
      </c>
      <c r="J9" s="5">
        <v>1.8686029827881954</v>
      </c>
      <c r="K9" s="5">
        <v>4.138246304209841</v>
      </c>
      <c r="L9" s="5">
        <v>0.16666057534470366</v>
      </c>
      <c r="M9" s="5"/>
      <c r="N9" s="5">
        <f t="shared" si="0"/>
        <v>1.1957844863859466</v>
      </c>
      <c r="O9" s="5">
        <f t="shared" si="1"/>
        <v>66.383343461255564</v>
      </c>
      <c r="P9" s="5">
        <f t="shared" si="2"/>
        <v>81.086536508249964</v>
      </c>
    </row>
    <row r="10" spans="1:16" x14ac:dyDescent="0.25">
      <c r="A10" s="6">
        <v>6</v>
      </c>
      <c r="B10" s="4"/>
      <c r="C10" s="5">
        <v>15.967304134398409</v>
      </c>
      <c r="D10" s="5">
        <v>71.809828428139625</v>
      </c>
      <c r="E10" s="5">
        <v>0.73655450301448611</v>
      </c>
      <c r="F10" s="5">
        <v>3.3407018117632998</v>
      </c>
      <c r="G10" s="5">
        <v>4.5724944768634028E-2</v>
      </c>
      <c r="H10" s="5">
        <v>1.351721237879691</v>
      </c>
      <c r="I10" s="5">
        <v>0.40514771650153086</v>
      </c>
      <c r="J10" s="5">
        <v>2.2169236982329039</v>
      </c>
      <c r="K10" s="5">
        <v>4.00846272207475</v>
      </c>
      <c r="L10" s="5">
        <v>0.11763080322667561</v>
      </c>
      <c r="M10" s="5"/>
      <c r="N10" s="5">
        <f t="shared" si="0"/>
        <v>0.76262983345197799</v>
      </c>
      <c r="O10" s="5">
        <f t="shared" si="1"/>
        <v>65.413996177657381</v>
      </c>
      <c r="P10" s="5">
        <f t="shared" si="2"/>
        <v>82.017096968931853</v>
      </c>
    </row>
    <row r="11" spans="1:16" x14ac:dyDescent="0.25">
      <c r="A11" s="6">
        <v>7</v>
      </c>
      <c r="B11" s="4"/>
      <c r="C11" s="5">
        <v>15.375069939099239</v>
      </c>
      <c r="D11" s="5">
        <v>69.183394047181196</v>
      </c>
      <c r="E11" s="5">
        <v>0.85075206553093863</v>
      </c>
      <c r="F11" s="5">
        <v>6.4992053285891265</v>
      </c>
      <c r="G11" s="5">
        <v>0.16039130924289491</v>
      </c>
      <c r="H11" s="5">
        <v>1.9227113555856878</v>
      </c>
      <c r="I11" s="5">
        <v>0.71868701414169933</v>
      </c>
      <c r="J11" s="5">
        <v>2.0976498704406215</v>
      </c>
      <c r="K11" s="5">
        <v>3.0180694674403106</v>
      </c>
      <c r="L11" s="5">
        <v>0.17406960274829664</v>
      </c>
      <c r="M11" s="5"/>
      <c r="N11" s="5">
        <f t="shared" si="0"/>
        <v>0.99389106943938488</v>
      </c>
      <c r="O11" s="5">
        <f t="shared" si="1"/>
        <v>68.066101596288505</v>
      </c>
      <c r="P11" s="5">
        <f t="shared" si="2"/>
        <v>81.438909460324638</v>
      </c>
    </row>
    <row r="12" spans="1:16" x14ac:dyDescent="0.25">
      <c r="A12" s="6">
        <v>8</v>
      </c>
      <c r="B12" s="4"/>
      <c r="C12" s="5">
        <v>17.763148194047751</v>
      </c>
      <c r="D12" s="5">
        <v>70.553539553415419</v>
      </c>
      <c r="E12" s="5">
        <v>0.81892241628059503</v>
      </c>
      <c r="F12" s="5">
        <v>3.6533140892333411</v>
      </c>
      <c r="G12" s="5">
        <v>3.6908929161367496E-2</v>
      </c>
      <c r="H12" s="5">
        <v>1.9632995893567438</v>
      </c>
      <c r="I12" s="5">
        <v>0.22646637355994487</v>
      </c>
      <c r="J12" s="5">
        <v>1.4599808802755219</v>
      </c>
      <c r="K12" s="5">
        <v>3.4504298925613757</v>
      </c>
      <c r="L12" s="5">
        <v>7.3990082107937172E-2</v>
      </c>
      <c r="M12" s="5"/>
      <c r="N12" s="5">
        <f t="shared" si="0"/>
        <v>0.65564973033766882</v>
      </c>
      <c r="O12" s="5">
        <f t="shared" si="1"/>
        <v>73.603575383235651</v>
      </c>
      <c r="P12" s="5">
        <f t="shared" si="2"/>
        <v>89.459154929023782</v>
      </c>
    </row>
    <row r="13" spans="1:16" x14ac:dyDescent="0.25">
      <c r="A13" s="6">
        <v>9</v>
      </c>
      <c r="B13" s="4"/>
      <c r="C13" s="5">
        <v>17.150726188756366</v>
      </c>
      <c r="D13" s="5">
        <v>71.075320958830233</v>
      </c>
      <c r="E13" s="5">
        <v>0.8451611179078703</v>
      </c>
      <c r="F13" s="5">
        <v>4.0764165964033046</v>
      </c>
      <c r="G13" s="5">
        <v>2.2248030039308784E-2</v>
      </c>
      <c r="H13" s="5">
        <v>1.4303806832000405</v>
      </c>
      <c r="I13" s="5">
        <v>0.35478671123264871</v>
      </c>
      <c r="J13" s="5">
        <v>1.7280583071024376</v>
      </c>
      <c r="K13" s="5">
        <v>3.2225153216726712</v>
      </c>
      <c r="L13" s="5">
        <v>9.4386084855120497E-2</v>
      </c>
      <c r="M13" s="5"/>
      <c r="N13" s="5">
        <f t="shared" si="0"/>
        <v>0.68520158814489429</v>
      </c>
      <c r="O13" s="5">
        <f t="shared" si="1"/>
        <v>71.973093438159282</v>
      </c>
      <c r="P13" s="5">
        <f t="shared" si="2"/>
        <v>86.991207617781626</v>
      </c>
    </row>
    <row r="14" spans="1:16" x14ac:dyDescent="0.25">
      <c r="A14" s="6">
        <v>10</v>
      </c>
      <c r="B14" s="4"/>
      <c r="C14" s="5">
        <v>17.460270355142722</v>
      </c>
      <c r="D14" s="5">
        <v>69.642307786147072</v>
      </c>
      <c r="E14" s="5">
        <v>0.8495246005126863</v>
      </c>
      <c r="F14" s="5">
        <v>5.2176630154752948</v>
      </c>
      <c r="G14" s="5">
        <v>0.12730576613755698</v>
      </c>
      <c r="H14" s="5">
        <v>1.6461728824387241</v>
      </c>
      <c r="I14" s="5">
        <v>0.48213622360060876</v>
      </c>
      <c r="J14" s="5">
        <v>1.5889903742997256</v>
      </c>
      <c r="K14" s="5">
        <v>2.8240928771681144</v>
      </c>
      <c r="L14" s="5">
        <v>0.16153611907734314</v>
      </c>
      <c r="M14" s="5"/>
      <c r="N14" s="5">
        <f t="shared" si="0"/>
        <v>0.73138134936216526</v>
      </c>
      <c r="O14" s="5">
        <f t="shared" si="1"/>
        <v>74.418269416512501</v>
      </c>
      <c r="P14" s="5">
        <f t="shared" si="2"/>
        <v>87.603466193621216</v>
      </c>
    </row>
    <row r="15" spans="1:16" x14ac:dyDescent="0.25">
      <c r="A15" s="6">
        <v>11</v>
      </c>
      <c r="B15" s="4"/>
      <c r="C15" s="5">
        <v>17.573715771832962</v>
      </c>
      <c r="D15" s="5">
        <v>72.349123580356164</v>
      </c>
      <c r="E15" s="5">
        <v>0.76042146990765802</v>
      </c>
      <c r="F15" s="5">
        <v>2.9740319144063752</v>
      </c>
      <c r="G15" s="5">
        <v>2.8568165006164874E-2</v>
      </c>
      <c r="H15" s="5">
        <v>1.3033796734278373</v>
      </c>
      <c r="I15" s="5">
        <v>0.36136945486876537</v>
      </c>
      <c r="J15" s="5">
        <v>1.6691521601300969</v>
      </c>
      <c r="K15" s="5">
        <v>2.8810657294645976</v>
      </c>
      <c r="L15" s="5">
        <v>9.9172080599400289E-2</v>
      </c>
      <c r="M15" s="5"/>
      <c r="N15" s="5">
        <f t="shared" si="0"/>
        <v>0.57179668849035059</v>
      </c>
      <c r="O15" s="5">
        <f t="shared" si="1"/>
        <v>73.860599266658696</v>
      </c>
      <c r="P15" s="5">
        <f t="shared" si="2"/>
        <v>87.858035206471527</v>
      </c>
    </row>
    <row r="16" spans="1:16" x14ac:dyDescent="0.25">
      <c r="A16" s="6">
        <v>12</v>
      </c>
      <c r="B16" s="4"/>
      <c r="C16" s="5">
        <v>17.988640956404694</v>
      </c>
      <c r="D16" s="5">
        <v>67.211408948119896</v>
      </c>
      <c r="E16" s="5">
        <v>0.89906228240211772</v>
      </c>
      <c r="F16" s="5">
        <v>6.4803109294626795</v>
      </c>
      <c r="G16" s="5">
        <v>0.14112675675462066</v>
      </c>
      <c r="H16" s="5">
        <v>1.9662827576252095</v>
      </c>
      <c r="I16" s="5">
        <v>0.47626726682706039</v>
      </c>
      <c r="J16" s="5">
        <v>1.2942088227894732</v>
      </c>
      <c r="K16" s="5">
        <v>3.4076029765648483</v>
      </c>
      <c r="L16" s="5">
        <v>0.13508830304939839</v>
      </c>
      <c r="M16" s="5"/>
      <c r="N16" s="5">
        <f t="shared" si="0"/>
        <v>0.81489331930334885</v>
      </c>
      <c r="O16" s="5">
        <f t="shared" si="1"/>
        <v>75.000603604486372</v>
      </c>
      <c r="P16" s="5">
        <f t="shared" si="2"/>
        <v>89.172402738388143</v>
      </c>
    </row>
    <row r="17" spans="1:16" x14ac:dyDescent="0.25">
      <c r="A17" s="6">
        <v>13</v>
      </c>
      <c r="B17" s="4"/>
      <c r="C17" s="5">
        <v>17.614755255951081</v>
      </c>
      <c r="D17" s="5">
        <v>71.490066624050598</v>
      </c>
      <c r="E17" s="5">
        <v>0.83878076103080546</v>
      </c>
      <c r="F17" s="5">
        <v>3.4372759122995613</v>
      </c>
      <c r="G17" s="5">
        <v>5.3591569324238329E-2</v>
      </c>
      <c r="H17" s="5">
        <v>1.5535708847804595</v>
      </c>
      <c r="I17" s="5">
        <v>0.4096229163567664</v>
      </c>
      <c r="J17" s="5">
        <v>1.481122620623633</v>
      </c>
      <c r="K17" s="5">
        <v>3.0039467775293716</v>
      </c>
      <c r="L17" s="5">
        <v>0.11726667805350389</v>
      </c>
      <c r="M17" s="5"/>
      <c r="N17" s="5">
        <f t="shared" si="0"/>
        <v>0.61548323511399983</v>
      </c>
      <c r="O17" s="5">
        <f t="shared" si="1"/>
        <v>74.699099449788633</v>
      </c>
      <c r="P17" s="5">
        <f t="shared" si="2"/>
        <v>88.542015284041554</v>
      </c>
    </row>
    <row r="18" spans="1:16" x14ac:dyDescent="0.25">
      <c r="A18" s="6">
        <v>14</v>
      </c>
      <c r="B18" s="4"/>
      <c r="C18" s="5">
        <v>17.376230846430904</v>
      </c>
      <c r="D18" s="5">
        <v>72.274618320973403</v>
      </c>
      <c r="E18" s="5">
        <v>0.76413170318217538</v>
      </c>
      <c r="F18" s="5">
        <v>3.1789707389320747</v>
      </c>
      <c r="G18" s="5">
        <v>2.784130666453832E-2</v>
      </c>
      <c r="H18" s="5">
        <v>1.4950251789961511</v>
      </c>
      <c r="I18" s="5">
        <v>0.31593649629119108</v>
      </c>
      <c r="J18" s="5">
        <v>1.2643144643330444</v>
      </c>
      <c r="K18" s="5">
        <v>3.1958277177242289</v>
      </c>
      <c r="L18" s="5">
        <v>0.10710322647230144</v>
      </c>
      <c r="M18" s="5"/>
      <c r="N18" s="5">
        <f t="shared" si="0"/>
        <v>0.59399012462194434</v>
      </c>
      <c r="O18" s="5">
        <f t="shared" si="1"/>
        <v>75.219539902571071</v>
      </c>
      <c r="P18" s="5">
        <f t="shared" si="2"/>
        <v>89.973443033091016</v>
      </c>
    </row>
    <row r="19" spans="1:16" x14ac:dyDescent="0.25">
      <c r="A19" s="6">
        <v>15</v>
      </c>
      <c r="B19" s="4"/>
      <c r="C19" s="5">
        <v>17.610920138669997</v>
      </c>
      <c r="D19" s="5">
        <v>76.070410038439519</v>
      </c>
      <c r="E19" s="5">
        <v>0.75973632143010694</v>
      </c>
      <c r="F19" s="5">
        <v>1.1008777736527371</v>
      </c>
      <c r="G19" s="5">
        <v>7.3765269336103839E-3</v>
      </c>
      <c r="H19" s="5">
        <v>0.70153548943966493</v>
      </c>
      <c r="I19" s="5">
        <v>0.39065755659441337</v>
      </c>
      <c r="J19" s="5">
        <v>0.72153071163812854</v>
      </c>
      <c r="K19" s="5">
        <v>2.6165252325371489</v>
      </c>
      <c r="L19" s="5">
        <v>2.0430210664688232E-2</v>
      </c>
      <c r="M19" s="5"/>
      <c r="N19" s="5">
        <f t="shared" si="0"/>
        <v>0.35837385248818271</v>
      </c>
      <c r="O19" s="5">
        <f t="shared" si="1"/>
        <v>81.266766419847443</v>
      </c>
      <c r="P19" s="5">
        <f t="shared" si="2"/>
        <v>93.094821811725694</v>
      </c>
    </row>
    <row r="20" spans="1:16" x14ac:dyDescent="0.25">
      <c r="A20" s="6">
        <v>16</v>
      </c>
      <c r="B20" s="4"/>
      <c r="C20" s="5">
        <v>16.591932715290447</v>
      </c>
      <c r="D20" s="5">
        <v>72.590421285759064</v>
      </c>
      <c r="E20" s="5">
        <v>0.86604278012450975</v>
      </c>
      <c r="F20" s="5">
        <v>3.3206127155176546</v>
      </c>
      <c r="G20" s="5">
        <v>3.8046093483923467E-2</v>
      </c>
      <c r="H20" s="5">
        <v>1.4345271855278059</v>
      </c>
      <c r="I20" s="5">
        <v>0.48178189224846329</v>
      </c>
      <c r="J20" s="5">
        <v>1.6367170000985756</v>
      </c>
      <c r="K20" s="5">
        <v>3.0020690094724447</v>
      </c>
      <c r="L20" s="5">
        <v>3.7849322477117309E-2</v>
      </c>
      <c r="M20" s="5"/>
      <c r="N20" s="5">
        <f t="shared" si="0"/>
        <v>0.64968922490461467</v>
      </c>
      <c r="O20" s="5">
        <f t="shared" si="1"/>
        <v>72.55703225692325</v>
      </c>
      <c r="P20" s="5">
        <f t="shared" si="2"/>
        <v>86.513560028245664</v>
      </c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</row>
    <row r="22" spans="1:16" x14ac:dyDescent="0.25">
      <c r="A22" s="6" t="s">
        <v>108</v>
      </c>
      <c r="B22" s="4"/>
      <c r="C22" s="5">
        <v>15.375069939099239</v>
      </c>
      <c r="D22" s="5">
        <v>65.645454618172224</v>
      </c>
      <c r="E22" s="5">
        <v>0.73655450301448611</v>
      </c>
      <c r="F22" s="5">
        <v>1.1008777736527371</v>
      </c>
      <c r="G22" s="5">
        <v>7.3765269336103839E-3</v>
      </c>
      <c r="H22" s="5">
        <v>0.70153548943966493</v>
      </c>
      <c r="I22" s="5">
        <v>0.22646637355994487</v>
      </c>
      <c r="J22" s="5">
        <v>0.71696381342691673</v>
      </c>
      <c r="K22" s="5">
        <v>2.6165252325371489</v>
      </c>
      <c r="L22" s="5">
        <v>2.0430210664688232E-2</v>
      </c>
      <c r="M22" s="5"/>
      <c r="N22" s="5">
        <v>2.0430210664688232E-2</v>
      </c>
      <c r="O22" s="5">
        <v>2.0430210664688232E-2</v>
      </c>
      <c r="P22" s="5">
        <v>2.0430210664688232E-2</v>
      </c>
    </row>
    <row r="23" spans="1:16" x14ac:dyDescent="0.25">
      <c r="A23" s="6" t="s">
        <v>109</v>
      </c>
      <c r="B23" s="4"/>
      <c r="C23" s="5">
        <v>18.383270703421552</v>
      </c>
      <c r="D23" s="5">
        <v>76.070410038439519</v>
      </c>
      <c r="E23" s="5">
        <v>0.92464623879441254</v>
      </c>
      <c r="F23" s="5">
        <v>8.9996338454781242</v>
      </c>
      <c r="G23" s="5">
        <v>0.20618772292594689</v>
      </c>
      <c r="H23" s="5">
        <v>1.9662827576252095</v>
      </c>
      <c r="I23" s="5">
        <v>0.79360785518329413</v>
      </c>
      <c r="J23" s="5">
        <v>2.4270857958801835</v>
      </c>
      <c r="K23" s="5">
        <v>4.8249280325664872</v>
      </c>
      <c r="L23" s="5">
        <v>0.25939346222117937</v>
      </c>
      <c r="M23" s="5"/>
      <c r="N23" s="5">
        <v>0.25939346222117937</v>
      </c>
      <c r="O23" s="5">
        <v>0.25939346222117937</v>
      </c>
      <c r="P23" s="5">
        <v>0.25939346222117937</v>
      </c>
    </row>
    <row r="24" spans="1:16" x14ac:dyDescent="0.25">
      <c r="A24" s="6" t="s">
        <v>110</v>
      </c>
      <c r="B24" s="4"/>
      <c r="C24" s="5">
        <v>17.00955056318962</v>
      </c>
      <c r="D24" s="5">
        <v>71.222297942649291</v>
      </c>
      <c r="E24" s="5">
        <v>0.83356450121690551</v>
      </c>
      <c r="F24" s="5">
        <v>3.8458202689180068</v>
      </c>
      <c r="G24" s="5">
        <v>6.1452621006824075E-2</v>
      </c>
      <c r="H24" s="5">
        <v>1.4701095276820322</v>
      </c>
      <c r="I24" s="5">
        <v>0.47005537871433484</v>
      </c>
      <c r="J24" s="5">
        <v>1.6154928202677037</v>
      </c>
      <c r="K24" s="5">
        <v>3.3587901576024004</v>
      </c>
      <c r="L24" s="5">
        <v>0.11286621875286433</v>
      </c>
      <c r="M24" s="5"/>
      <c r="N24" s="5">
        <v>0.11286621875286433</v>
      </c>
      <c r="O24" s="5">
        <v>0.11286621875286433</v>
      </c>
      <c r="P24" s="5">
        <v>0.11286621875286433</v>
      </c>
    </row>
    <row r="25" spans="1:16" x14ac:dyDescent="0.25">
      <c r="M25" s="4"/>
    </row>
    <row r="26" spans="1:16" x14ac:dyDescent="0.25">
      <c r="M26" s="5"/>
    </row>
    <row r="27" spans="1:16" x14ac:dyDescent="0.25">
      <c r="M27" s="5"/>
    </row>
    <row r="28" spans="1:16" x14ac:dyDescent="0.25">
      <c r="M28" s="5"/>
    </row>
    <row r="54" spans="2:16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64" spans="2:16" x14ac:dyDescent="0.25">
      <c r="B64" s="19">
        <v>62.8</v>
      </c>
      <c r="C64" s="19">
        <v>18.899999999999999</v>
      </c>
      <c r="D64" s="19">
        <v>7.1</v>
      </c>
      <c r="E64" s="19">
        <v>2.2000000000000002</v>
      </c>
      <c r="F64" s="19">
        <v>1.3</v>
      </c>
      <c r="G64" s="19">
        <v>1.2</v>
      </c>
      <c r="H64" s="19">
        <v>3.7</v>
      </c>
      <c r="I64" s="19">
        <v>1</v>
      </c>
      <c r="J64" s="19">
        <v>0.16</v>
      </c>
      <c r="K64" s="19">
        <v>0.11</v>
      </c>
      <c r="N64" s="1">
        <f>(D64+H64+G64+F64+E64+K64+I64)/C64</f>
        <v>0.87883597883597886</v>
      </c>
      <c r="O64" s="1">
        <f>C64/(C64+F64+G64+H64)*100</f>
        <v>75.298804780876495</v>
      </c>
      <c r="P64" s="1">
        <f>100*(C64-H64)/(C64+F64+G64-H64)</f>
        <v>85.875706214689274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A0CDE-0C53-46C4-B228-9C59108CA77B}">
  <dimension ref="A1:N59"/>
  <sheetViews>
    <sheetView zoomScaleNormal="100" workbookViewId="0">
      <selection activeCell="A5" sqref="A5:A20"/>
    </sheetView>
  </sheetViews>
  <sheetFormatPr defaultColWidth="9.28515625" defaultRowHeight="15" customHeight="1" x14ac:dyDescent="0.25"/>
  <cols>
    <col min="1" max="1" width="9.42578125" style="11" bestFit="1" customWidth="1"/>
    <col min="2" max="2" width="9.28515625" style="11"/>
    <col min="3" max="4" width="9.42578125" style="11" bestFit="1" customWidth="1"/>
    <col min="5" max="6" width="9.28515625" style="11"/>
    <col min="7" max="7" width="13.28515625" style="21" bestFit="1" customWidth="1"/>
    <col min="8" max="8" width="9.28515625" style="21"/>
    <col min="9" max="14" width="9.42578125" style="21" bestFit="1" customWidth="1"/>
    <col min="15" max="16384" width="9.28515625" style="21"/>
  </cols>
  <sheetData>
    <row r="1" spans="1:14" ht="15" customHeight="1" x14ac:dyDescent="0.25">
      <c r="C1" s="11" t="s">
        <v>84</v>
      </c>
      <c r="D1" s="11" t="s">
        <v>84</v>
      </c>
      <c r="E1" s="11" t="s">
        <v>84</v>
      </c>
      <c r="F1" s="11" t="s">
        <v>84</v>
      </c>
      <c r="G1" s="77" t="s">
        <v>114</v>
      </c>
      <c r="I1" s="13"/>
      <c r="J1" s="22"/>
      <c r="K1" s="22"/>
      <c r="L1" s="22"/>
      <c r="M1" s="13"/>
      <c r="N1" s="13"/>
    </row>
    <row r="2" spans="1:14" ht="15" customHeight="1" x14ac:dyDescent="0.25">
      <c r="C2" s="12" t="s">
        <v>10</v>
      </c>
      <c r="D2" s="12" t="s">
        <v>2</v>
      </c>
      <c r="E2" s="12" t="s">
        <v>8</v>
      </c>
      <c r="F2" s="12" t="s">
        <v>9</v>
      </c>
      <c r="G2" s="77"/>
      <c r="I2" s="13"/>
      <c r="J2" s="22"/>
      <c r="K2" s="22"/>
      <c r="L2" s="22"/>
      <c r="M2" s="13"/>
      <c r="N2" s="13"/>
    </row>
    <row r="3" spans="1:14" ht="15" customHeight="1" x14ac:dyDescent="0.25">
      <c r="A3" s="8" t="s">
        <v>1</v>
      </c>
      <c r="C3" s="11" t="s">
        <v>51</v>
      </c>
      <c r="D3" s="11" t="s">
        <v>51</v>
      </c>
      <c r="E3" s="11" t="s">
        <v>51</v>
      </c>
      <c r="F3" s="11" t="s">
        <v>51</v>
      </c>
      <c r="G3" s="77"/>
      <c r="I3" s="23" t="s">
        <v>115</v>
      </c>
      <c r="J3" s="23" t="s">
        <v>116</v>
      </c>
      <c r="K3" s="23" t="s">
        <v>117</v>
      </c>
      <c r="L3" s="23" t="s">
        <v>118</v>
      </c>
      <c r="M3" s="23" t="s">
        <v>119</v>
      </c>
      <c r="N3" s="23" t="s">
        <v>120</v>
      </c>
    </row>
    <row r="4" spans="1:14" ht="15" customHeight="1" x14ac:dyDescent="0.2">
      <c r="A4" s="25"/>
    </row>
    <row r="5" spans="1:14" ht="15" customHeight="1" x14ac:dyDescent="0.2">
      <c r="A5" s="6">
        <v>1</v>
      </c>
      <c r="C5" s="5">
        <v>4.8249280325664872</v>
      </c>
      <c r="D5" s="5">
        <v>16.876245435480836</v>
      </c>
      <c r="E5" s="5">
        <v>0.51793008162012955</v>
      </c>
      <c r="F5" s="5">
        <v>0.71696381342691673</v>
      </c>
      <c r="G5" s="21">
        <f>F5*2</f>
        <v>1.4339276268538335</v>
      </c>
      <c r="I5" s="13">
        <f>SUM(C5:G5)</f>
        <v>24.3699949899482</v>
      </c>
      <c r="J5" s="22">
        <f>C5/$I5</f>
        <v>0.19798641873158396</v>
      </c>
      <c r="K5" s="22">
        <f>D5/$I5</f>
        <v>0.69250098091697254</v>
      </c>
      <c r="L5" s="22">
        <f>G5/$I5</f>
        <v>5.883988188940048E-2</v>
      </c>
      <c r="M5" s="13">
        <f t="shared" ref="M5" si="0">(J5/SIN(RADIANS(60))+K5/TAN(RADIANS(60)))*SIN(RADIANS(60))</f>
        <v>0.54423690919007028</v>
      </c>
      <c r="N5" s="13">
        <f>K5*SIN(RADIANS(60))</f>
        <v>0.599723441619741</v>
      </c>
    </row>
    <row r="6" spans="1:14" ht="15" customHeight="1" x14ac:dyDescent="0.2">
      <c r="A6" s="6">
        <v>2</v>
      </c>
      <c r="C6" s="5">
        <v>3.5143403082149463</v>
      </c>
      <c r="D6" s="5">
        <v>16.94243007068118</v>
      </c>
      <c r="E6" s="5">
        <v>0.55902360900446324</v>
      </c>
      <c r="F6" s="5">
        <v>2.4270857958801835</v>
      </c>
      <c r="G6" s="21">
        <f t="shared" ref="G6:G20" si="1">F6*2</f>
        <v>4.8541715917603669</v>
      </c>
      <c r="I6" s="13">
        <f t="shared" ref="I6:I20" si="2">SUM(C6:G6)</f>
        <v>28.297051375541141</v>
      </c>
      <c r="J6" s="22">
        <f t="shared" ref="J6:J20" si="3">C6/$I6</f>
        <v>0.12419457637386926</v>
      </c>
      <c r="K6" s="22">
        <f t="shared" ref="K6:K20" si="4">D6/$I6</f>
        <v>0.59873482384548204</v>
      </c>
      <c r="L6" s="22">
        <f t="shared" ref="L6:L20" si="5">G6/$I6</f>
        <v>0.17154337133359845</v>
      </c>
      <c r="M6" s="13">
        <f t="shared" ref="M6:M20" si="6">(J6/SIN(RADIANS(60))+K6/TAN(RADIANS(60)))*SIN(RADIANS(60))</f>
        <v>0.4235619882966104</v>
      </c>
      <c r="N6" s="13">
        <f t="shared" ref="N6:N20" si="7">K6*SIN(RADIANS(60))</f>
        <v>0.51851956758058826</v>
      </c>
    </row>
    <row r="7" spans="1:14" ht="15" customHeight="1" x14ac:dyDescent="0.2">
      <c r="A7" s="6">
        <v>3</v>
      </c>
      <c r="C7" s="5">
        <v>3.4651943094309421</v>
      </c>
      <c r="D7" s="5">
        <v>15.926368123616276</v>
      </c>
      <c r="E7" s="5">
        <v>0.68031822093413108</v>
      </c>
      <c r="F7" s="5">
        <v>1.7800057089420167</v>
      </c>
      <c r="G7" s="21">
        <f t="shared" si="1"/>
        <v>3.5600114178840334</v>
      </c>
      <c r="I7" s="13">
        <f t="shared" si="2"/>
        <v>25.411897780807401</v>
      </c>
      <c r="J7" s="22">
        <f t="shared" si="3"/>
        <v>0.1363610990143391</v>
      </c>
      <c r="K7" s="22">
        <f t="shared" si="4"/>
        <v>0.62672879691987549</v>
      </c>
      <c r="L7" s="22">
        <f t="shared" si="5"/>
        <v>0.14009230827981564</v>
      </c>
      <c r="M7" s="13">
        <f t="shared" si="6"/>
        <v>0.44972549747427687</v>
      </c>
      <c r="N7" s="13">
        <f t="shared" si="7"/>
        <v>0.54276305941587055</v>
      </c>
    </row>
    <row r="8" spans="1:14" ht="15" customHeight="1" x14ac:dyDescent="0.2">
      <c r="A8" s="6">
        <v>4</v>
      </c>
      <c r="C8" s="5">
        <v>3.1673258430063385</v>
      </c>
      <c r="D8" s="5">
        <v>18.383270703421552</v>
      </c>
      <c r="E8" s="5">
        <v>0.34714667046424702</v>
      </c>
      <c r="F8" s="5">
        <v>1.8965779132817906</v>
      </c>
      <c r="G8" s="21">
        <f t="shared" si="1"/>
        <v>3.7931558265635812</v>
      </c>
      <c r="I8" s="13">
        <f t="shared" si="2"/>
        <v>27.587476956737511</v>
      </c>
      <c r="J8" s="22">
        <f t="shared" si="3"/>
        <v>0.11481027598041375</v>
      </c>
      <c r="K8" s="22">
        <f t="shared" si="4"/>
        <v>0.66636288386393827</v>
      </c>
      <c r="L8" s="22">
        <f t="shared" si="5"/>
        <v>0.13749556846071795</v>
      </c>
      <c r="M8" s="13">
        <f t="shared" si="6"/>
        <v>0.44799171791238301</v>
      </c>
      <c r="N8" s="13">
        <f t="shared" si="7"/>
        <v>0.57708718556523009</v>
      </c>
    </row>
    <row r="9" spans="1:14" ht="15" customHeight="1" x14ac:dyDescent="0.2">
      <c r="A9" s="6">
        <v>5</v>
      </c>
      <c r="C9" s="5">
        <v>4.138246304209841</v>
      </c>
      <c r="D9" s="5">
        <v>15.55178018180955</v>
      </c>
      <c r="E9" s="5">
        <v>0.79360785518329413</v>
      </c>
      <c r="F9" s="5">
        <v>1.8686029827881954</v>
      </c>
      <c r="G9" s="21">
        <f t="shared" si="1"/>
        <v>3.7372059655763907</v>
      </c>
      <c r="I9" s="13">
        <f t="shared" si="2"/>
        <v>26.089443289567271</v>
      </c>
      <c r="J9" s="22">
        <f t="shared" si="3"/>
        <v>0.15861765459229465</v>
      </c>
      <c r="K9" s="22">
        <f t="shared" si="4"/>
        <v>0.59609475024821412</v>
      </c>
      <c r="L9" s="22">
        <f t="shared" si="5"/>
        <v>0.14324590694010081</v>
      </c>
      <c r="M9" s="13">
        <f t="shared" si="6"/>
        <v>0.45666502971640183</v>
      </c>
      <c r="N9" s="13">
        <f t="shared" si="7"/>
        <v>0.51623319677749369</v>
      </c>
    </row>
    <row r="10" spans="1:14" ht="15" customHeight="1" x14ac:dyDescent="0.2">
      <c r="A10" s="6">
        <v>6</v>
      </c>
      <c r="C10" s="5">
        <v>4.00846272207475</v>
      </c>
      <c r="D10" s="5">
        <v>15.967304134398409</v>
      </c>
      <c r="E10" s="5">
        <v>0.40514771650153086</v>
      </c>
      <c r="F10" s="5">
        <v>2.2169236982329039</v>
      </c>
      <c r="G10" s="21">
        <f t="shared" si="1"/>
        <v>4.4338473964658078</v>
      </c>
      <c r="I10" s="13">
        <f t="shared" si="2"/>
        <v>27.031685667673401</v>
      </c>
      <c r="J10" s="22">
        <f t="shared" si="3"/>
        <v>0.14828756043387936</v>
      </c>
      <c r="K10" s="22">
        <f t="shared" si="4"/>
        <v>0.59068843618188993</v>
      </c>
      <c r="L10" s="22">
        <f t="shared" si="5"/>
        <v>0.16402408088697734</v>
      </c>
      <c r="M10" s="13">
        <f t="shared" si="6"/>
        <v>0.44363177852482438</v>
      </c>
      <c r="N10" s="13">
        <f t="shared" si="7"/>
        <v>0.51155119145521977</v>
      </c>
    </row>
    <row r="11" spans="1:14" ht="15" customHeight="1" x14ac:dyDescent="0.2">
      <c r="A11" s="6">
        <v>7</v>
      </c>
      <c r="C11" s="5">
        <v>3.0180694674403106</v>
      </c>
      <c r="D11" s="5">
        <v>15.375069939099239</v>
      </c>
      <c r="E11" s="5">
        <v>0.71868701414169933</v>
      </c>
      <c r="F11" s="5">
        <v>2.0976498704406215</v>
      </c>
      <c r="G11" s="21">
        <f t="shared" si="1"/>
        <v>4.1952997408812429</v>
      </c>
      <c r="I11" s="13">
        <f t="shared" si="2"/>
        <v>25.404776032003117</v>
      </c>
      <c r="J11" s="22">
        <f t="shared" si="3"/>
        <v>0.11879929441764663</v>
      </c>
      <c r="K11" s="22">
        <f t="shared" si="4"/>
        <v>0.60520391597748502</v>
      </c>
      <c r="L11" s="22">
        <f t="shared" si="5"/>
        <v>0.16513822974059306</v>
      </c>
      <c r="M11" s="13">
        <f t="shared" si="6"/>
        <v>0.4214012524063892</v>
      </c>
      <c r="N11" s="13">
        <f t="shared" si="7"/>
        <v>0.52412196570632497</v>
      </c>
    </row>
    <row r="12" spans="1:14" ht="15" customHeight="1" x14ac:dyDescent="0.2">
      <c r="A12" s="6">
        <v>8</v>
      </c>
      <c r="C12" s="5">
        <v>3.4504298925613757</v>
      </c>
      <c r="D12" s="5">
        <v>17.763148194047751</v>
      </c>
      <c r="E12" s="5">
        <v>0.22646637355994487</v>
      </c>
      <c r="F12" s="5">
        <v>1.4599808802755219</v>
      </c>
      <c r="G12" s="21">
        <f t="shared" si="1"/>
        <v>2.9199617605510437</v>
      </c>
      <c r="I12" s="13">
        <f t="shared" si="2"/>
        <v>25.819987100995636</v>
      </c>
      <c r="J12" s="22">
        <f t="shared" si="3"/>
        <v>0.13363406724662247</v>
      </c>
      <c r="K12" s="22">
        <f t="shared" si="4"/>
        <v>0.68796115678008196</v>
      </c>
      <c r="L12" s="22">
        <f t="shared" si="5"/>
        <v>0.11308920291592431</v>
      </c>
      <c r="M12" s="13">
        <f t="shared" si="6"/>
        <v>0.47761464563666356</v>
      </c>
      <c r="N12" s="13">
        <f t="shared" si="7"/>
        <v>0.59579183858847995</v>
      </c>
    </row>
    <row r="13" spans="1:14" ht="15" customHeight="1" x14ac:dyDescent="0.2">
      <c r="A13" s="6">
        <v>9</v>
      </c>
      <c r="C13" s="5">
        <v>3.2225153216726712</v>
      </c>
      <c r="D13" s="5">
        <v>17.150726188756366</v>
      </c>
      <c r="E13" s="5">
        <v>0.35478671123264871</v>
      </c>
      <c r="F13" s="5">
        <v>1.7280583071024376</v>
      </c>
      <c r="G13" s="21">
        <f t="shared" si="1"/>
        <v>3.4561166142048751</v>
      </c>
      <c r="I13" s="13">
        <f t="shared" si="2"/>
        <v>25.912203142968998</v>
      </c>
      <c r="J13" s="22">
        <f t="shared" si="3"/>
        <v>0.1243628457176196</v>
      </c>
      <c r="K13" s="22">
        <f t="shared" si="4"/>
        <v>0.66187834720684624</v>
      </c>
      <c r="L13" s="22">
        <f t="shared" si="5"/>
        <v>0.13337795304922406</v>
      </c>
      <c r="M13" s="13">
        <f t="shared" si="6"/>
        <v>0.45530201932104281</v>
      </c>
      <c r="N13" s="13">
        <f t="shared" si="7"/>
        <v>0.57320346289598589</v>
      </c>
    </row>
    <row r="14" spans="1:14" ht="15" customHeight="1" x14ac:dyDescent="0.2">
      <c r="A14" s="6">
        <v>10</v>
      </c>
      <c r="C14" s="5">
        <v>2.8240928771681144</v>
      </c>
      <c r="D14" s="5">
        <v>17.460270355142722</v>
      </c>
      <c r="E14" s="5">
        <v>0.48213622360060876</v>
      </c>
      <c r="F14" s="5">
        <v>1.5889903742997256</v>
      </c>
      <c r="G14" s="21">
        <f t="shared" si="1"/>
        <v>3.1779807485994511</v>
      </c>
      <c r="I14" s="13">
        <f t="shared" si="2"/>
        <v>25.533470578810626</v>
      </c>
      <c r="J14" s="22">
        <f t="shared" si="3"/>
        <v>0.11060356516954396</v>
      </c>
      <c r="K14" s="22">
        <f t="shared" si="4"/>
        <v>0.68381892313661496</v>
      </c>
      <c r="L14" s="22">
        <f t="shared" si="5"/>
        <v>0.12446332897795535</v>
      </c>
      <c r="M14" s="13">
        <f t="shared" si="6"/>
        <v>0.4525130267378516</v>
      </c>
      <c r="N14" s="13">
        <f t="shared" si="7"/>
        <v>0.59220455902482694</v>
      </c>
    </row>
    <row r="15" spans="1:14" ht="15" customHeight="1" x14ac:dyDescent="0.2">
      <c r="A15" s="6">
        <v>11</v>
      </c>
      <c r="C15" s="5">
        <v>2.8810657294645976</v>
      </c>
      <c r="D15" s="5">
        <v>17.573715771832962</v>
      </c>
      <c r="E15" s="5">
        <v>0.36136945486876537</v>
      </c>
      <c r="F15" s="5">
        <v>1.6691521601300969</v>
      </c>
      <c r="G15" s="21">
        <f t="shared" si="1"/>
        <v>3.3383043202601939</v>
      </c>
      <c r="I15" s="13">
        <f t="shared" si="2"/>
        <v>25.823607436556614</v>
      </c>
      <c r="J15" s="22">
        <f t="shared" si="3"/>
        <v>0.11156712850994169</v>
      </c>
      <c r="K15" s="22">
        <f t="shared" si="4"/>
        <v>0.68052907848014776</v>
      </c>
      <c r="L15" s="22">
        <f t="shared" si="5"/>
        <v>0.12927335301474563</v>
      </c>
      <c r="M15" s="13">
        <f t="shared" si="6"/>
        <v>0.45183166775001565</v>
      </c>
      <c r="N15" s="13">
        <f t="shared" si="7"/>
        <v>0.58935546997782184</v>
      </c>
    </row>
    <row r="16" spans="1:14" ht="15" customHeight="1" x14ac:dyDescent="0.2">
      <c r="A16" s="6">
        <v>12</v>
      </c>
      <c r="C16" s="5">
        <v>3.4076029765648483</v>
      </c>
      <c r="D16" s="5">
        <v>17.988640956404694</v>
      </c>
      <c r="E16" s="5">
        <v>0.47626726682706039</v>
      </c>
      <c r="F16" s="5">
        <v>1.2942088227894732</v>
      </c>
      <c r="G16" s="21">
        <f t="shared" si="1"/>
        <v>2.5884176455789465</v>
      </c>
      <c r="I16" s="13">
        <f t="shared" si="2"/>
        <v>25.755137668165023</v>
      </c>
      <c r="J16" s="22">
        <f t="shared" si="3"/>
        <v>0.13230769800065409</v>
      </c>
      <c r="K16" s="22">
        <f t="shared" si="4"/>
        <v>0.69844864306975885</v>
      </c>
      <c r="L16" s="22">
        <f t="shared" si="5"/>
        <v>0.10050102154097178</v>
      </c>
      <c r="M16" s="13">
        <f t="shared" si="6"/>
        <v>0.4815320195355336</v>
      </c>
      <c r="N16" s="13">
        <f t="shared" si="7"/>
        <v>0.60487426813718115</v>
      </c>
    </row>
    <row r="17" spans="1:14" ht="15" customHeight="1" x14ac:dyDescent="0.2">
      <c r="A17" s="6">
        <v>13</v>
      </c>
      <c r="C17" s="5">
        <v>3.0039467775293716</v>
      </c>
      <c r="D17" s="5">
        <v>17.614755255951081</v>
      </c>
      <c r="E17" s="5">
        <v>0.4096229163567664</v>
      </c>
      <c r="F17" s="5">
        <v>1.481122620623633</v>
      </c>
      <c r="G17" s="21">
        <f t="shared" si="1"/>
        <v>2.962245241247266</v>
      </c>
      <c r="I17" s="13">
        <f t="shared" si="2"/>
        <v>25.47169281170812</v>
      </c>
      <c r="J17" s="22">
        <f t="shared" si="3"/>
        <v>0.11793274988573201</v>
      </c>
      <c r="K17" s="22">
        <f t="shared" si="4"/>
        <v>0.69154238731453377</v>
      </c>
      <c r="L17" s="22">
        <f t="shared" si="5"/>
        <v>0.11629557812057405</v>
      </c>
      <c r="M17" s="13">
        <f t="shared" si="6"/>
        <v>0.46370394354299893</v>
      </c>
      <c r="N17" s="13">
        <f t="shared" si="7"/>
        <v>0.59889327520812374</v>
      </c>
    </row>
    <row r="18" spans="1:14" ht="15" customHeight="1" x14ac:dyDescent="0.2">
      <c r="A18" s="6">
        <v>14</v>
      </c>
      <c r="C18" s="5">
        <v>3.1958277177242289</v>
      </c>
      <c r="D18" s="5">
        <v>17.376230846430904</v>
      </c>
      <c r="E18" s="5">
        <v>0.31593649629119108</v>
      </c>
      <c r="F18" s="5">
        <v>1.2643144643330444</v>
      </c>
      <c r="G18" s="21">
        <f t="shared" si="1"/>
        <v>2.5286289286660888</v>
      </c>
      <c r="I18" s="13">
        <f t="shared" si="2"/>
        <v>24.680938453445453</v>
      </c>
      <c r="J18" s="22">
        <f t="shared" si="3"/>
        <v>0.12948566456467508</v>
      </c>
      <c r="K18" s="22">
        <f t="shared" si="4"/>
        <v>0.70403444663203985</v>
      </c>
      <c r="L18" s="22">
        <f t="shared" si="5"/>
        <v>0.10245270589834857</v>
      </c>
      <c r="M18" s="13">
        <f t="shared" si="6"/>
        <v>0.48150288788069512</v>
      </c>
      <c r="N18" s="13">
        <f t="shared" si="7"/>
        <v>0.60971171592266604</v>
      </c>
    </row>
    <row r="19" spans="1:14" ht="15" customHeight="1" x14ac:dyDescent="0.2">
      <c r="A19" s="6">
        <v>15</v>
      </c>
      <c r="C19" s="5">
        <v>2.6165252325371489</v>
      </c>
      <c r="D19" s="5">
        <v>17.610920138669997</v>
      </c>
      <c r="E19" s="5">
        <v>0.39065755659441337</v>
      </c>
      <c r="F19" s="5">
        <v>0.72153071163812854</v>
      </c>
      <c r="G19" s="21">
        <f t="shared" si="1"/>
        <v>1.4430614232762571</v>
      </c>
      <c r="I19" s="13">
        <f t="shared" si="2"/>
        <v>22.782695062715945</v>
      </c>
      <c r="J19" s="22">
        <f t="shared" si="3"/>
        <v>0.1148470462047799</v>
      </c>
      <c r="K19" s="22">
        <f t="shared" si="4"/>
        <v>0.77299547266865731</v>
      </c>
      <c r="L19" s="22">
        <f t="shared" si="5"/>
        <v>6.3340242201539984E-2</v>
      </c>
      <c r="M19" s="13">
        <f t="shared" si="6"/>
        <v>0.50134478253910864</v>
      </c>
      <c r="N19" s="13">
        <f t="shared" si="7"/>
        <v>0.66943371634141691</v>
      </c>
    </row>
    <row r="20" spans="1:14" ht="15" customHeight="1" x14ac:dyDescent="0.2">
      <c r="A20" s="6">
        <v>16</v>
      </c>
      <c r="C20" s="5">
        <v>3.0020690094724447</v>
      </c>
      <c r="D20" s="5">
        <v>16.591932715290447</v>
      </c>
      <c r="E20" s="5">
        <v>0.48178189224846329</v>
      </c>
      <c r="F20" s="5">
        <v>1.6367170000985756</v>
      </c>
      <c r="G20" s="21">
        <f t="shared" si="1"/>
        <v>3.2734340001971511</v>
      </c>
      <c r="I20" s="13">
        <f t="shared" si="2"/>
        <v>24.98593461730708</v>
      </c>
      <c r="J20" s="22">
        <f t="shared" si="3"/>
        <v>0.12015035880999195</v>
      </c>
      <c r="K20" s="22">
        <f t="shared" si="4"/>
        <v>0.66405091382083681</v>
      </c>
      <c r="L20" s="22">
        <f t="shared" si="5"/>
        <v>0.13101106884069616</v>
      </c>
      <c r="M20" s="13">
        <f t="shared" si="6"/>
        <v>0.45217581572041043</v>
      </c>
      <c r="N20" s="13">
        <f t="shared" si="7"/>
        <v>0.57508496077511562</v>
      </c>
    </row>
    <row r="21" spans="1:14" ht="15" customHeight="1" x14ac:dyDescent="0.2">
      <c r="A21" s="25"/>
      <c r="C21" s="4"/>
      <c r="D21" s="4"/>
      <c r="E21" s="4"/>
      <c r="F21" s="4"/>
    </row>
    <row r="22" spans="1:14" ht="15" customHeight="1" x14ac:dyDescent="0.2">
      <c r="A22" s="26" t="s">
        <v>108</v>
      </c>
      <c r="C22" s="5">
        <v>2.6165252325371489</v>
      </c>
      <c r="D22" s="5">
        <v>15.375069939099239</v>
      </c>
      <c r="E22" s="5">
        <v>0.22646637355994487</v>
      </c>
      <c r="F22" s="5">
        <v>0.71696381342691673</v>
      </c>
      <c r="I22" s="13"/>
      <c r="J22" s="22"/>
      <c r="K22" s="22"/>
      <c r="L22" s="22"/>
      <c r="M22" s="13"/>
      <c r="N22" s="13"/>
    </row>
    <row r="23" spans="1:14" ht="15" customHeight="1" x14ac:dyDescent="0.2">
      <c r="A23" s="26" t="s">
        <v>109</v>
      </c>
      <c r="C23" s="5">
        <v>4.8249280325664872</v>
      </c>
      <c r="D23" s="5">
        <v>18.383270703421552</v>
      </c>
      <c r="E23" s="5">
        <v>0.79360785518329413</v>
      </c>
      <c r="F23" s="5">
        <v>2.4270857958801835</v>
      </c>
      <c r="I23" s="13"/>
      <c r="J23" s="22"/>
      <c r="K23" s="22"/>
      <c r="L23" s="22"/>
      <c r="M23" s="13"/>
      <c r="N23" s="13"/>
    </row>
    <row r="24" spans="1:14" ht="15" customHeight="1" x14ac:dyDescent="0.2">
      <c r="A24" s="26" t="s">
        <v>110</v>
      </c>
      <c r="C24" s="5">
        <v>3.3587901576024004</v>
      </c>
      <c r="D24" s="5">
        <v>17.00955056318962</v>
      </c>
      <c r="E24" s="5">
        <v>0.47005537871433484</v>
      </c>
      <c r="F24" s="5">
        <v>1.6154928202677037</v>
      </c>
      <c r="I24" s="13"/>
      <c r="J24" s="22"/>
      <c r="K24" s="22"/>
      <c r="L24" s="22"/>
      <c r="M24" s="13"/>
      <c r="N24" s="13"/>
    </row>
    <row r="25" spans="1:14" ht="15" customHeight="1" x14ac:dyDescent="0.25">
      <c r="A25" s="27"/>
      <c r="I25" s="13"/>
      <c r="J25" s="22"/>
      <c r="K25" s="22"/>
      <c r="L25" s="22"/>
      <c r="M25" s="13"/>
      <c r="N25" s="13"/>
    </row>
    <row r="26" spans="1:14" ht="15" customHeight="1" x14ac:dyDescent="0.25">
      <c r="I26" s="13"/>
      <c r="J26" s="22"/>
      <c r="K26" s="22"/>
      <c r="L26" s="22"/>
      <c r="M26" s="13"/>
      <c r="N26" s="13"/>
    </row>
    <row r="27" spans="1:14" ht="15" customHeight="1" x14ac:dyDescent="0.25">
      <c r="I27" s="13"/>
      <c r="J27" s="22"/>
      <c r="K27" s="22"/>
      <c r="L27" s="22"/>
      <c r="M27" s="13"/>
      <c r="N27" s="13"/>
    </row>
    <row r="28" spans="1:14" ht="15" customHeight="1" x14ac:dyDescent="0.25">
      <c r="I28" s="13"/>
      <c r="J28" s="22"/>
      <c r="K28" s="22"/>
      <c r="L28" s="22"/>
      <c r="M28" s="13"/>
      <c r="N28" s="13"/>
    </row>
    <row r="29" spans="1:14" ht="15" customHeight="1" x14ac:dyDescent="0.25">
      <c r="I29" s="13"/>
      <c r="J29" s="22"/>
      <c r="K29" s="22"/>
      <c r="L29" s="22"/>
      <c r="M29" s="13"/>
      <c r="N29" s="13"/>
    </row>
    <row r="30" spans="1:14" ht="15" customHeight="1" x14ac:dyDescent="0.25">
      <c r="I30" s="13"/>
      <c r="J30" s="22"/>
      <c r="K30" s="22"/>
      <c r="L30" s="22"/>
      <c r="M30" s="13"/>
      <c r="N30" s="13"/>
    </row>
    <row r="31" spans="1:14" ht="15" customHeight="1" x14ac:dyDescent="0.25">
      <c r="I31" s="13"/>
      <c r="J31" s="22"/>
      <c r="K31" s="22"/>
      <c r="L31" s="22"/>
      <c r="M31" s="13"/>
      <c r="N31" s="13"/>
    </row>
    <row r="32" spans="1:14" ht="15" customHeight="1" x14ac:dyDescent="0.25">
      <c r="I32" s="13"/>
      <c r="J32" s="22"/>
      <c r="K32" s="22"/>
      <c r="L32" s="22"/>
      <c r="M32" s="13"/>
      <c r="N32" s="13"/>
    </row>
    <row r="33" spans="9:14" ht="15" customHeight="1" x14ac:dyDescent="0.25">
      <c r="I33" s="13"/>
      <c r="J33" s="22"/>
      <c r="K33" s="22"/>
      <c r="L33" s="22"/>
      <c r="M33" s="13"/>
      <c r="N33" s="13"/>
    </row>
    <row r="34" spans="9:14" ht="15" customHeight="1" x14ac:dyDescent="0.25">
      <c r="I34" s="13"/>
      <c r="J34" s="22"/>
      <c r="K34" s="22"/>
      <c r="L34" s="22"/>
      <c r="M34" s="13"/>
      <c r="N34" s="13"/>
    </row>
    <row r="35" spans="9:14" ht="15" customHeight="1" x14ac:dyDescent="0.25">
      <c r="I35" s="13"/>
      <c r="J35" s="22"/>
      <c r="K35" s="22"/>
      <c r="L35" s="22"/>
      <c r="M35" s="13"/>
      <c r="N35" s="13"/>
    </row>
    <row r="36" spans="9:14" ht="15" customHeight="1" x14ac:dyDescent="0.25">
      <c r="I36" s="13"/>
      <c r="J36" s="22"/>
      <c r="K36" s="22"/>
      <c r="L36" s="22"/>
      <c r="M36" s="13"/>
      <c r="N36" s="13"/>
    </row>
    <row r="37" spans="9:14" ht="15" customHeight="1" x14ac:dyDescent="0.25">
      <c r="I37" s="13"/>
      <c r="J37" s="22"/>
      <c r="K37" s="22"/>
      <c r="L37" s="22"/>
      <c r="M37" s="13"/>
      <c r="N37" s="13"/>
    </row>
    <row r="38" spans="9:14" ht="15" customHeight="1" x14ac:dyDescent="0.25">
      <c r="I38" s="13"/>
      <c r="J38" s="22"/>
      <c r="K38" s="22"/>
      <c r="L38" s="22"/>
      <c r="M38" s="13"/>
      <c r="N38" s="13"/>
    </row>
    <row r="39" spans="9:14" ht="15" customHeight="1" x14ac:dyDescent="0.25">
      <c r="I39" s="13"/>
      <c r="J39" s="22"/>
      <c r="K39" s="22"/>
      <c r="L39" s="22"/>
      <c r="M39" s="13"/>
      <c r="N39" s="13"/>
    </row>
    <row r="40" spans="9:14" ht="15" customHeight="1" x14ac:dyDescent="0.25">
      <c r="I40" s="13"/>
      <c r="J40" s="22"/>
      <c r="K40" s="22"/>
      <c r="L40" s="22"/>
      <c r="M40" s="13"/>
      <c r="N40" s="13"/>
    </row>
    <row r="41" spans="9:14" ht="15" customHeight="1" x14ac:dyDescent="0.25">
      <c r="I41" s="13"/>
      <c r="J41" s="22"/>
      <c r="K41" s="22"/>
      <c r="L41" s="22"/>
      <c r="M41" s="13"/>
      <c r="N41" s="13"/>
    </row>
    <row r="42" spans="9:14" ht="15" customHeight="1" x14ac:dyDescent="0.25">
      <c r="I42" s="13"/>
      <c r="J42" s="22"/>
      <c r="K42" s="22"/>
      <c r="L42" s="22"/>
      <c r="M42" s="13"/>
      <c r="N42" s="13"/>
    </row>
    <row r="43" spans="9:14" ht="15" customHeight="1" x14ac:dyDescent="0.25">
      <c r="I43" s="13"/>
      <c r="J43" s="22"/>
      <c r="K43" s="22"/>
      <c r="L43" s="22"/>
      <c r="M43" s="13"/>
      <c r="N43" s="13"/>
    </row>
    <row r="44" spans="9:14" ht="15" customHeight="1" x14ac:dyDescent="0.25">
      <c r="I44" s="13"/>
      <c r="J44" s="22"/>
      <c r="K44" s="22"/>
      <c r="L44" s="22"/>
      <c r="M44" s="13"/>
      <c r="N44" s="13"/>
    </row>
    <row r="45" spans="9:14" ht="15" customHeight="1" x14ac:dyDescent="0.25">
      <c r="I45" s="13"/>
      <c r="J45" s="22"/>
      <c r="K45" s="22"/>
      <c r="L45" s="22"/>
      <c r="M45" s="13"/>
      <c r="N45" s="13"/>
    </row>
    <row r="46" spans="9:14" ht="15" customHeight="1" x14ac:dyDescent="0.25">
      <c r="I46" s="13"/>
      <c r="J46" s="22"/>
      <c r="K46" s="22"/>
      <c r="L46" s="22"/>
      <c r="M46" s="13"/>
      <c r="N46" s="13"/>
    </row>
    <row r="47" spans="9:14" ht="15" customHeight="1" x14ac:dyDescent="0.25">
      <c r="I47" s="13"/>
      <c r="J47" s="22"/>
      <c r="K47" s="22"/>
      <c r="L47" s="22"/>
      <c r="M47" s="13"/>
      <c r="N47" s="13"/>
    </row>
    <row r="48" spans="9:14" ht="15" customHeight="1" x14ac:dyDescent="0.25">
      <c r="I48" s="13"/>
      <c r="J48" s="22"/>
      <c r="K48" s="22"/>
      <c r="L48" s="22"/>
      <c r="M48" s="13"/>
      <c r="N48" s="13"/>
    </row>
    <row r="49" spans="5:14" ht="15" customHeight="1" x14ac:dyDescent="0.25">
      <c r="I49" s="13"/>
      <c r="J49" s="22"/>
      <c r="K49" s="22"/>
      <c r="L49" s="22"/>
      <c r="M49" s="13"/>
      <c r="N49" s="13"/>
    </row>
    <row r="52" spans="5:14" ht="15" customHeight="1" x14ac:dyDescent="0.25">
      <c r="E52" s="1"/>
      <c r="F52" s="1"/>
    </row>
    <row r="53" spans="5:14" ht="15" customHeight="1" x14ac:dyDescent="0.25">
      <c r="E53" s="1"/>
      <c r="F53" s="1"/>
    </row>
    <row r="54" spans="5:14" ht="15" customHeight="1" x14ac:dyDescent="0.25">
      <c r="E54" s="1"/>
      <c r="F54" s="1"/>
    </row>
    <row r="55" spans="5:14" ht="15" customHeight="1" x14ac:dyDescent="0.25">
      <c r="E55" s="24"/>
      <c r="F55" s="24"/>
    </row>
    <row r="57" spans="5:14" ht="15" customHeight="1" x14ac:dyDescent="0.25">
      <c r="E57" s="19"/>
      <c r="F57" s="19"/>
    </row>
    <row r="58" spans="5:14" ht="15" customHeight="1" x14ac:dyDescent="0.25">
      <c r="E58" s="19"/>
      <c r="F58" s="19"/>
    </row>
    <row r="59" spans="5:14" ht="15" customHeight="1" x14ac:dyDescent="0.25">
      <c r="E59" s="19"/>
      <c r="F59" s="19"/>
    </row>
  </sheetData>
  <mergeCells count="1">
    <mergeCell ref="G1:G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8E3F-5E02-493B-9BC1-AFC729CCB93F}">
  <dimension ref="A1:AE162"/>
  <sheetViews>
    <sheetView zoomScaleNormal="100" workbookViewId="0">
      <selection activeCell="A5" sqref="A5:A20"/>
    </sheetView>
  </sheetViews>
  <sheetFormatPr defaultColWidth="9.28515625" defaultRowHeight="15" customHeight="1" x14ac:dyDescent="0.25"/>
  <cols>
    <col min="1" max="1" width="9.42578125" style="11" bestFit="1" customWidth="1"/>
    <col min="2" max="2" width="9.28515625" style="11"/>
    <col min="3" max="5" width="9.42578125" style="11" bestFit="1" customWidth="1"/>
    <col min="6" max="6" width="9.28515625" style="21"/>
    <col min="7" max="8" width="13.28515625" style="21" bestFit="1" customWidth="1"/>
    <col min="9" max="9" width="9.42578125" style="11" bestFit="1" customWidth="1"/>
    <col min="10" max="10" width="9.28515625" style="11"/>
    <col min="11" max="16" width="9.42578125" style="21" bestFit="1" customWidth="1"/>
    <col min="17" max="16384" width="9.28515625" style="21"/>
  </cols>
  <sheetData>
    <row r="1" spans="1:31" ht="15" customHeight="1" x14ac:dyDescent="0.25">
      <c r="C1" s="12" t="s">
        <v>4</v>
      </c>
      <c r="D1" s="12" t="s">
        <v>2</v>
      </c>
      <c r="E1" s="12" t="s">
        <v>36</v>
      </c>
      <c r="G1" s="12" t="s">
        <v>4</v>
      </c>
      <c r="H1" s="12" t="s">
        <v>2</v>
      </c>
      <c r="I1" s="12" t="s">
        <v>36</v>
      </c>
      <c r="J1" s="12"/>
      <c r="K1" s="23" t="s">
        <v>115</v>
      </c>
      <c r="L1" s="23" t="s">
        <v>116</v>
      </c>
      <c r="M1" s="23" t="s">
        <v>117</v>
      </c>
      <c r="N1" s="23" t="s">
        <v>118</v>
      </c>
      <c r="O1" s="23" t="s">
        <v>119</v>
      </c>
      <c r="P1" s="23" t="s">
        <v>120</v>
      </c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5" customHeight="1" x14ac:dyDescent="0.25">
      <c r="C2" s="11" t="s">
        <v>51</v>
      </c>
      <c r="D2" s="11" t="s">
        <v>51</v>
      </c>
      <c r="E2" s="11" t="s">
        <v>83</v>
      </c>
      <c r="G2" s="11" t="s">
        <v>51</v>
      </c>
      <c r="H2" s="11" t="s">
        <v>51</v>
      </c>
      <c r="I2" s="11" t="s">
        <v>83</v>
      </c>
      <c r="K2" s="23"/>
      <c r="L2" s="29"/>
      <c r="M2" s="29"/>
      <c r="N2" s="29"/>
      <c r="O2" s="23"/>
      <c r="P2" s="23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15" customHeight="1" x14ac:dyDescent="0.25">
      <c r="A3" s="8" t="s">
        <v>1</v>
      </c>
      <c r="G3" s="11"/>
      <c r="H3" s="11"/>
      <c r="K3" s="13"/>
      <c r="L3" s="22"/>
      <c r="M3" s="22"/>
      <c r="N3" s="22"/>
      <c r="O3" s="13"/>
      <c r="P3" s="13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15" customHeight="1" x14ac:dyDescent="0.2">
      <c r="A4" s="25"/>
      <c r="G4" s="11"/>
      <c r="H4" s="11"/>
      <c r="K4" s="13"/>
      <c r="L4" s="22"/>
      <c r="M4" s="22"/>
      <c r="N4" s="22"/>
      <c r="O4" s="13"/>
      <c r="P4" s="13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ht="15" customHeight="1" x14ac:dyDescent="0.2">
      <c r="A5" s="6">
        <v>1</v>
      </c>
      <c r="C5" s="5">
        <v>0.90607951813756737</v>
      </c>
      <c r="D5" s="5">
        <v>16.876245435480836</v>
      </c>
      <c r="E5" s="5">
        <v>140.93790113272001</v>
      </c>
      <c r="G5" s="30">
        <f>C5*300</f>
        <v>271.82385544127021</v>
      </c>
      <c r="H5" s="21">
        <f>D5*15</f>
        <v>253.14368153221255</v>
      </c>
      <c r="I5" s="11">
        <f>E5</f>
        <v>140.93790113272001</v>
      </c>
      <c r="K5" s="13">
        <f t="shared" ref="K5" si="0">SUM(G5:I5)</f>
        <v>665.90543810620284</v>
      </c>
      <c r="L5" s="22">
        <f>G5/$K5</f>
        <v>0.40820188556249337</v>
      </c>
      <c r="M5" s="22">
        <f>H5/$K5</f>
        <v>0.38014959338992449</v>
      </c>
      <c r="N5" s="22">
        <f>I5/$K5</f>
        <v>0.21164852104758206</v>
      </c>
      <c r="O5" s="13">
        <f t="shared" ref="O5" si="1">(L5/SIN(RADIANS(60))+M5/TAN(RADIANS(60)))*SIN(RADIANS(60))</f>
        <v>0.59827668225745567</v>
      </c>
      <c r="P5" s="13">
        <f t="shared" ref="P5" si="2">M5*SIN(RADIANS(60))</f>
        <v>0.32921920511399949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ht="15" customHeight="1" x14ac:dyDescent="0.2">
      <c r="A6" s="6">
        <v>2</v>
      </c>
      <c r="C6" s="5">
        <v>0.8606174888430681</v>
      </c>
      <c r="D6" s="5">
        <v>16.94243007068118</v>
      </c>
      <c r="E6" s="5">
        <v>233.06613953549368</v>
      </c>
      <c r="G6" s="30">
        <f t="shared" ref="G6:G20" si="3">C6*300</f>
        <v>258.18524665292045</v>
      </c>
      <c r="H6" s="21">
        <f t="shared" ref="H6:H20" si="4">D6*15</f>
        <v>254.13645106021769</v>
      </c>
      <c r="I6" s="11">
        <f t="shared" ref="I6:I20" si="5">E6</f>
        <v>233.06613953549368</v>
      </c>
      <c r="K6" s="13">
        <f t="shared" ref="K6:K20" si="6">SUM(G6:I6)</f>
        <v>745.38783724863185</v>
      </c>
      <c r="L6" s="22">
        <f t="shared" ref="L6:L20" si="7">G6/$K6</f>
        <v>0.3463770586946136</v>
      </c>
      <c r="M6" s="22">
        <f t="shared" ref="M6:M20" si="8">H6/$K6</f>
        <v>0.34094526146050841</v>
      </c>
      <c r="N6" s="22">
        <f t="shared" ref="N6:N20" si="9">I6/$K6</f>
        <v>0.31267767984487793</v>
      </c>
      <c r="O6" s="13">
        <f t="shared" ref="O6:O20" si="10">(L6/SIN(RADIANS(60))+M6/TAN(RADIANS(60)))*SIN(RADIANS(60))</f>
        <v>0.51684968942486786</v>
      </c>
      <c r="P6" s="13">
        <f t="shared" ref="P6:P20" si="11">M6*SIN(RADIANS(60))</f>
        <v>0.29526725772472778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15" customHeight="1" x14ac:dyDescent="0.2">
      <c r="A7" s="6">
        <v>3</v>
      </c>
      <c r="C7" s="5">
        <v>0.86189645419215855</v>
      </c>
      <c r="D7" s="5">
        <v>15.926368123616276</v>
      </c>
      <c r="E7" s="5">
        <v>167.88490243154453</v>
      </c>
      <c r="G7" s="30">
        <f t="shared" si="3"/>
        <v>258.56893625764758</v>
      </c>
      <c r="H7" s="21">
        <f t="shared" si="4"/>
        <v>238.89552185424415</v>
      </c>
      <c r="I7" s="11">
        <f t="shared" si="5"/>
        <v>167.88490243154453</v>
      </c>
      <c r="K7" s="13">
        <f t="shared" si="6"/>
        <v>665.34936054343632</v>
      </c>
      <c r="L7" s="22">
        <f t="shared" si="7"/>
        <v>0.38862130422197544</v>
      </c>
      <c r="M7" s="22">
        <f t="shared" si="8"/>
        <v>0.35905275637316586</v>
      </c>
      <c r="N7" s="22">
        <f t="shared" si="9"/>
        <v>0.25232593940485859</v>
      </c>
      <c r="O7" s="13">
        <f t="shared" si="10"/>
        <v>0.5681476824085584</v>
      </c>
      <c r="P7" s="13">
        <f t="shared" si="11"/>
        <v>0.3109488083179866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15" customHeight="1" x14ac:dyDescent="0.2">
      <c r="A8" s="6">
        <v>4</v>
      </c>
      <c r="C8" s="5">
        <v>0.92464623879441254</v>
      </c>
      <c r="D8" s="5">
        <v>18.383270703421552</v>
      </c>
      <c r="E8" s="5">
        <v>164.12249092944452</v>
      </c>
      <c r="G8" s="30">
        <f t="shared" si="3"/>
        <v>277.39387163832379</v>
      </c>
      <c r="H8" s="21">
        <f t="shared" si="4"/>
        <v>275.74906055132328</v>
      </c>
      <c r="I8" s="11">
        <f t="shared" si="5"/>
        <v>164.12249092944452</v>
      </c>
      <c r="K8" s="13">
        <f t="shared" si="6"/>
        <v>717.26542311909168</v>
      </c>
      <c r="L8" s="22">
        <f t="shared" si="7"/>
        <v>0.38673810656040297</v>
      </c>
      <c r="M8" s="22">
        <f t="shared" si="8"/>
        <v>0.38444493720637513</v>
      </c>
      <c r="N8" s="22">
        <f t="shared" si="9"/>
        <v>0.22881695623322182</v>
      </c>
      <c r="O8" s="13">
        <f t="shared" si="10"/>
        <v>0.57896057516359067</v>
      </c>
      <c r="P8" s="13">
        <f t="shared" si="11"/>
        <v>0.33293908197703415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15" customHeight="1" x14ac:dyDescent="0.2">
      <c r="A9" s="6">
        <v>5</v>
      </c>
      <c r="C9" s="5">
        <v>0.79470229817933002</v>
      </c>
      <c r="D9" s="5">
        <v>15.55178018180955</v>
      </c>
      <c r="E9" s="5">
        <v>166.3596004712337</v>
      </c>
      <c r="G9" s="30">
        <f t="shared" si="3"/>
        <v>238.41068945379899</v>
      </c>
      <c r="H9" s="21">
        <f t="shared" si="4"/>
        <v>233.27670272714323</v>
      </c>
      <c r="I9" s="11">
        <f t="shared" si="5"/>
        <v>166.3596004712337</v>
      </c>
      <c r="K9" s="13">
        <f t="shared" si="6"/>
        <v>638.04699265217596</v>
      </c>
      <c r="L9" s="22">
        <f t="shared" si="7"/>
        <v>0.37365694407992589</v>
      </c>
      <c r="M9" s="22">
        <f t="shared" si="8"/>
        <v>0.36561053560879547</v>
      </c>
      <c r="N9" s="22">
        <f t="shared" si="9"/>
        <v>0.26073252031127864</v>
      </c>
      <c r="O9" s="13">
        <f t="shared" si="10"/>
        <v>0.55646221188432354</v>
      </c>
      <c r="P9" s="13">
        <f t="shared" si="11"/>
        <v>0.31662801172845195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ht="15" customHeight="1" x14ac:dyDescent="0.2">
      <c r="A10" s="6">
        <v>6</v>
      </c>
      <c r="C10" s="5">
        <v>0.73655450301448611</v>
      </c>
      <c r="D10" s="5">
        <v>15.967304134398409</v>
      </c>
      <c r="E10" s="5">
        <v>192.39142059387174</v>
      </c>
      <c r="G10" s="30">
        <f t="shared" si="3"/>
        <v>220.96635090434583</v>
      </c>
      <c r="H10" s="21">
        <f t="shared" si="4"/>
        <v>239.50956201597614</v>
      </c>
      <c r="I10" s="11">
        <f t="shared" si="5"/>
        <v>192.39142059387174</v>
      </c>
      <c r="K10" s="13">
        <f t="shared" si="6"/>
        <v>652.86733351419377</v>
      </c>
      <c r="L10" s="22">
        <f t="shared" si="7"/>
        <v>0.33845521067036488</v>
      </c>
      <c r="M10" s="22">
        <f t="shared" si="8"/>
        <v>0.36685793532778899</v>
      </c>
      <c r="N10" s="22">
        <f t="shared" si="9"/>
        <v>0.29468685400184602</v>
      </c>
      <c r="O10" s="13">
        <f t="shared" si="10"/>
        <v>0.52188417833425937</v>
      </c>
      <c r="P10" s="13">
        <f t="shared" si="11"/>
        <v>0.31770829157377389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ht="15" customHeight="1" x14ac:dyDescent="0.2">
      <c r="A11" s="6">
        <v>7</v>
      </c>
      <c r="C11" s="5">
        <v>0.85075206553093863</v>
      </c>
      <c r="D11" s="5">
        <v>15.375069939099239</v>
      </c>
      <c r="E11" s="5">
        <v>158.63140387232556</v>
      </c>
      <c r="G11" s="30">
        <f t="shared" si="3"/>
        <v>255.22561965928159</v>
      </c>
      <c r="H11" s="21">
        <f t="shared" si="4"/>
        <v>230.62604908648859</v>
      </c>
      <c r="I11" s="11">
        <f t="shared" si="5"/>
        <v>158.63140387232556</v>
      </c>
      <c r="K11" s="13">
        <f t="shared" si="6"/>
        <v>644.48307261809578</v>
      </c>
      <c r="L11" s="22">
        <f t="shared" si="7"/>
        <v>0.3960160173369236</v>
      </c>
      <c r="M11" s="22">
        <f t="shared" si="8"/>
        <v>0.35784655778407343</v>
      </c>
      <c r="N11" s="22">
        <f t="shared" si="9"/>
        <v>0.24613742487900298</v>
      </c>
      <c r="O11" s="13">
        <f t="shared" si="10"/>
        <v>0.57493929622896034</v>
      </c>
      <c r="P11" s="13">
        <f t="shared" si="11"/>
        <v>0.30990420969782362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5" customHeight="1" x14ac:dyDescent="0.2">
      <c r="A12" s="6">
        <v>8</v>
      </c>
      <c r="C12" s="5">
        <v>0.81892241628059503</v>
      </c>
      <c r="D12" s="5">
        <v>17.763148194047751</v>
      </c>
      <c r="E12" s="5">
        <v>111.55041669739816</v>
      </c>
      <c r="G12" s="30">
        <f t="shared" si="3"/>
        <v>245.6767248841785</v>
      </c>
      <c r="H12" s="21">
        <f t="shared" si="4"/>
        <v>266.44722291071628</v>
      </c>
      <c r="I12" s="11">
        <f t="shared" si="5"/>
        <v>111.55041669739816</v>
      </c>
      <c r="K12" s="13">
        <f t="shared" si="6"/>
        <v>623.67436449229297</v>
      </c>
      <c r="L12" s="22">
        <f t="shared" si="7"/>
        <v>0.39391826708185057</v>
      </c>
      <c r="M12" s="22">
        <f t="shared" si="8"/>
        <v>0.42722170106770341</v>
      </c>
      <c r="N12" s="22">
        <f t="shared" si="9"/>
        <v>0.17886003185044597</v>
      </c>
      <c r="O12" s="13">
        <f t="shared" si="10"/>
        <v>0.60752911761570239</v>
      </c>
      <c r="P12" s="13">
        <f t="shared" si="11"/>
        <v>0.36998484617263255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ht="15" customHeight="1" x14ac:dyDescent="0.2">
      <c r="A13" s="6">
        <v>9</v>
      </c>
      <c r="C13" s="5">
        <v>0.8451611179078703</v>
      </c>
      <c r="D13" s="5">
        <v>17.150726188756366</v>
      </c>
      <c r="E13" s="5">
        <v>172.76586870453917</v>
      </c>
      <c r="G13" s="30">
        <f t="shared" si="3"/>
        <v>253.54833537236109</v>
      </c>
      <c r="H13" s="21">
        <f t="shared" si="4"/>
        <v>257.26089283134547</v>
      </c>
      <c r="I13" s="11">
        <f t="shared" si="5"/>
        <v>172.76586870453917</v>
      </c>
      <c r="K13" s="13">
        <f t="shared" si="6"/>
        <v>683.57509690824577</v>
      </c>
      <c r="L13" s="22">
        <f t="shared" si="7"/>
        <v>0.37091511454870063</v>
      </c>
      <c r="M13" s="22">
        <f t="shared" si="8"/>
        <v>0.37634620394293977</v>
      </c>
      <c r="N13" s="22">
        <f t="shared" si="9"/>
        <v>0.2527386815083596</v>
      </c>
      <c r="O13" s="13">
        <f t="shared" si="10"/>
        <v>0.55908821652017049</v>
      </c>
      <c r="P13" s="13">
        <f t="shared" si="11"/>
        <v>0.3259253732324251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31" ht="15" customHeight="1" x14ac:dyDescent="0.2">
      <c r="A14" s="6">
        <v>10</v>
      </c>
      <c r="C14" s="5">
        <v>0.8495246005126863</v>
      </c>
      <c r="D14" s="5">
        <v>17.460270355142722</v>
      </c>
      <c r="E14" s="5">
        <v>154.97067916757959</v>
      </c>
      <c r="G14" s="30">
        <f t="shared" si="3"/>
        <v>254.85738015380588</v>
      </c>
      <c r="H14" s="21">
        <f t="shared" si="4"/>
        <v>261.90405532714084</v>
      </c>
      <c r="I14" s="11">
        <f t="shared" si="5"/>
        <v>154.97067916757959</v>
      </c>
      <c r="K14" s="13">
        <f t="shared" si="6"/>
        <v>671.73211464852625</v>
      </c>
      <c r="L14" s="22">
        <f t="shared" si="7"/>
        <v>0.37940329871999073</v>
      </c>
      <c r="M14" s="22">
        <f t="shared" si="8"/>
        <v>0.38989360433389164</v>
      </c>
      <c r="N14" s="22">
        <f t="shared" si="9"/>
        <v>0.23070309694611768</v>
      </c>
      <c r="O14" s="13">
        <f t="shared" si="10"/>
        <v>0.57435010088693661</v>
      </c>
      <c r="P14" s="13">
        <f t="shared" si="11"/>
        <v>0.33765776612622866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31"/>
      <c r="AE14" s="31"/>
    </row>
    <row r="15" spans="1:31" ht="15" customHeight="1" x14ac:dyDescent="0.2">
      <c r="A15" s="6">
        <v>11</v>
      </c>
      <c r="C15" s="5">
        <v>0.76042146990765802</v>
      </c>
      <c r="D15" s="5">
        <v>17.573715771832962</v>
      </c>
      <c r="E15" s="5">
        <v>344.92161662495403</v>
      </c>
      <c r="G15" s="30">
        <f t="shared" si="3"/>
        <v>228.12644097229742</v>
      </c>
      <c r="H15" s="21">
        <f t="shared" si="4"/>
        <v>263.60573657749444</v>
      </c>
      <c r="I15" s="11">
        <f t="shared" si="5"/>
        <v>344.92161662495403</v>
      </c>
      <c r="K15" s="13">
        <f t="shared" si="6"/>
        <v>836.65379417474583</v>
      </c>
      <c r="L15" s="22">
        <f t="shared" si="7"/>
        <v>0.27266527990507183</v>
      </c>
      <c r="M15" s="22">
        <f t="shared" si="8"/>
        <v>0.31507146493910121</v>
      </c>
      <c r="N15" s="22">
        <f t="shared" si="9"/>
        <v>0.41226325515582701</v>
      </c>
      <c r="O15" s="13">
        <f t="shared" si="10"/>
        <v>0.43020101237462249</v>
      </c>
      <c r="P15" s="13">
        <f t="shared" si="11"/>
        <v>0.27285989264483973</v>
      </c>
      <c r="Q15" s="28"/>
      <c r="R15" s="28"/>
      <c r="S15" s="28"/>
      <c r="T15" s="32"/>
      <c r="U15" s="32" t="s">
        <v>121</v>
      </c>
      <c r="V15" s="32" t="s">
        <v>122</v>
      </c>
      <c r="W15" s="32"/>
      <c r="X15" s="32" t="s">
        <v>123</v>
      </c>
      <c r="Y15" s="32" t="s">
        <v>121</v>
      </c>
      <c r="Z15" s="32"/>
      <c r="AA15" s="32" t="s">
        <v>124</v>
      </c>
      <c r="AB15" s="32" t="s">
        <v>121</v>
      </c>
      <c r="AC15" s="32"/>
      <c r="AD15" s="32" t="s">
        <v>125</v>
      </c>
      <c r="AE15" s="32" t="s">
        <v>122</v>
      </c>
    </row>
    <row r="16" spans="1:31" ht="15" customHeight="1" x14ac:dyDescent="0.2">
      <c r="A16" s="6">
        <v>12</v>
      </c>
      <c r="C16" s="5">
        <v>0.89906228240211772</v>
      </c>
      <c r="D16" s="5">
        <v>17.988640956404694</v>
      </c>
      <c r="E16" s="5">
        <v>186.29021275262846</v>
      </c>
      <c r="G16" s="30">
        <f t="shared" si="3"/>
        <v>269.71868472063534</v>
      </c>
      <c r="H16" s="21">
        <f t="shared" si="4"/>
        <v>269.8296143460704</v>
      </c>
      <c r="I16" s="11">
        <f t="shared" si="5"/>
        <v>186.29021275262846</v>
      </c>
      <c r="K16" s="13">
        <f t="shared" si="6"/>
        <v>725.83851181933426</v>
      </c>
      <c r="L16" s="22">
        <f t="shared" si="7"/>
        <v>0.37159599598067344</v>
      </c>
      <c r="M16" s="22">
        <f t="shared" si="8"/>
        <v>0.37174882560272948</v>
      </c>
      <c r="N16" s="22">
        <f t="shared" si="9"/>
        <v>0.25665517841659696</v>
      </c>
      <c r="O16" s="13">
        <f t="shared" si="10"/>
        <v>0.55747040878203824</v>
      </c>
      <c r="P16" s="13">
        <f t="shared" si="11"/>
        <v>0.32194392679899464</v>
      </c>
      <c r="Q16" s="28"/>
      <c r="R16" s="28"/>
      <c r="S16" s="28"/>
      <c r="T16" s="32"/>
      <c r="U16" s="32">
        <v>0</v>
      </c>
      <c r="V16" s="32">
        <v>0</v>
      </c>
      <c r="W16" s="32"/>
      <c r="X16" s="33">
        <f>(U16/SIN(RADIANS(60))+V16/TAN(RADIANS(60)))*SIN(RADIANS(60))</f>
        <v>0</v>
      </c>
      <c r="Y16" s="33">
        <f>V16*SIN(RADIANS(60))</f>
        <v>0</v>
      </c>
      <c r="Z16" s="33">
        <f>W17</f>
        <v>1</v>
      </c>
      <c r="AA16" s="33"/>
      <c r="AB16" s="33">
        <f>Y17</f>
        <v>0</v>
      </c>
      <c r="AC16" s="33"/>
      <c r="AD16" s="33">
        <f>X17</f>
        <v>0</v>
      </c>
      <c r="AE16" s="33">
        <v>0</v>
      </c>
    </row>
    <row r="17" spans="1:31" ht="15" customHeight="1" x14ac:dyDescent="0.2">
      <c r="A17" s="6">
        <v>13</v>
      </c>
      <c r="C17" s="5">
        <v>0.83878076103080546</v>
      </c>
      <c r="D17" s="5">
        <v>17.614755255951081</v>
      </c>
      <c r="E17" s="5">
        <v>174.69791785426622</v>
      </c>
      <c r="G17" s="30">
        <f t="shared" si="3"/>
        <v>251.63422830924165</v>
      </c>
      <c r="H17" s="21">
        <f t="shared" si="4"/>
        <v>264.22132883926622</v>
      </c>
      <c r="I17" s="11">
        <f t="shared" si="5"/>
        <v>174.69791785426622</v>
      </c>
      <c r="K17" s="13">
        <f t="shared" si="6"/>
        <v>690.55347500277412</v>
      </c>
      <c r="L17" s="22">
        <f t="shared" si="7"/>
        <v>0.36439499244896389</v>
      </c>
      <c r="M17" s="22">
        <f t="shared" si="8"/>
        <v>0.38262254612244878</v>
      </c>
      <c r="N17" s="22">
        <f t="shared" si="9"/>
        <v>0.25298246142858727</v>
      </c>
      <c r="O17" s="13">
        <f t="shared" si="10"/>
        <v>0.55570626551018831</v>
      </c>
      <c r="P17" s="13">
        <f t="shared" si="11"/>
        <v>0.33136084500272367</v>
      </c>
      <c r="Q17" s="28"/>
      <c r="R17" s="28"/>
      <c r="S17" s="28"/>
      <c r="T17" s="32"/>
      <c r="U17" s="32">
        <v>0</v>
      </c>
      <c r="V17" s="32">
        <v>0</v>
      </c>
      <c r="W17" s="32">
        <f>1-V17</f>
        <v>1</v>
      </c>
      <c r="X17" s="33">
        <f t="shared" ref="X17:X29" si="12">(U17/SIN(RADIANS(60))+V17/TAN(RADIANS(60)))*SIN(RADIANS(60))</f>
        <v>0</v>
      </c>
      <c r="Y17" s="33">
        <f t="shared" ref="Y17:Y29" si="13">V17*SIN(RADIANS(60))</f>
        <v>0</v>
      </c>
      <c r="Z17" s="33"/>
      <c r="AA17" s="33">
        <f t="shared" ref="AA17:AA29" si="14">1-X17</f>
        <v>1</v>
      </c>
      <c r="AB17" s="33">
        <f>Y17</f>
        <v>0</v>
      </c>
      <c r="AC17" s="33">
        <f>V17</f>
        <v>0</v>
      </c>
      <c r="AD17" s="33">
        <f>1-AD16</f>
        <v>1</v>
      </c>
      <c r="AE17" s="32">
        <v>0</v>
      </c>
    </row>
    <row r="18" spans="1:31" ht="15" customHeight="1" x14ac:dyDescent="0.2">
      <c r="A18" s="6">
        <v>14</v>
      </c>
      <c r="C18" s="5">
        <v>0.76413170318217538</v>
      </c>
      <c r="D18" s="5">
        <v>17.376230846430904</v>
      </c>
      <c r="E18" s="5">
        <v>136.76874244120376</v>
      </c>
      <c r="G18" s="30">
        <f t="shared" si="3"/>
        <v>229.23951095465262</v>
      </c>
      <c r="H18" s="21">
        <f t="shared" si="4"/>
        <v>260.64346269646353</v>
      </c>
      <c r="I18" s="11">
        <f t="shared" si="5"/>
        <v>136.76874244120376</v>
      </c>
      <c r="K18" s="13">
        <f t="shared" si="6"/>
        <v>626.65171609231993</v>
      </c>
      <c r="L18" s="22">
        <f t="shared" si="7"/>
        <v>0.36581645763957416</v>
      </c>
      <c r="M18" s="22">
        <f t="shared" si="8"/>
        <v>0.41593034217122432</v>
      </c>
      <c r="N18" s="22">
        <f t="shared" si="9"/>
        <v>0.2182532001892015</v>
      </c>
      <c r="O18" s="13">
        <f t="shared" si="10"/>
        <v>0.57378162872518634</v>
      </c>
      <c r="P18" s="13">
        <f t="shared" si="11"/>
        <v>0.36020624252503425</v>
      </c>
      <c r="Q18" s="28"/>
      <c r="R18" s="28"/>
      <c r="S18" s="28"/>
      <c r="T18" s="32"/>
      <c r="U18" s="32"/>
      <c r="V18" s="32"/>
      <c r="W18" s="32"/>
      <c r="X18" s="33">
        <f t="shared" si="12"/>
        <v>0</v>
      </c>
      <c r="Y18" s="33"/>
      <c r="Z18" s="33"/>
      <c r="AA18" s="33">
        <f t="shared" si="14"/>
        <v>1</v>
      </c>
      <c r="AB18" s="32"/>
      <c r="AC18" s="33"/>
      <c r="AD18" s="33"/>
      <c r="AE18" s="32"/>
    </row>
    <row r="19" spans="1:31" ht="15" customHeight="1" x14ac:dyDescent="0.2">
      <c r="A19" s="6">
        <v>15</v>
      </c>
      <c r="C19" s="5">
        <v>0.75973632143010694</v>
      </c>
      <c r="D19" s="5">
        <v>17.610920138669997</v>
      </c>
      <c r="E19" s="5">
        <v>170.63044596010403</v>
      </c>
      <c r="G19" s="30">
        <f t="shared" si="3"/>
        <v>227.92089642903207</v>
      </c>
      <c r="H19" s="21">
        <f t="shared" si="4"/>
        <v>264.16380208004995</v>
      </c>
      <c r="I19" s="11">
        <f t="shared" si="5"/>
        <v>170.63044596010403</v>
      </c>
      <c r="K19" s="13">
        <f t="shared" si="6"/>
        <v>662.71514446918604</v>
      </c>
      <c r="L19" s="22">
        <f t="shared" si="7"/>
        <v>0.34391985505565825</v>
      </c>
      <c r="M19" s="22">
        <f t="shared" si="8"/>
        <v>0.39860836784050985</v>
      </c>
      <c r="N19" s="22">
        <f t="shared" si="9"/>
        <v>0.2574717771038319</v>
      </c>
      <c r="O19" s="13">
        <f t="shared" si="10"/>
        <v>0.54322403897591331</v>
      </c>
      <c r="P19" s="13">
        <f t="shared" si="11"/>
        <v>0.34520497271093359</v>
      </c>
      <c r="Q19" s="28"/>
      <c r="R19" s="28"/>
      <c r="S19" s="28"/>
      <c r="T19" s="32"/>
      <c r="U19" s="32">
        <v>0.25</v>
      </c>
      <c r="V19" s="32">
        <v>0</v>
      </c>
      <c r="W19" s="32"/>
      <c r="X19" s="33">
        <f t="shared" si="12"/>
        <v>0.25</v>
      </c>
      <c r="Y19" s="33">
        <f t="shared" si="13"/>
        <v>0</v>
      </c>
      <c r="Z19" s="33">
        <f>W20</f>
        <v>0.75</v>
      </c>
      <c r="AA19" s="33">
        <f t="shared" si="14"/>
        <v>0.75</v>
      </c>
      <c r="AB19" s="33">
        <f>Y19</f>
        <v>0</v>
      </c>
      <c r="AC19" s="33"/>
      <c r="AD19" s="33">
        <f>X20</f>
        <v>0.12500000000000003</v>
      </c>
      <c r="AE19" s="33">
        <f>AB20</f>
        <v>0.21650635094610965</v>
      </c>
    </row>
    <row r="20" spans="1:31" ht="15" customHeight="1" x14ac:dyDescent="0.2">
      <c r="A20" s="6">
        <v>16</v>
      </c>
      <c r="C20" s="5">
        <v>0.86604278012450975</v>
      </c>
      <c r="D20" s="5">
        <v>16.591932715290447</v>
      </c>
      <c r="E20" s="5">
        <v>242.92975887883702</v>
      </c>
      <c r="G20" s="30">
        <f t="shared" si="3"/>
        <v>259.8128340373529</v>
      </c>
      <c r="H20" s="21">
        <f t="shared" si="4"/>
        <v>248.8789907293567</v>
      </c>
      <c r="I20" s="11">
        <f t="shared" si="5"/>
        <v>242.92975887883702</v>
      </c>
      <c r="K20" s="13">
        <f t="shared" si="6"/>
        <v>751.62158364554659</v>
      </c>
      <c r="L20" s="22">
        <f t="shared" si="7"/>
        <v>0.34566973552994285</v>
      </c>
      <c r="M20" s="22">
        <f t="shared" si="8"/>
        <v>0.33112273003421927</v>
      </c>
      <c r="N20" s="22">
        <f t="shared" si="9"/>
        <v>0.32320753443583788</v>
      </c>
      <c r="O20" s="13">
        <f t="shared" si="10"/>
        <v>0.51123110054705256</v>
      </c>
      <c r="P20" s="13">
        <f t="shared" si="11"/>
        <v>0.28676069598009041</v>
      </c>
      <c r="Q20" s="28"/>
      <c r="R20" s="28"/>
      <c r="S20" s="28"/>
      <c r="T20" s="32"/>
      <c r="U20" s="32">
        <v>0</v>
      </c>
      <c r="V20" s="32">
        <v>0.25</v>
      </c>
      <c r="W20" s="32">
        <f>1-V20</f>
        <v>0.75</v>
      </c>
      <c r="X20" s="33">
        <f t="shared" si="12"/>
        <v>0.12500000000000003</v>
      </c>
      <c r="Y20" s="33">
        <f t="shared" si="13"/>
        <v>0.21650635094610965</v>
      </c>
      <c r="Z20" s="33"/>
      <c r="AA20" s="33">
        <f t="shared" si="14"/>
        <v>0.875</v>
      </c>
      <c r="AB20" s="33">
        <f>Y20</f>
        <v>0.21650635094610965</v>
      </c>
      <c r="AC20" s="33">
        <f>V20</f>
        <v>0.25</v>
      </c>
      <c r="AD20" s="33">
        <f>1-AD19</f>
        <v>0.875</v>
      </c>
      <c r="AE20" s="32">
        <f>AE19</f>
        <v>0.21650635094610965</v>
      </c>
    </row>
    <row r="21" spans="1:31" ht="15" customHeight="1" x14ac:dyDescent="0.2">
      <c r="A21" s="25"/>
      <c r="C21" s="4"/>
      <c r="D21" s="4"/>
      <c r="E21" s="5"/>
      <c r="G21" s="30"/>
      <c r="K21" s="13"/>
      <c r="L21" s="22"/>
      <c r="M21" s="22"/>
      <c r="N21" s="22"/>
      <c r="O21" s="13"/>
      <c r="P21" s="13"/>
      <c r="Q21" s="28"/>
      <c r="R21" s="28"/>
      <c r="S21" s="28"/>
      <c r="T21" s="32"/>
      <c r="U21" s="32"/>
      <c r="V21" s="32"/>
      <c r="W21" s="32"/>
      <c r="X21" s="33">
        <f t="shared" si="12"/>
        <v>0</v>
      </c>
      <c r="Y21" s="33"/>
      <c r="Z21" s="33"/>
      <c r="AA21" s="33">
        <f t="shared" si="14"/>
        <v>1</v>
      </c>
      <c r="AB21" s="32"/>
      <c r="AC21" s="33"/>
      <c r="AD21" s="33"/>
      <c r="AE21" s="32"/>
    </row>
    <row r="22" spans="1:31" ht="15" customHeight="1" x14ac:dyDescent="0.2">
      <c r="A22" s="26" t="s">
        <v>108</v>
      </c>
      <c r="C22" s="5">
        <v>0.73655450301448611</v>
      </c>
      <c r="D22" s="5">
        <v>15.375069939099239</v>
      </c>
      <c r="E22" s="5">
        <f t="shared" ref="E22:I22" si="15">MIN(E5:E20)</f>
        <v>111.55041669739816</v>
      </c>
      <c r="F22" s="5"/>
      <c r="G22" s="5">
        <f t="shared" si="15"/>
        <v>220.96635090434583</v>
      </c>
      <c r="H22" s="5">
        <f t="shared" si="15"/>
        <v>230.62604908648859</v>
      </c>
      <c r="I22" s="5">
        <f t="shared" si="15"/>
        <v>111.55041669739816</v>
      </c>
      <c r="K22" s="13"/>
      <c r="L22" s="22"/>
      <c r="M22" s="22"/>
      <c r="N22" s="22"/>
      <c r="O22" s="13"/>
      <c r="P22" s="13"/>
      <c r="Q22" s="28"/>
      <c r="R22" s="28"/>
      <c r="S22" s="28"/>
      <c r="T22" s="32"/>
      <c r="U22" s="32">
        <v>0.5</v>
      </c>
      <c r="V22" s="32">
        <v>0</v>
      </c>
      <c r="W22" s="32"/>
      <c r="X22" s="33">
        <f t="shared" si="12"/>
        <v>0.5</v>
      </c>
      <c r="Y22" s="33">
        <f t="shared" si="13"/>
        <v>0</v>
      </c>
      <c r="Z22" s="33">
        <f>W23</f>
        <v>0.5</v>
      </c>
      <c r="AA22" s="33">
        <f t="shared" si="14"/>
        <v>0.5</v>
      </c>
      <c r="AB22" s="33">
        <f>Y22</f>
        <v>0</v>
      </c>
      <c r="AC22" s="33"/>
      <c r="AD22" s="33">
        <f>X23</f>
        <v>0.25000000000000006</v>
      </c>
      <c r="AE22" s="33">
        <f>AB23</f>
        <v>0.4330127018922193</v>
      </c>
    </row>
    <row r="23" spans="1:31" ht="15" customHeight="1" x14ac:dyDescent="0.2">
      <c r="A23" s="26" t="s">
        <v>109</v>
      </c>
      <c r="C23" s="5">
        <v>0.92464623879441254</v>
      </c>
      <c r="D23" s="5">
        <v>18.383270703421552</v>
      </c>
      <c r="E23" s="5">
        <f t="shared" ref="E23:I23" si="16">MAX(E5:E20)</f>
        <v>344.92161662495403</v>
      </c>
      <c r="F23" s="5"/>
      <c r="G23" s="5">
        <f t="shared" si="16"/>
        <v>277.39387163832379</v>
      </c>
      <c r="H23" s="5">
        <f t="shared" si="16"/>
        <v>275.74906055132328</v>
      </c>
      <c r="I23" s="5">
        <f t="shared" si="16"/>
        <v>344.92161662495403</v>
      </c>
      <c r="K23" s="13"/>
      <c r="L23" s="22"/>
      <c r="M23" s="22"/>
      <c r="N23" s="22"/>
      <c r="O23" s="13"/>
      <c r="P23" s="13"/>
      <c r="Q23" s="28"/>
      <c r="R23" s="28"/>
      <c r="S23" s="28"/>
      <c r="T23" s="32"/>
      <c r="U23" s="32">
        <v>0</v>
      </c>
      <c r="V23" s="32">
        <v>0.5</v>
      </c>
      <c r="W23" s="32">
        <f>1-V23</f>
        <v>0.5</v>
      </c>
      <c r="X23" s="33">
        <f t="shared" si="12"/>
        <v>0.25000000000000006</v>
      </c>
      <c r="Y23" s="33">
        <f t="shared" si="13"/>
        <v>0.4330127018922193</v>
      </c>
      <c r="Z23" s="33"/>
      <c r="AA23" s="33">
        <f t="shared" si="14"/>
        <v>0.75</v>
      </c>
      <c r="AB23" s="33">
        <f>Y23</f>
        <v>0.4330127018922193</v>
      </c>
      <c r="AC23" s="33">
        <f>V23</f>
        <v>0.5</v>
      </c>
      <c r="AD23" s="33">
        <f>1-AD22</f>
        <v>0.75</v>
      </c>
      <c r="AE23" s="32">
        <f>AE22</f>
        <v>0.4330127018922193</v>
      </c>
    </row>
    <row r="24" spans="1:31" ht="15" customHeight="1" x14ac:dyDescent="0.2">
      <c r="A24" s="26" t="s">
        <v>110</v>
      </c>
      <c r="C24" s="5">
        <v>0.83356450121690551</v>
      </c>
      <c r="D24" s="5">
        <v>17.00955056318962</v>
      </c>
      <c r="E24" s="5">
        <f t="shared" ref="E24:I24" si="17">AVERAGE(E5:E20)</f>
        <v>182.43246987800904</v>
      </c>
      <c r="F24" s="5"/>
      <c r="G24" s="5">
        <f t="shared" si="17"/>
        <v>250.06935036507164</v>
      </c>
      <c r="H24" s="5">
        <f t="shared" si="17"/>
        <v>255.14325844784435</v>
      </c>
      <c r="I24" s="5">
        <f t="shared" si="17"/>
        <v>182.43246987800904</v>
      </c>
      <c r="K24" s="13"/>
      <c r="L24" s="22"/>
      <c r="M24" s="22"/>
      <c r="N24" s="22"/>
      <c r="O24" s="13"/>
      <c r="P24" s="13"/>
      <c r="Q24" s="28"/>
      <c r="R24" s="28"/>
      <c r="S24" s="28"/>
      <c r="T24" s="32"/>
      <c r="U24" s="32"/>
      <c r="V24" s="32"/>
      <c r="W24" s="32"/>
      <c r="X24" s="33">
        <f t="shared" si="12"/>
        <v>0</v>
      </c>
      <c r="Y24" s="33"/>
      <c r="Z24" s="33"/>
      <c r="AA24" s="33">
        <f t="shared" si="14"/>
        <v>1</v>
      </c>
      <c r="AB24" s="33"/>
      <c r="AC24" s="33"/>
      <c r="AD24" s="33"/>
      <c r="AE24" s="33"/>
    </row>
    <row r="25" spans="1:31" ht="15" customHeight="1" x14ac:dyDescent="0.25">
      <c r="G25" s="30"/>
      <c r="K25" s="13"/>
      <c r="L25" s="22"/>
      <c r="M25" s="22"/>
      <c r="N25" s="22"/>
      <c r="O25" s="13"/>
      <c r="P25" s="13"/>
      <c r="Q25" s="28"/>
      <c r="R25" s="28"/>
      <c r="S25" s="28"/>
      <c r="T25" s="32"/>
      <c r="U25" s="32">
        <v>0.75</v>
      </c>
      <c r="V25" s="32">
        <v>0</v>
      </c>
      <c r="W25" s="32"/>
      <c r="X25" s="33">
        <f t="shared" si="12"/>
        <v>0.75</v>
      </c>
      <c r="Y25" s="33">
        <f t="shared" si="13"/>
        <v>0</v>
      </c>
      <c r="Z25" s="33">
        <f>W26</f>
        <v>0.25</v>
      </c>
      <c r="AA25" s="33">
        <f t="shared" si="14"/>
        <v>0.25</v>
      </c>
      <c r="AB25" s="33">
        <f>Y25</f>
        <v>0</v>
      </c>
      <c r="AC25" s="33"/>
      <c r="AD25" s="33">
        <f>X26</f>
        <v>0.37500000000000011</v>
      </c>
      <c r="AE25" s="33">
        <f>AB26</f>
        <v>0.649519052838329</v>
      </c>
    </row>
    <row r="26" spans="1:31" ht="15" customHeight="1" x14ac:dyDescent="0.25">
      <c r="G26" s="30"/>
      <c r="K26" s="13"/>
      <c r="L26" s="22"/>
      <c r="M26" s="22"/>
      <c r="N26" s="22"/>
      <c r="O26" s="13"/>
      <c r="P26" s="13"/>
      <c r="Q26" s="28"/>
      <c r="R26" s="28"/>
      <c r="S26" s="28"/>
      <c r="T26" s="32"/>
      <c r="U26" s="32">
        <v>0</v>
      </c>
      <c r="V26" s="32">
        <v>0.75</v>
      </c>
      <c r="W26" s="32">
        <f>1-V26</f>
        <v>0.25</v>
      </c>
      <c r="X26" s="33">
        <f t="shared" si="12"/>
        <v>0.37500000000000011</v>
      </c>
      <c r="Y26" s="33">
        <f t="shared" si="13"/>
        <v>0.649519052838329</v>
      </c>
      <c r="Z26" s="33"/>
      <c r="AA26" s="33">
        <f t="shared" si="14"/>
        <v>0.62499999999999989</v>
      </c>
      <c r="AB26" s="33">
        <f>Y26</f>
        <v>0.649519052838329</v>
      </c>
      <c r="AC26" s="33">
        <f>V26</f>
        <v>0.75</v>
      </c>
      <c r="AD26" s="33">
        <f>1-AD25</f>
        <v>0.62499999999999989</v>
      </c>
      <c r="AE26" s="32">
        <f>AE25</f>
        <v>0.649519052838329</v>
      </c>
    </row>
    <row r="27" spans="1:31" ht="15" customHeight="1" x14ac:dyDescent="0.25">
      <c r="G27" s="30"/>
      <c r="K27" s="13"/>
      <c r="L27" s="22"/>
      <c r="M27" s="22"/>
      <c r="N27" s="22"/>
      <c r="O27" s="13"/>
      <c r="P27" s="13"/>
      <c r="Q27" s="28"/>
      <c r="R27" s="28"/>
      <c r="S27" s="28"/>
      <c r="T27" s="32"/>
      <c r="U27" s="32"/>
      <c r="V27" s="32"/>
      <c r="W27" s="32"/>
      <c r="X27" s="33">
        <f t="shared" si="12"/>
        <v>0</v>
      </c>
      <c r="Y27" s="33"/>
      <c r="Z27" s="33"/>
      <c r="AA27" s="33">
        <f t="shared" si="14"/>
        <v>1</v>
      </c>
      <c r="AB27" s="32"/>
      <c r="AC27" s="33"/>
      <c r="AD27" s="33"/>
      <c r="AE27" s="32"/>
    </row>
    <row r="28" spans="1:31" ht="15" customHeight="1" x14ac:dyDescent="0.25">
      <c r="G28" s="30"/>
      <c r="K28" s="13"/>
      <c r="L28" s="22"/>
      <c r="M28" s="22"/>
      <c r="N28" s="22"/>
      <c r="O28" s="13"/>
      <c r="P28" s="13"/>
      <c r="Q28" s="28"/>
      <c r="R28" s="28"/>
      <c r="S28" s="28"/>
      <c r="T28" s="32"/>
      <c r="U28" s="32">
        <v>1</v>
      </c>
      <c r="V28" s="32">
        <v>0</v>
      </c>
      <c r="W28" s="32"/>
      <c r="X28" s="33">
        <f t="shared" si="12"/>
        <v>1</v>
      </c>
      <c r="Y28" s="33">
        <f t="shared" si="13"/>
        <v>0</v>
      </c>
      <c r="Z28" s="33">
        <f>W29</f>
        <v>0</v>
      </c>
      <c r="AA28" s="33">
        <f t="shared" si="14"/>
        <v>0</v>
      </c>
      <c r="AB28" s="33">
        <f>Y28</f>
        <v>0</v>
      </c>
      <c r="AC28" s="33"/>
      <c r="AD28" s="33">
        <f>X29</f>
        <v>0.50000000000000011</v>
      </c>
      <c r="AE28" s="33">
        <f>AB29</f>
        <v>0.8660254037844386</v>
      </c>
    </row>
    <row r="29" spans="1:31" ht="15" customHeight="1" x14ac:dyDescent="0.25">
      <c r="G29" s="30"/>
      <c r="K29" s="13"/>
      <c r="L29" s="22"/>
      <c r="M29" s="22"/>
      <c r="N29" s="22"/>
      <c r="O29" s="13"/>
      <c r="P29" s="13"/>
      <c r="Q29" s="28"/>
      <c r="R29" s="28"/>
      <c r="S29" s="28"/>
      <c r="T29" s="32"/>
      <c r="U29" s="32">
        <v>0</v>
      </c>
      <c r="V29" s="32">
        <v>1</v>
      </c>
      <c r="W29" s="32">
        <f>1-V29</f>
        <v>0</v>
      </c>
      <c r="X29" s="33">
        <f t="shared" si="12"/>
        <v>0.50000000000000011</v>
      </c>
      <c r="Y29" s="33">
        <f t="shared" si="13"/>
        <v>0.8660254037844386</v>
      </c>
      <c r="Z29" s="33"/>
      <c r="AA29" s="33">
        <f t="shared" si="14"/>
        <v>0.49999999999999989</v>
      </c>
      <c r="AB29" s="33">
        <f>Y29</f>
        <v>0.8660254037844386</v>
      </c>
      <c r="AC29" s="33">
        <f>V29</f>
        <v>1</v>
      </c>
      <c r="AD29" s="33">
        <f>1-AD28</f>
        <v>0.49999999999999989</v>
      </c>
      <c r="AE29" s="32">
        <f>AE28</f>
        <v>0.8660254037844386</v>
      </c>
    </row>
    <row r="30" spans="1:31" ht="15" customHeight="1" x14ac:dyDescent="0.25">
      <c r="G30" s="30"/>
      <c r="K30" s="13"/>
      <c r="L30" s="22"/>
      <c r="M30" s="22"/>
      <c r="N30" s="22"/>
      <c r="O30" s="13"/>
      <c r="P30" s="13"/>
      <c r="Q30" s="28"/>
      <c r="R30" s="28"/>
      <c r="S30" s="28"/>
      <c r="T30" s="32"/>
      <c r="U30" s="32"/>
      <c r="V30" s="32"/>
      <c r="W30" s="32"/>
      <c r="X30" s="33"/>
      <c r="Y30" s="33"/>
      <c r="Z30" s="33"/>
      <c r="AA30" s="32"/>
      <c r="AB30" s="32"/>
      <c r="AC30" s="32"/>
      <c r="AD30" s="32"/>
      <c r="AE30" s="32"/>
    </row>
    <row r="31" spans="1:31" ht="15" customHeight="1" x14ac:dyDescent="0.25">
      <c r="G31" s="30"/>
      <c r="K31" s="13"/>
      <c r="L31" s="22"/>
      <c r="M31" s="22"/>
      <c r="N31" s="22"/>
      <c r="O31" s="13"/>
      <c r="P31" s="13"/>
      <c r="Q31" s="28"/>
      <c r="R31" s="28"/>
      <c r="S31" s="28"/>
      <c r="T31" s="32"/>
      <c r="U31" s="32"/>
      <c r="V31" s="32"/>
      <c r="W31" s="32"/>
      <c r="X31" s="33"/>
      <c r="Y31" s="33"/>
      <c r="Z31" s="33"/>
      <c r="AA31" s="33"/>
      <c r="AB31" s="33"/>
      <c r="AC31" s="33"/>
      <c r="AD31" s="32">
        <v>0.1</v>
      </c>
      <c r="AE31" s="32">
        <v>0.45</v>
      </c>
    </row>
    <row r="32" spans="1:31" ht="15" customHeight="1" x14ac:dyDescent="0.25">
      <c r="G32" s="30"/>
      <c r="K32" s="13"/>
      <c r="L32" s="22"/>
      <c r="M32" s="22"/>
      <c r="N32" s="22"/>
      <c r="O32" s="13"/>
      <c r="P32" s="13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7:31" ht="15" customHeight="1" x14ac:dyDescent="0.25">
      <c r="G33" s="30"/>
      <c r="K33" s="13"/>
      <c r="L33" s="22"/>
      <c r="M33" s="22"/>
      <c r="N33" s="22"/>
      <c r="O33" s="13"/>
      <c r="P33" s="13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7:31" ht="15" customHeight="1" x14ac:dyDescent="0.25">
      <c r="G34" s="30"/>
      <c r="K34" s="13"/>
      <c r="L34" s="22"/>
      <c r="M34" s="22"/>
      <c r="N34" s="22"/>
      <c r="O34" s="13"/>
      <c r="P34" s="13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7:31" ht="15" customHeight="1" x14ac:dyDescent="0.25">
      <c r="G35" s="30"/>
      <c r="K35" s="13"/>
      <c r="L35" s="22"/>
      <c r="M35" s="22"/>
      <c r="N35" s="22"/>
      <c r="O35" s="13"/>
      <c r="P35" s="13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7:31" ht="15" customHeight="1" x14ac:dyDescent="0.25">
      <c r="G36" s="30"/>
      <c r="K36" s="13"/>
      <c r="L36" s="22"/>
      <c r="M36" s="22"/>
      <c r="N36" s="22"/>
      <c r="O36" s="13"/>
      <c r="P36" s="13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7:31" ht="15" customHeight="1" x14ac:dyDescent="0.25">
      <c r="G37" s="30"/>
      <c r="K37" s="13"/>
      <c r="L37" s="22"/>
      <c r="M37" s="22"/>
      <c r="N37" s="22"/>
      <c r="O37" s="13"/>
      <c r="P37" s="13"/>
      <c r="Q37" s="28"/>
      <c r="R37" s="28"/>
      <c r="S37" s="28"/>
      <c r="T37" s="28"/>
      <c r="U37" s="28"/>
      <c r="Y37" s="28"/>
      <c r="Z37" s="28"/>
      <c r="AA37" s="28"/>
      <c r="AB37" s="28"/>
      <c r="AC37" s="28"/>
      <c r="AD37" s="28"/>
      <c r="AE37" s="28"/>
    </row>
    <row r="38" spans="7:31" ht="15" customHeight="1" x14ac:dyDescent="0.25">
      <c r="G38" s="30"/>
      <c r="K38" s="13"/>
      <c r="L38" s="22"/>
      <c r="M38" s="22"/>
      <c r="N38" s="22"/>
      <c r="O38" s="13"/>
      <c r="P38" s="13"/>
      <c r="Q38" s="28"/>
      <c r="R38" s="28"/>
      <c r="S38" s="28"/>
      <c r="T38" s="28"/>
      <c r="U38" s="28"/>
      <c r="Y38" s="28"/>
      <c r="Z38" s="28"/>
      <c r="AA38" s="28"/>
      <c r="AB38" s="28"/>
      <c r="AC38" s="28"/>
      <c r="AD38" s="28"/>
      <c r="AE38" s="28"/>
    </row>
    <row r="39" spans="7:31" ht="15" customHeight="1" x14ac:dyDescent="0.25">
      <c r="G39" s="30"/>
      <c r="K39" s="13"/>
      <c r="L39" s="22"/>
      <c r="M39" s="22"/>
      <c r="N39" s="22"/>
      <c r="O39" s="13"/>
      <c r="P39" s="13"/>
      <c r="Q39" s="28"/>
      <c r="R39" s="28"/>
      <c r="S39" s="28"/>
      <c r="T39" s="28"/>
      <c r="U39" s="28"/>
      <c r="Y39" s="28"/>
      <c r="Z39" s="28"/>
      <c r="AA39" s="28"/>
      <c r="AB39" s="28"/>
      <c r="AC39" s="28"/>
      <c r="AD39" s="28"/>
      <c r="AE39" s="28"/>
    </row>
    <row r="40" spans="7:31" ht="15" customHeight="1" x14ac:dyDescent="0.25">
      <c r="G40" s="30"/>
      <c r="K40" s="13"/>
      <c r="L40" s="22"/>
      <c r="M40" s="22"/>
      <c r="N40" s="22"/>
      <c r="O40" s="13"/>
      <c r="P40" s="13"/>
      <c r="Q40" s="28"/>
      <c r="R40" s="28"/>
      <c r="S40" s="28"/>
      <c r="T40" s="28"/>
      <c r="U40" s="28"/>
      <c r="Y40" s="28"/>
      <c r="Z40" s="28"/>
      <c r="AA40" s="28"/>
      <c r="AB40" s="28"/>
      <c r="AC40" s="28"/>
      <c r="AD40" s="28"/>
      <c r="AE40" s="28"/>
    </row>
    <row r="41" spans="7:31" ht="15" customHeight="1" x14ac:dyDescent="0.25">
      <c r="G41" s="30"/>
      <c r="K41" s="13"/>
      <c r="L41" s="22"/>
      <c r="M41" s="22"/>
      <c r="N41" s="22"/>
      <c r="O41" s="13"/>
      <c r="P41" s="13"/>
      <c r="Q41" s="28"/>
      <c r="R41" s="28"/>
      <c r="S41" s="28"/>
      <c r="T41" s="28"/>
      <c r="U41" s="28"/>
      <c r="Y41" s="28"/>
      <c r="Z41" s="28"/>
      <c r="AA41" s="28"/>
      <c r="AB41" s="28"/>
      <c r="AC41" s="28"/>
      <c r="AD41" s="28"/>
      <c r="AE41" s="28"/>
    </row>
    <row r="42" spans="7:31" ht="15" customHeight="1" x14ac:dyDescent="0.25">
      <c r="G42" s="30"/>
      <c r="K42" s="13"/>
      <c r="L42" s="22"/>
      <c r="M42" s="22"/>
      <c r="N42" s="22"/>
      <c r="O42" s="13"/>
      <c r="P42" s="13"/>
      <c r="Q42" s="28"/>
      <c r="R42" s="28"/>
      <c r="S42" s="28"/>
      <c r="T42" s="28"/>
      <c r="U42" s="28"/>
      <c r="Y42" s="28"/>
      <c r="Z42" s="28"/>
      <c r="AA42" s="28"/>
      <c r="AB42" s="28"/>
      <c r="AC42" s="28"/>
      <c r="AD42" s="28"/>
      <c r="AE42" s="28"/>
    </row>
    <row r="43" spans="7:31" ht="15" customHeight="1" x14ac:dyDescent="0.25">
      <c r="G43" s="30"/>
      <c r="K43" s="13"/>
      <c r="L43" s="22"/>
      <c r="M43" s="22"/>
      <c r="N43" s="22"/>
      <c r="O43" s="13"/>
      <c r="P43" s="13"/>
      <c r="Q43" s="28"/>
      <c r="R43" s="28"/>
      <c r="S43" s="28"/>
      <c r="T43" s="28"/>
      <c r="U43" s="28"/>
      <c r="Y43" s="28"/>
      <c r="Z43" s="28"/>
      <c r="AA43" s="28"/>
      <c r="AB43" s="28"/>
      <c r="AC43" s="28"/>
      <c r="AD43" s="28"/>
      <c r="AE43" s="28"/>
    </row>
    <row r="44" spans="7:31" ht="15" customHeight="1" x14ac:dyDescent="0.25">
      <c r="G44" s="30"/>
      <c r="K44" s="13"/>
      <c r="L44" s="22"/>
      <c r="M44" s="22"/>
      <c r="N44" s="22"/>
      <c r="O44" s="13"/>
      <c r="P44" s="13"/>
      <c r="Q44" s="28"/>
      <c r="R44" s="28"/>
      <c r="S44" s="28"/>
      <c r="T44" s="28"/>
      <c r="U44" s="28"/>
      <c r="Y44" s="28"/>
      <c r="Z44" s="28"/>
      <c r="AA44" s="28"/>
      <c r="AB44" s="28"/>
      <c r="AC44" s="28"/>
      <c r="AD44" s="28"/>
      <c r="AE44" s="28"/>
    </row>
    <row r="45" spans="7:31" ht="15" customHeight="1" x14ac:dyDescent="0.25">
      <c r="G45" s="30"/>
      <c r="K45" s="13"/>
      <c r="L45" s="22"/>
      <c r="M45" s="22"/>
      <c r="N45" s="22"/>
      <c r="O45" s="13"/>
      <c r="P45" s="13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7:31" ht="15" customHeight="1" x14ac:dyDescent="0.25">
      <c r="G46" s="30"/>
      <c r="K46" s="13"/>
      <c r="L46" s="22"/>
      <c r="M46" s="22"/>
      <c r="N46" s="22"/>
      <c r="O46" s="13"/>
      <c r="P46" s="13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  <row r="47" spans="7:31" ht="15" customHeight="1" x14ac:dyDescent="0.25">
      <c r="G47" s="30"/>
      <c r="K47" s="13"/>
      <c r="L47" s="22"/>
      <c r="M47" s="22"/>
      <c r="N47" s="22"/>
      <c r="O47" s="13"/>
      <c r="P47" s="13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7:31" ht="15" customHeight="1" x14ac:dyDescent="0.25">
      <c r="G48" s="30"/>
      <c r="K48" s="13"/>
      <c r="L48" s="22"/>
      <c r="M48" s="22"/>
      <c r="N48" s="22"/>
      <c r="O48" s="13"/>
      <c r="P48" s="13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1:31" ht="15" customHeight="1" x14ac:dyDescent="0.25">
      <c r="K49" s="13"/>
      <c r="L49" s="22"/>
      <c r="M49" s="22"/>
      <c r="N49" s="22"/>
      <c r="O49" s="13"/>
      <c r="P49" s="13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</row>
    <row r="50" spans="11:31" ht="15" customHeight="1" x14ac:dyDescent="0.25">
      <c r="K50" s="13"/>
      <c r="L50" s="22"/>
      <c r="M50" s="22"/>
      <c r="N50" s="22"/>
      <c r="O50" s="13"/>
      <c r="P50" s="13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11:31" ht="15" customHeight="1" x14ac:dyDescent="0.25">
      <c r="K51" s="13"/>
      <c r="L51" s="22"/>
      <c r="M51" s="22"/>
      <c r="N51" s="22"/>
      <c r="O51" s="13"/>
      <c r="P51" s="13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11:31" ht="15" customHeight="1" x14ac:dyDescent="0.25">
      <c r="K52" s="13"/>
      <c r="L52" s="22"/>
      <c r="M52" s="22"/>
      <c r="N52" s="22"/>
      <c r="O52" s="13"/>
      <c r="P52" s="13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1:31" ht="15" customHeight="1" x14ac:dyDescent="0.25">
      <c r="K53" s="13"/>
      <c r="L53" s="22"/>
      <c r="M53" s="22"/>
      <c r="N53" s="22"/>
      <c r="O53" s="13"/>
      <c r="P53" s="13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1:31" ht="15" customHeight="1" x14ac:dyDescent="0.25">
      <c r="K54" s="13"/>
      <c r="L54" s="22"/>
      <c r="M54" s="22"/>
      <c r="N54" s="22"/>
      <c r="O54" s="13"/>
      <c r="P54" s="13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1:31" ht="15" customHeight="1" x14ac:dyDescent="0.25">
      <c r="K55" s="13"/>
      <c r="L55" s="22"/>
      <c r="M55" s="22"/>
      <c r="N55" s="22"/>
      <c r="O55" s="13"/>
      <c r="P55" s="13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</row>
    <row r="56" spans="11:31" ht="15" customHeight="1" x14ac:dyDescent="0.25">
      <c r="K56" s="13"/>
      <c r="L56" s="22"/>
      <c r="M56" s="22"/>
      <c r="N56" s="22"/>
      <c r="O56" s="13"/>
      <c r="P56" s="13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1:31" ht="15" customHeight="1" x14ac:dyDescent="0.25">
      <c r="K57" s="13"/>
      <c r="L57" s="22"/>
      <c r="M57" s="22"/>
      <c r="N57" s="22"/>
      <c r="O57" s="13"/>
      <c r="P57" s="13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1:31" ht="15" customHeight="1" x14ac:dyDescent="0.25">
      <c r="K58" s="13"/>
      <c r="L58" s="22"/>
      <c r="M58" s="22"/>
      <c r="N58" s="22"/>
      <c r="O58" s="13"/>
      <c r="P58" s="13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spans="11:31" ht="15" customHeight="1" x14ac:dyDescent="0.25">
      <c r="K59" s="13"/>
      <c r="L59" s="22"/>
      <c r="M59" s="22"/>
      <c r="N59" s="22"/>
      <c r="O59" s="13"/>
      <c r="P59" s="13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11:31" ht="15" customHeight="1" x14ac:dyDescent="0.25">
      <c r="K60" s="13"/>
      <c r="L60" s="22"/>
      <c r="M60" s="22"/>
      <c r="N60" s="22"/>
      <c r="O60" s="13"/>
      <c r="P60" s="13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11:31" ht="15" customHeight="1" x14ac:dyDescent="0.25">
      <c r="K61" s="13"/>
      <c r="L61" s="22"/>
      <c r="M61" s="22"/>
      <c r="N61" s="22"/>
      <c r="O61" s="13"/>
      <c r="P61" s="13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1:31" ht="15" customHeight="1" x14ac:dyDescent="0.25">
      <c r="K62" s="13"/>
      <c r="L62" s="22"/>
      <c r="M62" s="22"/>
      <c r="N62" s="22"/>
      <c r="O62" s="13"/>
      <c r="P62" s="13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spans="11:31" ht="15" customHeight="1" x14ac:dyDescent="0.25">
      <c r="K63" s="13"/>
      <c r="L63" s="22"/>
      <c r="M63" s="22"/>
      <c r="N63" s="22"/>
      <c r="O63" s="13"/>
      <c r="P63" s="13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1:31" ht="15" customHeight="1" x14ac:dyDescent="0.25">
      <c r="K64" s="13"/>
      <c r="L64" s="22"/>
      <c r="M64" s="22"/>
      <c r="N64" s="22"/>
      <c r="O64" s="13"/>
      <c r="P64" s="13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1:31" ht="15" customHeight="1" x14ac:dyDescent="0.25">
      <c r="K65" s="13"/>
      <c r="L65" s="22"/>
      <c r="M65" s="22"/>
      <c r="N65" s="22"/>
      <c r="O65" s="13"/>
      <c r="P65" s="13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1:31" ht="15" customHeight="1" x14ac:dyDescent="0.25">
      <c r="K66" s="13"/>
      <c r="L66" s="22"/>
      <c r="M66" s="22"/>
      <c r="N66" s="22"/>
      <c r="O66" s="13"/>
      <c r="P66" s="13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</row>
    <row r="67" spans="11:31" ht="15" customHeight="1" x14ac:dyDescent="0.25">
      <c r="K67" s="13"/>
      <c r="L67" s="22"/>
      <c r="M67" s="22"/>
      <c r="N67" s="22"/>
      <c r="O67" s="13"/>
      <c r="P67" s="13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spans="11:31" ht="15" customHeight="1" x14ac:dyDescent="0.25">
      <c r="K68" s="13"/>
      <c r="L68" s="22"/>
      <c r="M68" s="22"/>
      <c r="N68" s="22"/>
      <c r="O68" s="13"/>
      <c r="P68" s="13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</row>
    <row r="69" spans="11:31" ht="15" customHeight="1" x14ac:dyDescent="0.25">
      <c r="K69" s="13"/>
      <c r="L69" s="22"/>
      <c r="M69" s="22"/>
      <c r="N69" s="22"/>
      <c r="O69" s="13"/>
      <c r="P69" s="13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</row>
    <row r="70" spans="11:31" ht="15" customHeight="1" x14ac:dyDescent="0.25">
      <c r="K70" s="13"/>
      <c r="L70" s="22"/>
      <c r="M70" s="22"/>
      <c r="N70" s="22"/>
      <c r="O70" s="13"/>
      <c r="P70" s="13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</row>
    <row r="71" spans="11:31" ht="15" customHeight="1" x14ac:dyDescent="0.25">
      <c r="K71" s="13"/>
      <c r="L71" s="22"/>
      <c r="M71" s="22"/>
      <c r="N71" s="22"/>
      <c r="O71" s="13"/>
      <c r="P71" s="13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</row>
    <row r="72" spans="11:31" ht="15" customHeight="1" x14ac:dyDescent="0.25">
      <c r="K72" s="13"/>
      <c r="L72" s="22"/>
      <c r="M72" s="22"/>
      <c r="N72" s="22"/>
      <c r="O72" s="13"/>
      <c r="P72" s="13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spans="11:31" ht="15" customHeight="1" x14ac:dyDescent="0.25">
      <c r="K73" s="13"/>
      <c r="L73" s="22"/>
      <c r="M73" s="22"/>
      <c r="N73" s="22"/>
      <c r="O73" s="13"/>
      <c r="P73" s="13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1:31" ht="15" customHeight="1" x14ac:dyDescent="0.25">
      <c r="K74" s="13"/>
      <c r="L74" s="22"/>
      <c r="M74" s="22"/>
      <c r="N74" s="22"/>
      <c r="O74" s="13"/>
      <c r="P74" s="13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1:31" ht="15" customHeight="1" x14ac:dyDescent="0.25">
      <c r="K75" s="13"/>
      <c r="L75" s="22"/>
      <c r="M75" s="22"/>
      <c r="N75" s="22"/>
      <c r="O75" s="13"/>
      <c r="P75" s="13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</row>
    <row r="76" spans="11:31" ht="15" customHeight="1" x14ac:dyDescent="0.25">
      <c r="K76" s="13"/>
      <c r="L76" s="22"/>
      <c r="M76" s="22"/>
      <c r="N76" s="22"/>
      <c r="O76" s="13"/>
      <c r="P76" s="13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1:31" ht="15" customHeight="1" x14ac:dyDescent="0.25">
      <c r="K77" s="13"/>
      <c r="L77" s="22"/>
      <c r="M77" s="22"/>
      <c r="N77" s="22"/>
      <c r="O77" s="13"/>
      <c r="P77" s="13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1:31" ht="15" customHeight="1" x14ac:dyDescent="0.25">
      <c r="K78" s="13"/>
      <c r="L78" s="22"/>
      <c r="M78" s="22"/>
      <c r="N78" s="22"/>
      <c r="O78" s="13"/>
      <c r="P78" s="13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</row>
    <row r="79" spans="11:31" ht="15" customHeight="1" x14ac:dyDescent="0.25">
      <c r="K79" s="13"/>
      <c r="L79" s="22"/>
      <c r="M79" s="22"/>
      <c r="N79" s="22"/>
      <c r="O79" s="13"/>
      <c r="P79" s="13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</row>
    <row r="80" spans="11:31" ht="15" customHeight="1" x14ac:dyDescent="0.25">
      <c r="K80" s="13"/>
      <c r="L80" s="22"/>
      <c r="M80" s="22"/>
      <c r="N80" s="22"/>
      <c r="O80" s="13"/>
      <c r="P80" s="13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</row>
    <row r="81" spans="7:31" ht="15" customHeight="1" x14ac:dyDescent="0.25">
      <c r="K81" s="13"/>
      <c r="L81" s="22"/>
      <c r="M81" s="22"/>
      <c r="N81" s="22"/>
      <c r="O81" s="13"/>
      <c r="P81" s="13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7:31" ht="15" customHeight="1" x14ac:dyDescent="0.25">
      <c r="K82" s="13"/>
      <c r="L82" s="22"/>
      <c r="M82" s="22"/>
      <c r="N82" s="22"/>
      <c r="O82" s="13"/>
      <c r="P82" s="13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7:31" ht="15" customHeight="1" x14ac:dyDescent="0.25">
      <c r="K83" s="13"/>
      <c r="L83" s="22"/>
      <c r="M83" s="22"/>
      <c r="N83" s="22"/>
      <c r="O83" s="13"/>
      <c r="P83" s="13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7:31" ht="15" customHeight="1" x14ac:dyDescent="0.25">
      <c r="K84" s="13"/>
      <c r="L84" s="22"/>
      <c r="M84" s="22"/>
      <c r="N84" s="22"/>
      <c r="O84" s="13"/>
      <c r="P84" s="13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7:31" ht="15" customHeight="1" x14ac:dyDescent="0.25">
      <c r="K85" s="13"/>
      <c r="L85" s="22"/>
      <c r="M85" s="22"/>
      <c r="N85" s="22"/>
      <c r="O85" s="13"/>
      <c r="P85" s="13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7:31" ht="15" customHeight="1" x14ac:dyDescent="0.25">
      <c r="K86" s="13"/>
      <c r="L86" s="22"/>
      <c r="M86" s="22"/>
      <c r="N86" s="22"/>
      <c r="O86" s="13"/>
      <c r="P86" s="13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7:31" ht="15" customHeight="1" x14ac:dyDescent="0.25">
      <c r="K87" s="13"/>
      <c r="L87" s="22"/>
      <c r="M87" s="22"/>
      <c r="N87" s="22"/>
      <c r="O87" s="13"/>
      <c r="P87" s="13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7:31" ht="15" customHeight="1" x14ac:dyDescent="0.25">
      <c r="K88" s="13"/>
      <c r="L88" s="22"/>
      <c r="M88" s="22"/>
      <c r="N88" s="22"/>
      <c r="O88" s="13"/>
      <c r="P88" s="13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7:31" ht="15" customHeight="1" x14ac:dyDescent="0.25">
      <c r="K89" s="13"/>
      <c r="L89" s="22"/>
      <c r="M89" s="22"/>
      <c r="N89" s="22"/>
      <c r="O89" s="13"/>
      <c r="P89" s="13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7:31" ht="15" customHeight="1" x14ac:dyDescent="0.25">
      <c r="K90" s="13"/>
      <c r="L90" s="22"/>
      <c r="M90" s="22"/>
      <c r="N90" s="22"/>
      <c r="O90" s="13"/>
      <c r="P90" s="13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7:31" ht="15" customHeight="1" x14ac:dyDescent="0.25">
      <c r="K91" s="13"/>
      <c r="L91" s="22"/>
      <c r="M91" s="22"/>
      <c r="N91" s="22"/>
      <c r="O91" s="13"/>
      <c r="P91" s="13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7:31" ht="15" customHeight="1" x14ac:dyDescent="0.25">
      <c r="K92" s="13"/>
      <c r="L92" s="22"/>
      <c r="M92" s="22"/>
      <c r="N92" s="22"/>
      <c r="O92" s="13"/>
      <c r="P92" s="13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7:31" ht="15" customHeight="1" x14ac:dyDescent="0.25">
      <c r="G93" s="28"/>
      <c r="H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7:31" ht="15" customHeight="1" x14ac:dyDescent="0.25">
      <c r="G94" s="28"/>
      <c r="H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7:31" ht="15" customHeight="1" x14ac:dyDescent="0.25">
      <c r="G95" s="28"/>
      <c r="H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7:31" ht="15" customHeight="1" x14ac:dyDescent="0.25">
      <c r="G96" s="28"/>
      <c r="H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</row>
    <row r="97" spans="7:31" ht="15" customHeight="1" x14ac:dyDescent="0.25">
      <c r="G97" s="28"/>
      <c r="H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</row>
    <row r="98" spans="7:31" ht="15" customHeight="1" x14ac:dyDescent="0.25">
      <c r="G98" s="28"/>
      <c r="H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7:31" ht="15" customHeight="1" x14ac:dyDescent="0.25">
      <c r="G99" s="28"/>
      <c r="H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</row>
    <row r="100" spans="7:31" ht="15" customHeight="1" x14ac:dyDescent="0.25">
      <c r="G100" s="28"/>
      <c r="H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</row>
    <row r="101" spans="7:31" ht="15" customHeight="1" x14ac:dyDescent="0.25">
      <c r="G101" s="28"/>
      <c r="H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7:31" ht="15" customHeight="1" x14ac:dyDescent="0.25">
      <c r="G102" s="28"/>
      <c r="H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7:31" ht="15" customHeight="1" x14ac:dyDescent="0.25">
      <c r="G103" s="28"/>
      <c r="H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7:31" ht="15" customHeight="1" x14ac:dyDescent="0.25">
      <c r="G104" s="28"/>
      <c r="H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7:31" ht="15" customHeight="1" x14ac:dyDescent="0.25">
      <c r="G105" s="28"/>
      <c r="H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7:31" ht="15" customHeight="1" x14ac:dyDescent="0.25">
      <c r="G106" s="28"/>
      <c r="H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7:31" ht="15" customHeight="1" x14ac:dyDescent="0.25">
      <c r="G107" s="28"/>
      <c r="H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7:31" ht="15" customHeight="1" x14ac:dyDescent="0.25">
      <c r="G108" s="28"/>
      <c r="H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7:31" ht="15" customHeight="1" x14ac:dyDescent="0.25">
      <c r="G109" s="28"/>
      <c r="H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7:31" ht="15" customHeight="1" x14ac:dyDescent="0.25">
      <c r="G110" s="28"/>
      <c r="H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7:31" ht="15" customHeight="1" x14ac:dyDescent="0.25">
      <c r="G111" s="28"/>
      <c r="H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7:31" ht="15" customHeight="1" x14ac:dyDescent="0.25">
      <c r="G112" s="28"/>
      <c r="H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7:31" ht="15" customHeight="1" x14ac:dyDescent="0.25">
      <c r="G113" s="28"/>
      <c r="H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7:31" ht="15" customHeight="1" x14ac:dyDescent="0.25">
      <c r="G114" s="28"/>
      <c r="H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7:31" ht="15" customHeight="1" x14ac:dyDescent="0.25">
      <c r="G115" s="28"/>
      <c r="H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7:31" ht="15" customHeight="1" x14ac:dyDescent="0.25">
      <c r="G116" s="28"/>
      <c r="H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7:31" ht="15" customHeight="1" x14ac:dyDescent="0.25">
      <c r="G117" s="28"/>
      <c r="H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7:31" ht="15" customHeight="1" x14ac:dyDescent="0.25">
      <c r="G118" s="28"/>
      <c r="H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7:31" ht="15" customHeight="1" x14ac:dyDescent="0.25">
      <c r="G119" s="28"/>
      <c r="H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7:31" ht="15" customHeight="1" x14ac:dyDescent="0.25">
      <c r="G120" s="28"/>
      <c r="H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7:31" ht="15" customHeight="1" x14ac:dyDescent="0.25">
      <c r="G121" s="28"/>
      <c r="H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7:31" ht="15" customHeight="1" x14ac:dyDescent="0.25">
      <c r="G122" s="28"/>
      <c r="H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7:31" ht="15" customHeight="1" x14ac:dyDescent="0.25">
      <c r="G123" s="28"/>
      <c r="H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7:31" ht="15" customHeight="1" x14ac:dyDescent="0.25">
      <c r="G124" s="28"/>
      <c r="H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7:31" ht="15" customHeight="1" x14ac:dyDescent="0.25">
      <c r="G125" s="28"/>
      <c r="H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7:31" ht="15" customHeight="1" x14ac:dyDescent="0.25">
      <c r="G126" s="28"/>
      <c r="H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7:31" ht="15" customHeight="1" x14ac:dyDescent="0.25">
      <c r="G127" s="28"/>
      <c r="H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7:31" ht="15" customHeight="1" x14ac:dyDescent="0.25">
      <c r="G128" s="28"/>
      <c r="H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7:31" ht="15" customHeight="1" x14ac:dyDescent="0.25">
      <c r="G129" s="28"/>
      <c r="H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7:31" ht="15" customHeight="1" x14ac:dyDescent="0.25">
      <c r="G130" s="28"/>
      <c r="H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7:31" ht="15" customHeight="1" x14ac:dyDescent="0.25">
      <c r="G131" s="28"/>
      <c r="H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7:31" ht="15" customHeight="1" x14ac:dyDescent="0.25">
      <c r="G132" s="28"/>
      <c r="H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</row>
    <row r="133" spans="7:31" ht="15" customHeight="1" x14ac:dyDescent="0.25">
      <c r="G133" s="28"/>
      <c r="H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</row>
    <row r="134" spans="7:31" ht="15" customHeight="1" x14ac:dyDescent="0.25">
      <c r="G134" s="28"/>
      <c r="H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</row>
    <row r="135" spans="7:31" ht="15" customHeight="1" x14ac:dyDescent="0.25">
      <c r="G135" s="28"/>
      <c r="H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</row>
    <row r="136" spans="7:31" ht="15" customHeight="1" x14ac:dyDescent="0.25">
      <c r="G136" s="28"/>
      <c r="H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</row>
    <row r="137" spans="7:31" ht="15" customHeight="1" x14ac:dyDescent="0.25">
      <c r="G137" s="28"/>
      <c r="H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</row>
    <row r="138" spans="7:31" ht="15" customHeight="1" x14ac:dyDescent="0.25">
      <c r="G138" s="28"/>
      <c r="H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</row>
    <row r="139" spans="7:31" ht="15" customHeight="1" x14ac:dyDescent="0.25">
      <c r="G139" s="28"/>
      <c r="H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</row>
    <row r="140" spans="7:31" ht="15" customHeight="1" x14ac:dyDescent="0.25">
      <c r="G140" s="28"/>
      <c r="H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</row>
    <row r="141" spans="7:31" ht="15" customHeight="1" x14ac:dyDescent="0.25">
      <c r="G141" s="28"/>
      <c r="H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</row>
    <row r="142" spans="7:31" ht="15" customHeight="1" x14ac:dyDescent="0.25">
      <c r="G142" s="28"/>
      <c r="H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</row>
    <row r="143" spans="7:31" ht="15" customHeight="1" x14ac:dyDescent="0.25">
      <c r="G143" s="28"/>
      <c r="H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</row>
    <row r="144" spans="7:31" ht="15" customHeight="1" x14ac:dyDescent="0.25">
      <c r="G144" s="28"/>
      <c r="H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</row>
    <row r="145" spans="7:31" ht="15" customHeight="1" x14ac:dyDescent="0.25">
      <c r="G145" s="28"/>
      <c r="H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</row>
    <row r="146" spans="7:31" ht="15" customHeight="1" x14ac:dyDescent="0.25">
      <c r="G146" s="28"/>
      <c r="H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</row>
    <row r="147" spans="7:31" ht="15" customHeight="1" x14ac:dyDescent="0.25">
      <c r="G147" s="28"/>
      <c r="H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</row>
    <row r="148" spans="7:31" ht="15" customHeight="1" x14ac:dyDescent="0.25">
      <c r="G148" s="28"/>
      <c r="H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</row>
    <row r="149" spans="7:31" ht="15" customHeight="1" x14ac:dyDescent="0.25">
      <c r="G149" s="28"/>
      <c r="H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</row>
    <row r="150" spans="7:31" ht="15" customHeight="1" x14ac:dyDescent="0.25">
      <c r="G150" s="28"/>
      <c r="H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</row>
    <row r="151" spans="7:31" ht="15" customHeight="1" x14ac:dyDescent="0.25">
      <c r="G151" s="28"/>
      <c r="H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</row>
    <row r="152" spans="7:31" ht="15" customHeight="1" x14ac:dyDescent="0.25">
      <c r="G152" s="28"/>
      <c r="H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</row>
    <row r="153" spans="7:31" ht="15" customHeight="1" x14ac:dyDescent="0.25">
      <c r="G153" s="28"/>
      <c r="H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</row>
    <row r="154" spans="7:31" ht="15" customHeight="1" x14ac:dyDescent="0.25">
      <c r="G154" s="28"/>
      <c r="H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</row>
    <row r="155" spans="7:31" ht="15" customHeight="1" x14ac:dyDescent="0.25">
      <c r="G155" s="28"/>
      <c r="H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</row>
    <row r="156" spans="7:31" ht="15" customHeight="1" x14ac:dyDescent="0.25">
      <c r="G156" s="28"/>
      <c r="H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</row>
    <row r="157" spans="7:31" ht="15" customHeight="1" x14ac:dyDescent="0.25">
      <c r="G157" s="28"/>
      <c r="H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</row>
    <row r="158" spans="7:31" ht="15" customHeight="1" x14ac:dyDescent="0.25">
      <c r="G158" s="28"/>
      <c r="H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</row>
    <row r="159" spans="7:31" ht="15" customHeight="1" x14ac:dyDescent="0.25">
      <c r="G159" s="28"/>
      <c r="H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</row>
    <row r="160" spans="7:31" ht="15" customHeight="1" x14ac:dyDescent="0.25">
      <c r="G160" s="28"/>
      <c r="H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7:31" ht="15" customHeight="1" x14ac:dyDescent="0.25">
      <c r="G161" s="28"/>
      <c r="H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</row>
    <row r="162" spans="7:31" ht="15" customHeight="1" x14ac:dyDescent="0.25">
      <c r="G162" s="28"/>
      <c r="H162" s="28"/>
      <c r="K162" s="28"/>
      <c r="L162" s="28"/>
      <c r="M162" s="28"/>
      <c r="N162" s="28"/>
      <c r="O162" s="28"/>
      <c r="P162" s="2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8A2DB-EDEB-4CAE-AA41-C69F42B40C2A}">
  <dimension ref="A1:AR120"/>
  <sheetViews>
    <sheetView topLeftCell="A7" zoomScale="55" zoomScaleNormal="55" workbookViewId="0">
      <selection activeCell="A45" sqref="A45:A60"/>
    </sheetView>
  </sheetViews>
  <sheetFormatPr defaultColWidth="9.28515625" defaultRowHeight="15" customHeight="1" x14ac:dyDescent="0.25"/>
  <cols>
    <col min="1" max="1" width="15.140625" style="11" customWidth="1"/>
    <col min="2" max="2" width="12" style="11" bestFit="1" customWidth="1"/>
    <col min="3" max="3" width="9.28515625" style="11"/>
    <col min="4" max="4" width="10" style="11" bestFit="1" customWidth="1"/>
    <col min="5" max="16" width="9.28515625" style="11"/>
    <col min="17" max="20" width="9.28515625" style="1"/>
    <col min="21" max="21" width="10.5703125" style="1" bestFit="1" customWidth="1"/>
    <col min="22" max="38" width="9.28515625" style="1"/>
    <col min="39" max="40" width="9.28515625" style="35"/>
    <col min="41" max="41" width="10.42578125" style="1" bestFit="1" customWidth="1"/>
    <col min="42" max="43" width="9.28515625" style="1"/>
    <col min="44" max="44" width="10" style="1" bestFit="1" customWidth="1"/>
    <col min="45" max="16384" width="9.28515625" style="1"/>
  </cols>
  <sheetData>
    <row r="1" spans="1:44" ht="15" customHeight="1" x14ac:dyDescent="0.25">
      <c r="V1" s="12"/>
      <c r="AK1" s="12"/>
    </row>
    <row r="2" spans="1:44" ht="15" customHeight="1" x14ac:dyDescent="0.2">
      <c r="A2" s="6" t="s">
        <v>1</v>
      </c>
      <c r="B2" s="6"/>
      <c r="C2" s="6" t="s">
        <v>37</v>
      </c>
      <c r="D2" s="6" t="s">
        <v>38</v>
      </c>
      <c r="E2" s="6" t="s">
        <v>39</v>
      </c>
      <c r="F2" s="6" t="s">
        <v>40</v>
      </c>
      <c r="G2" s="6" t="s">
        <v>41</v>
      </c>
      <c r="H2" s="6" t="s">
        <v>42</v>
      </c>
      <c r="I2" s="6" t="s">
        <v>43</v>
      </c>
      <c r="J2" s="6" t="s">
        <v>44</v>
      </c>
      <c r="K2" s="6" t="s">
        <v>45</v>
      </c>
      <c r="L2" s="6" t="s">
        <v>46</v>
      </c>
      <c r="M2" s="6" t="s">
        <v>47</v>
      </c>
      <c r="N2" s="6" t="s">
        <v>48</v>
      </c>
      <c r="O2" s="6" t="s">
        <v>49</v>
      </c>
      <c r="P2" s="6" t="s">
        <v>50</v>
      </c>
      <c r="R2" s="17" t="s">
        <v>53</v>
      </c>
      <c r="S2" s="17" t="s">
        <v>128</v>
      </c>
      <c r="T2" s="17" t="s">
        <v>129</v>
      </c>
      <c r="U2" s="17" t="s">
        <v>130</v>
      </c>
      <c r="W2" s="17" t="s">
        <v>131</v>
      </c>
      <c r="X2" s="17" t="s">
        <v>132</v>
      </c>
      <c r="Y2" s="17" t="s">
        <v>133</v>
      </c>
      <c r="Z2" s="17" t="s">
        <v>134</v>
      </c>
      <c r="AA2" s="17" t="s">
        <v>135</v>
      </c>
      <c r="AB2" s="17" t="s">
        <v>136</v>
      </c>
      <c r="AC2" s="17" t="s">
        <v>137</v>
      </c>
      <c r="AD2" s="17" t="s">
        <v>138</v>
      </c>
      <c r="AE2" s="17" t="s">
        <v>139</v>
      </c>
      <c r="AF2" s="17" t="s">
        <v>140</v>
      </c>
      <c r="AG2" s="17" t="s">
        <v>141</v>
      </c>
      <c r="AH2" s="17" t="s">
        <v>142</v>
      </c>
      <c r="AI2" s="17" t="s">
        <v>143</v>
      </c>
      <c r="AJ2" s="17" t="s">
        <v>144</v>
      </c>
      <c r="AK2" s="12"/>
      <c r="AL2" s="17" t="s">
        <v>145</v>
      </c>
      <c r="AM2" s="17" t="s">
        <v>146</v>
      </c>
      <c r="AN2" s="17" t="s">
        <v>147</v>
      </c>
      <c r="AO2" s="17" t="s">
        <v>148</v>
      </c>
      <c r="AP2" s="17" t="s">
        <v>149</v>
      </c>
      <c r="AQ2" s="17" t="s">
        <v>150</v>
      </c>
      <c r="AR2" s="17" t="s">
        <v>151</v>
      </c>
    </row>
    <row r="3" spans="1:44" ht="15" customHeight="1" x14ac:dyDescent="0.2">
      <c r="A3" s="6"/>
      <c r="B3" s="6"/>
      <c r="C3" s="6" t="s">
        <v>52</v>
      </c>
      <c r="D3" s="6" t="s">
        <v>52</v>
      </c>
      <c r="E3" s="6" t="s">
        <v>52</v>
      </c>
      <c r="F3" s="6" t="s">
        <v>52</v>
      </c>
      <c r="G3" s="6" t="s">
        <v>52</v>
      </c>
      <c r="H3" s="6" t="s">
        <v>52</v>
      </c>
      <c r="I3" s="6" t="s">
        <v>52</v>
      </c>
      <c r="J3" s="6" t="s">
        <v>52</v>
      </c>
      <c r="K3" s="6" t="s">
        <v>52</v>
      </c>
      <c r="L3" s="6" t="s">
        <v>52</v>
      </c>
      <c r="M3" s="6" t="s">
        <v>52</v>
      </c>
      <c r="N3" s="6" t="s">
        <v>52</v>
      </c>
      <c r="O3" s="6" t="s">
        <v>52</v>
      </c>
      <c r="P3" s="6" t="s">
        <v>52</v>
      </c>
      <c r="R3" s="17"/>
      <c r="S3" s="17"/>
      <c r="T3" s="17"/>
      <c r="U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2"/>
      <c r="AL3" s="17"/>
      <c r="AM3" s="17"/>
      <c r="AN3" s="17"/>
      <c r="AO3" s="17"/>
      <c r="AP3" s="17"/>
      <c r="AQ3" s="17"/>
      <c r="AR3" s="17"/>
    </row>
    <row r="4" spans="1:44" ht="15" customHeight="1" x14ac:dyDescent="0.2">
      <c r="A4" s="6">
        <v>1</v>
      </c>
      <c r="B4" s="4"/>
      <c r="C4" s="5">
        <v>29.482109757643993</v>
      </c>
      <c r="D4" s="5">
        <v>57.222267121653729</v>
      </c>
      <c r="E4" s="5">
        <v>6.7116482051793476</v>
      </c>
      <c r="F4" s="5">
        <v>24.390989740293218</v>
      </c>
      <c r="G4" s="5">
        <v>4.5639244141700761</v>
      </c>
      <c r="H4" s="5">
        <v>0.93939143390965818</v>
      </c>
      <c r="I4" s="5">
        <v>3.6236272709695321</v>
      </c>
      <c r="J4" s="5">
        <v>0.62318863690442761</v>
      </c>
      <c r="K4" s="5">
        <v>4.0382661270082902</v>
      </c>
      <c r="L4" s="5">
        <v>0.89189125755312182</v>
      </c>
      <c r="M4" s="5">
        <v>2.5288557582131159</v>
      </c>
      <c r="N4" s="5">
        <v>0.40367341694252834</v>
      </c>
      <c r="O4" s="5">
        <v>2.7040154393586571</v>
      </c>
      <c r="P4" s="5">
        <v>0.41530189395927009</v>
      </c>
      <c r="R4" s="1">
        <f t="shared" ref="R4:R18" si="0">SUM(C4:P4)</f>
        <v>138.53915047375901</v>
      </c>
      <c r="S4" s="1">
        <f t="shared" ref="S4:S18" si="1">C4+D4+E4+F4+G4+H4</f>
        <v>123.31033067285003</v>
      </c>
      <c r="T4" s="1">
        <f t="shared" ref="T4:T18" si="2">I4+J4+K4+L4+M4+N4+O4+P4</f>
        <v>15.228819800908944</v>
      </c>
      <c r="U4" s="1">
        <f t="shared" ref="U4:U18" si="3">S4/T4</f>
        <v>8.0971692018767047</v>
      </c>
      <c r="V4" s="11"/>
      <c r="W4" s="11">
        <f t="shared" ref="W4:W18" si="4">C4/0.354</f>
        <v>83.282795925548001</v>
      </c>
      <c r="X4" s="11">
        <f t="shared" ref="X4:X18" si="5">D4/0.934</f>
        <v>61.265810622755595</v>
      </c>
      <c r="Y4" s="11">
        <f t="shared" ref="Y4:Y18" si="6">E4/0.129</f>
        <v>52.028280660305022</v>
      </c>
      <c r="Z4" s="11">
        <f t="shared" ref="Z4:Z18" si="7">F4/0.676</f>
        <v>36.081345769664523</v>
      </c>
      <c r="AA4" s="11">
        <f t="shared" ref="AA4:AA18" si="8">G4/0.213</f>
        <v>21.426875183897071</v>
      </c>
      <c r="AB4" s="11">
        <f t="shared" ref="AB4:AB18" si="9">H4/0.08</f>
        <v>11.742392923870726</v>
      </c>
      <c r="AC4" s="11">
        <f t="shared" ref="AC4:AC18" si="10">I4/0.283</f>
        <v>12.80433664653545</v>
      </c>
      <c r="AD4" s="11">
        <f t="shared" ref="AD4:AD18" si="11">J4/0.053</f>
        <v>11.758276168008068</v>
      </c>
      <c r="AE4" s="11">
        <f t="shared" ref="AE4:AE18" si="12">K4/0.341</f>
        <v>11.842422659848358</v>
      </c>
      <c r="AF4" s="11">
        <f t="shared" ref="AF4:AF18" si="13">L4/0.082</f>
        <v>10.876722653086851</v>
      </c>
      <c r="AG4" s="11">
        <f t="shared" ref="AG4:AG18" si="14">M4/0.225</f>
        <v>11.239358925391626</v>
      </c>
      <c r="AH4" s="11">
        <f t="shared" ref="AH4:AH18" si="15">N4/0.034</f>
        <v>11.872747557133186</v>
      </c>
      <c r="AI4" s="11">
        <f t="shared" ref="AI4:AI18" si="16">O4/0.234</f>
        <v>11.555621535720755</v>
      </c>
      <c r="AJ4" s="11">
        <f t="shared" ref="AJ4:AJ18" si="17">P4/0.036</f>
        <v>11.536163721090837</v>
      </c>
      <c r="AK4" s="11"/>
      <c r="AL4" s="11">
        <f t="shared" ref="AL4:AL18" si="18">W4/AI4</f>
        <v>7.2071238806241702</v>
      </c>
      <c r="AM4" s="11">
        <f t="shared" ref="AM4:AM18" si="19">AC4/AI4</f>
        <v>1.1080612675791315</v>
      </c>
      <c r="AN4" s="11">
        <f t="shared" ref="AN4:AN18" si="20">W4/AA4</f>
        <v>3.8868381511895622</v>
      </c>
      <c r="AO4" s="11">
        <f t="shared" ref="AO4:AO18" si="21">AA4*AC4</f>
        <v>274.35692313791429</v>
      </c>
      <c r="AP4" s="11">
        <f t="shared" ref="AP4:AP18" si="22">SQRT(AO4)</f>
        <v>16.563723106171338</v>
      </c>
      <c r="AQ4" s="11">
        <f t="shared" ref="AQ4:AQ18" si="23">AB4/AP4</f>
        <v>0.70892231466340605</v>
      </c>
      <c r="AR4" s="11">
        <f t="shared" ref="AR4:AR18" si="24">X4/SQRT(W4*Y4)</f>
        <v>0.93072375507600202</v>
      </c>
    </row>
    <row r="5" spans="1:44" ht="15" customHeight="1" x14ac:dyDescent="0.2">
      <c r="A5" s="6">
        <v>2</v>
      </c>
      <c r="B5" s="4"/>
      <c r="C5" s="5">
        <v>30.895906436162804</v>
      </c>
      <c r="D5" s="5">
        <v>60.71812913816251</v>
      </c>
      <c r="E5" s="5">
        <v>7.2793147273705641</v>
      </c>
      <c r="F5" s="5">
        <v>27.939863709904316</v>
      </c>
      <c r="G5" s="5">
        <v>5.4143451124626365</v>
      </c>
      <c r="H5" s="5">
        <v>1.2895190682454813</v>
      </c>
      <c r="I5" s="5">
        <v>4.3594596286759888</v>
      </c>
      <c r="J5" s="5">
        <v>0.76145861571759743</v>
      </c>
      <c r="K5" s="5">
        <v>4.7142211286799913</v>
      </c>
      <c r="L5" s="5">
        <v>1.0261649963276027</v>
      </c>
      <c r="M5" s="5">
        <v>2.9203439834877032</v>
      </c>
      <c r="N5" s="5">
        <v>0.44885341007964835</v>
      </c>
      <c r="O5" s="5">
        <v>3.1339587142085539</v>
      </c>
      <c r="P5" s="5">
        <v>0.45826415885160832</v>
      </c>
      <c r="R5" s="1">
        <f t="shared" si="0"/>
        <v>151.35980282833697</v>
      </c>
      <c r="S5" s="1">
        <f t="shared" si="1"/>
        <v>133.53707819230831</v>
      </c>
      <c r="T5" s="1">
        <f t="shared" si="2"/>
        <v>17.822724636028695</v>
      </c>
      <c r="U5" s="1">
        <f t="shared" si="3"/>
        <v>7.4925176099260762</v>
      </c>
      <c r="V5" s="11"/>
      <c r="W5" s="11">
        <f t="shared" si="4"/>
        <v>87.276571853567248</v>
      </c>
      <c r="X5" s="11">
        <f t="shared" si="5"/>
        <v>65.00870357404979</v>
      </c>
      <c r="Y5" s="11">
        <f t="shared" si="6"/>
        <v>56.42879633620592</v>
      </c>
      <c r="Z5" s="11">
        <f t="shared" si="7"/>
        <v>41.331159334177975</v>
      </c>
      <c r="AA5" s="11">
        <f t="shared" si="8"/>
        <v>25.419460621890313</v>
      </c>
      <c r="AB5" s="11">
        <f t="shared" si="9"/>
        <v>16.118988353068517</v>
      </c>
      <c r="AC5" s="11">
        <f t="shared" si="10"/>
        <v>15.40445098472081</v>
      </c>
      <c r="AD5" s="11">
        <f t="shared" si="11"/>
        <v>14.367143692784857</v>
      </c>
      <c r="AE5" s="11">
        <f t="shared" si="12"/>
        <v>13.824695392023434</v>
      </c>
      <c r="AF5" s="11">
        <f t="shared" si="13"/>
        <v>12.514207272287837</v>
      </c>
      <c r="AG5" s="11">
        <f t="shared" si="14"/>
        <v>12.979306593278681</v>
      </c>
      <c r="AH5" s="11">
        <f t="shared" si="15"/>
        <v>13.201570884695538</v>
      </c>
      <c r="AI5" s="11">
        <f t="shared" si="16"/>
        <v>13.392985958156212</v>
      </c>
      <c r="AJ5" s="11">
        <f t="shared" si="17"/>
        <v>12.729559968100231</v>
      </c>
      <c r="AK5" s="11"/>
      <c r="AL5" s="11">
        <f t="shared" si="18"/>
        <v>6.5165880204941589</v>
      </c>
      <c r="AM5" s="11">
        <f t="shared" si="19"/>
        <v>1.1501879441111214</v>
      </c>
      <c r="AN5" s="11">
        <f t="shared" si="20"/>
        <v>3.433454908890075</v>
      </c>
      <c r="AO5" s="11">
        <f t="shared" si="21"/>
        <v>391.57283520795011</v>
      </c>
      <c r="AP5" s="11">
        <f t="shared" si="22"/>
        <v>19.78819939276816</v>
      </c>
      <c r="AQ5" s="11">
        <f t="shared" si="23"/>
        <v>0.81457580010839181</v>
      </c>
      <c r="AR5" s="11">
        <f t="shared" si="24"/>
        <v>0.92634395622942889</v>
      </c>
    </row>
    <row r="6" spans="1:44" ht="15" customHeight="1" x14ac:dyDescent="0.2">
      <c r="A6" s="6">
        <v>3</v>
      </c>
      <c r="B6" s="4"/>
      <c r="C6" s="5">
        <v>28.028766318886898</v>
      </c>
      <c r="D6" s="5">
        <v>58.111214891565965</v>
      </c>
      <c r="E6" s="5">
        <v>7.2704603102133349</v>
      </c>
      <c r="F6" s="5">
        <v>29.182972106039276</v>
      </c>
      <c r="G6" s="5">
        <v>6.0359621466907702</v>
      </c>
      <c r="H6" s="5">
        <v>1.5125110197965388</v>
      </c>
      <c r="I6" s="5">
        <v>5.8246453170399146</v>
      </c>
      <c r="J6" s="5">
        <v>0.96399492271153642</v>
      </c>
      <c r="K6" s="5">
        <v>5.7240444822412098</v>
      </c>
      <c r="L6" s="5">
        <v>1.2006228467061255</v>
      </c>
      <c r="M6" s="5">
        <v>3.260424664029264</v>
      </c>
      <c r="N6" s="5">
        <v>0.47635427546746051</v>
      </c>
      <c r="O6" s="5">
        <v>3.1378147077049658</v>
      </c>
      <c r="P6" s="5">
        <v>0.45635472485639328</v>
      </c>
      <c r="R6" s="1">
        <f t="shared" si="0"/>
        <v>151.18614273394965</v>
      </c>
      <c r="S6" s="1">
        <f t="shared" si="1"/>
        <v>130.14188679319278</v>
      </c>
      <c r="T6" s="1">
        <f t="shared" si="2"/>
        <v>21.044255940756866</v>
      </c>
      <c r="U6" s="1">
        <f t="shared" si="3"/>
        <v>6.184199962192257</v>
      </c>
      <c r="V6" s="11"/>
      <c r="W6" s="11">
        <f t="shared" si="4"/>
        <v>79.177305985556217</v>
      </c>
      <c r="X6" s="11">
        <f t="shared" si="5"/>
        <v>62.21757483037041</v>
      </c>
      <c r="Y6" s="11">
        <f t="shared" si="6"/>
        <v>56.360157443514225</v>
      </c>
      <c r="Z6" s="11">
        <f t="shared" si="7"/>
        <v>43.170077079939752</v>
      </c>
      <c r="AA6" s="11">
        <f t="shared" si="8"/>
        <v>28.337850453947279</v>
      </c>
      <c r="AB6" s="11">
        <f t="shared" si="9"/>
        <v>18.906387747456733</v>
      </c>
      <c r="AC6" s="11">
        <f t="shared" si="10"/>
        <v>20.581785572579207</v>
      </c>
      <c r="AD6" s="11">
        <f t="shared" si="11"/>
        <v>18.188583447387479</v>
      </c>
      <c r="AE6" s="11">
        <f t="shared" si="12"/>
        <v>16.786054200120848</v>
      </c>
      <c r="AF6" s="11">
        <f t="shared" si="13"/>
        <v>14.641742033001529</v>
      </c>
      <c r="AG6" s="11">
        <f t="shared" si="14"/>
        <v>14.490776284574507</v>
      </c>
      <c r="AH6" s="11">
        <f t="shared" si="15"/>
        <v>14.010419866690015</v>
      </c>
      <c r="AI6" s="11">
        <f t="shared" si="16"/>
        <v>13.409464562841734</v>
      </c>
      <c r="AJ6" s="11">
        <f t="shared" si="17"/>
        <v>12.676520134899814</v>
      </c>
      <c r="AK6" s="11"/>
      <c r="AL6" s="11">
        <f t="shared" si="18"/>
        <v>5.9045837076120335</v>
      </c>
      <c r="AM6" s="11">
        <f t="shared" si="19"/>
        <v>1.5348700521281302</v>
      </c>
      <c r="AN6" s="11">
        <f t="shared" si="20"/>
        <v>2.7940477035909876</v>
      </c>
      <c r="AO6" s="11">
        <f t="shared" si="21"/>
        <v>583.24356163095922</v>
      </c>
      <c r="AP6" s="11">
        <f t="shared" si="22"/>
        <v>24.150436054675271</v>
      </c>
      <c r="AQ6" s="11">
        <f t="shared" si="23"/>
        <v>0.78285906327544985</v>
      </c>
      <c r="AR6" s="11">
        <f t="shared" si="24"/>
        <v>0.93137938177497115</v>
      </c>
    </row>
    <row r="7" spans="1:44" ht="15" customHeight="1" x14ac:dyDescent="0.2">
      <c r="A7" s="6">
        <v>4</v>
      </c>
      <c r="B7" s="4"/>
      <c r="C7" s="5">
        <v>163.6247204859182</v>
      </c>
      <c r="D7" s="5">
        <v>336.5016895319452</v>
      </c>
      <c r="E7" s="5">
        <v>37.778846537509075</v>
      </c>
      <c r="F7" s="5">
        <v>140.15044659650604</v>
      </c>
      <c r="G7" s="5">
        <v>25.97832752165132</v>
      </c>
      <c r="H7" s="5">
        <v>4.8664714132613121</v>
      </c>
      <c r="I7" s="5">
        <v>21.519625555566186</v>
      </c>
      <c r="J7" s="5">
        <v>2.9241179322249939</v>
      </c>
      <c r="K7" s="5">
        <v>13.478008543970686</v>
      </c>
      <c r="L7" s="5">
        <v>2.1807231297315339</v>
      </c>
      <c r="M7" s="5">
        <v>4.9153521617809277</v>
      </c>
      <c r="N7" s="5">
        <v>0.58733991078255954</v>
      </c>
      <c r="O7" s="5">
        <v>3.6583738297205359</v>
      </c>
      <c r="P7" s="5">
        <v>0.50981887672241433</v>
      </c>
      <c r="R7" s="1">
        <f t="shared" si="0"/>
        <v>758.67386202729108</v>
      </c>
      <c r="S7" s="1">
        <f t="shared" si="1"/>
        <v>708.90050208679122</v>
      </c>
      <c r="T7" s="1">
        <f t="shared" si="2"/>
        <v>49.773359940499844</v>
      </c>
      <c r="U7" s="1">
        <f t="shared" si="3"/>
        <v>14.242568774425241</v>
      </c>
      <c r="V7" s="11"/>
      <c r="W7" s="11">
        <f t="shared" si="4"/>
        <v>462.21672453649211</v>
      </c>
      <c r="X7" s="11">
        <f t="shared" si="5"/>
        <v>360.28018151171864</v>
      </c>
      <c r="Y7" s="11">
        <f t="shared" si="6"/>
        <v>292.85927548456647</v>
      </c>
      <c r="Z7" s="11">
        <f t="shared" si="7"/>
        <v>207.32314585281958</v>
      </c>
      <c r="AA7" s="11">
        <f t="shared" si="8"/>
        <v>121.96397897488883</v>
      </c>
      <c r="AB7" s="11">
        <f t="shared" si="9"/>
        <v>60.830892665766399</v>
      </c>
      <c r="AC7" s="11">
        <f t="shared" si="10"/>
        <v>76.041079701647305</v>
      </c>
      <c r="AD7" s="11">
        <f t="shared" si="11"/>
        <v>55.172036457075357</v>
      </c>
      <c r="AE7" s="11">
        <f t="shared" si="12"/>
        <v>39.52495174184952</v>
      </c>
      <c r="AF7" s="11">
        <f t="shared" si="13"/>
        <v>26.594184508921145</v>
      </c>
      <c r="AG7" s="11">
        <f t="shared" si="14"/>
        <v>21.846009607915235</v>
      </c>
      <c r="AH7" s="11">
        <f t="shared" si="15"/>
        <v>17.274703258310574</v>
      </c>
      <c r="AI7" s="11">
        <f t="shared" si="16"/>
        <v>15.634076195386905</v>
      </c>
      <c r="AJ7" s="11">
        <f t="shared" si="17"/>
        <v>14.161635464511511</v>
      </c>
      <c r="AK7" s="11"/>
      <c r="AL7" s="11">
        <f t="shared" si="18"/>
        <v>29.564696932516988</v>
      </c>
      <c r="AM7" s="11">
        <f t="shared" si="19"/>
        <v>4.8638038315359173</v>
      </c>
      <c r="AN7" s="11">
        <f t="shared" si="20"/>
        <v>3.7897806255702591</v>
      </c>
      <c r="AO7" s="11">
        <f t="shared" si="21"/>
        <v>9274.2726459595578</v>
      </c>
      <c r="AP7" s="11">
        <f t="shared" si="22"/>
        <v>96.303025113230774</v>
      </c>
      <c r="AQ7" s="11">
        <f t="shared" si="23"/>
        <v>0.63166128576171832</v>
      </c>
      <c r="AR7" s="11">
        <f t="shared" si="24"/>
        <v>0.97923753780506906</v>
      </c>
    </row>
    <row r="8" spans="1:44" ht="15" customHeight="1" x14ac:dyDescent="0.2">
      <c r="A8" s="6">
        <v>5</v>
      </c>
      <c r="B8" s="4"/>
      <c r="C8" s="5">
        <v>32.37890994509862</v>
      </c>
      <c r="D8" s="5">
        <v>67.320314260769095</v>
      </c>
      <c r="E8" s="5">
        <v>8.2887182832946351</v>
      </c>
      <c r="F8" s="5">
        <v>33.864678726966915</v>
      </c>
      <c r="G8" s="5">
        <v>7.1465710824371271</v>
      </c>
      <c r="H8" s="5">
        <v>1.6285475556715234</v>
      </c>
      <c r="I8" s="5">
        <v>6.366106863276741</v>
      </c>
      <c r="J8" s="5">
        <v>1.0876589178472587</v>
      </c>
      <c r="K8" s="5">
        <v>6.5335468246687176</v>
      </c>
      <c r="L8" s="5">
        <v>1.3741005968016227</v>
      </c>
      <c r="M8" s="5">
        <v>3.7626368318057546</v>
      </c>
      <c r="N8" s="5">
        <v>0.56278556668629864</v>
      </c>
      <c r="O8" s="5">
        <v>3.6699418102097709</v>
      </c>
      <c r="P8" s="5">
        <v>0.54896227362432248</v>
      </c>
      <c r="R8" s="1">
        <f t="shared" si="0"/>
        <v>174.53347953915838</v>
      </c>
      <c r="S8" s="1">
        <f t="shared" si="1"/>
        <v>150.62773985423792</v>
      </c>
      <c r="T8" s="1">
        <f t="shared" si="2"/>
        <v>23.905739684920484</v>
      </c>
      <c r="U8" s="1">
        <f t="shared" si="3"/>
        <v>6.300902705355421</v>
      </c>
      <c r="V8" s="11"/>
      <c r="W8" s="11">
        <f t="shared" si="4"/>
        <v>91.465847302538478</v>
      </c>
      <c r="X8" s="11">
        <f t="shared" si="5"/>
        <v>72.077424262065406</v>
      </c>
      <c r="Y8" s="11">
        <f t="shared" si="6"/>
        <v>64.25363010305918</v>
      </c>
      <c r="Z8" s="11">
        <f t="shared" si="7"/>
        <v>50.095678590187738</v>
      </c>
      <c r="AA8" s="11">
        <f t="shared" si="8"/>
        <v>33.551976912850364</v>
      </c>
      <c r="AB8" s="11">
        <f t="shared" si="9"/>
        <v>20.356844445894044</v>
      </c>
      <c r="AC8" s="11">
        <f t="shared" si="10"/>
        <v>22.495077255394847</v>
      </c>
      <c r="AD8" s="11">
        <f t="shared" si="11"/>
        <v>20.521866374476581</v>
      </c>
      <c r="AE8" s="11">
        <f t="shared" si="12"/>
        <v>19.159961362664859</v>
      </c>
      <c r="AF8" s="11">
        <f t="shared" si="13"/>
        <v>16.757324351239301</v>
      </c>
      <c r="AG8" s="11">
        <f t="shared" si="14"/>
        <v>16.722830363581132</v>
      </c>
      <c r="AH8" s="11">
        <f t="shared" si="15"/>
        <v>16.552516667244078</v>
      </c>
      <c r="AI8" s="11">
        <f t="shared" si="16"/>
        <v>15.683512009443465</v>
      </c>
      <c r="AJ8" s="11">
        <f t="shared" si="17"/>
        <v>15.24895204512007</v>
      </c>
      <c r="AK8" s="11"/>
      <c r="AL8" s="11">
        <f t="shared" si="18"/>
        <v>5.8319748311133646</v>
      </c>
      <c r="AM8" s="11">
        <f t="shared" si="19"/>
        <v>1.4343137711661746</v>
      </c>
      <c r="AN8" s="11">
        <f t="shared" si="20"/>
        <v>2.7260941297175005</v>
      </c>
      <c r="AO8" s="11">
        <f t="shared" si="21"/>
        <v>754.75431272579328</v>
      </c>
      <c r="AP8" s="11">
        <f t="shared" si="22"/>
        <v>27.472792226597448</v>
      </c>
      <c r="AQ8" s="11">
        <f t="shared" si="23"/>
        <v>0.74098199695136246</v>
      </c>
      <c r="AR8" s="11">
        <f t="shared" si="24"/>
        <v>0.94020150729347463</v>
      </c>
    </row>
    <row r="9" spans="1:44" ht="15" customHeight="1" x14ac:dyDescent="0.2">
      <c r="A9" s="6">
        <v>6</v>
      </c>
      <c r="B9" s="4"/>
      <c r="C9" s="5">
        <v>26.456782599414936</v>
      </c>
      <c r="D9" s="5">
        <v>54.205837610266158</v>
      </c>
      <c r="E9" s="5">
        <v>6.6693437676503651</v>
      </c>
      <c r="F9" s="5">
        <v>26.786980923166247</v>
      </c>
      <c r="G9" s="5">
        <v>5.4973623711054813</v>
      </c>
      <c r="H9" s="5">
        <v>1.2542036008052688</v>
      </c>
      <c r="I9" s="5">
        <v>4.841684356179214</v>
      </c>
      <c r="J9" s="5">
        <v>0.80917149573059266</v>
      </c>
      <c r="K9" s="5">
        <v>4.6803206498727477</v>
      </c>
      <c r="L9" s="5">
        <v>0.98892118557263708</v>
      </c>
      <c r="M9" s="5">
        <v>2.6919758520775274</v>
      </c>
      <c r="N9" s="5">
        <v>0.42037037092798574</v>
      </c>
      <c r="O9" s="5">
        <v>2.8090912621358743</v>
      </c>
      <c r="P9" s="5">
        <v>0.42962264892338287</v>
      </c>
      <c r="R9" s="1">
        <f t="shared" si="0"/>
        <v>138.54166869382843</v>
      </c>
      <c r="S9" s="1">
        <f t="shared" si="1"/>
        <v>120.87051087240845</v>
      </c>
      <c r="T9" s="1">
        <f t="shared" si="2"/>
        <v>17.671157821419964</v>
      </c>
      <c r="U9" s="1">
        <f t="shared" si="3"/>
        <v>6.8399881939765228</v>
      </c>
      <c r="V9" s="11"/>
      <c r="W9" s="11">
        <f t="shared" si="4"/>
        <v>74.73667400964672</v>
      </c>
      <c r="X9" s="11">
        <f t="shared" si="5"/>
        <v>58.036228704781749</v>
      </c>
      <c r="Y9" s="11">
        <f t="shared" si="6"/>
        <v>51.700339284111358</v>
      </c>
      <c r="Z9" s="11">
        <f t="shared" si="7"/>
        <v>39.625711424802141</v>
      </c>
      <c r="AA9" s="11">
        <f t="shared" si="8"/>
        <v>25.809213009884889</v>
      </c>
      <c r="AB9" s="11">
        <f t="shared" si="9"/>
        <v>15.67754501006586</v>
      </c>
      <c r="AC9" s="11">
        <f t="shared" si="10"/>
        <v>17.108425286852349</v>
      </c>
      <c r="AD9" s="11">
        <f t="shared" si="11"/>
        <v>15.267386711897975</v>
      </c>
      <c r="AE9" s="11">
        <f t="shared" si="12"/>
        <v>13.725280498160549</v>
      </c>
      <c r="AF9" s="11">
        <f t="shared" si="13"/>
        <v>12.060014458202891</v>
      </c>
      <c r="AG9" s="11">
        <f t="shared" si="14"/>
        <v>11.964337120344567</v>
      </c>
      <c r="AH9" s="11">
        <f t="shared" si="15"/>
        <v>12.363834439058403</v>
      </c>
      <c r="AI9" s="11">
        <f t="shared" si="16"/>
        <v>12.004663513401171</v>
      </c>
      <c r="AJ9" s="11">
        <f t="shared" si="17"/>
        <v>11.93396247009397</v>
      </c>
      <c r="AK9" s="11"/>
      <c r="AL9" s="11">
        <f t="shared" si="18"/>
        <v>6.2256367224467306</v>
      </c>
      <c r="AM9" s="11">
        <f t="shared" si="19"/>
        <v>1.4251482574046073</v>
      </c>
      <c r="AN9" s="11">
        <f t="shared" si="20"/>
        <v>2.8957362621255709</v>
      </c>
      <c r="AO9" s="11">
        <f t="shared" si="21"/>
        <v>441.55499249207327</v>
      </c>
      <c r="AP9" s="11">
        <f t="shared" si="22"/>
        <v>21.013209952124718</v>
      </c>
      <c r="AQ9" s="11">
        <f t="shared" si="23"/>
        <v>0.74608044395809447</v>
      </c>
      <c r="AR9" s="11">
        <f t="shared" si="24"/>
        <v>0.93365322907959758</v>
      </c>
    </row>
    <row r="10" spans="1:44" ht="15" customHeight="1" x14ac:dyDescent="0.2">
      <c r="A10" s="6">
        <v>7</v>
      </c>
      <c r="B10" s="4"/>
      <c r="C10" s="5">
        <v>24.88479887994297</v>
      </c>
      <c r="D10" s="5">
        <v>51.4790652373893</v>
      </c>
      <c r="E10" s="5">
        <v>6.4184686148622196</v>
      </c>
      <c r="F10" s="5">
        <v>25.984975506304984</v>
      </c>
      <c r="G10" s="5">
        <v>5.7848855595758248</v>
      </c>
      <c r="H10" s="5">
        <v>1.3147444021313475</v>
      </c>
      <c r="I10" s="5">
        <v>5.1869239403609857</v>
      </c>
      <c r="J10" s="5">
        <v>0.85785810798875106</v>
      </c>
      <c r="K10" s="5">
        <v>5.1528727787009885</v>
      </c>
      <c r="L10" s="5">
        <v>1.0712496093467714</v>
      </c>
      <c r="M10" s="5">
        <v>3.0646805513919704</v>
      </c>
      <c r="N10" s="5">
        <v>0.43804949867729359</v>
      </c>
      <c r="O10" s="5">
        <v>3.019242907690308</v>
      </c>
      <c r="P10" s="5">
        <v>0.44107925289467309</v>
      </c>
      <c r="R10" s="1">
        <f t="shared" si="0"/>
        <v>135.09889484725841</v>
      </c>
      <c r="S10" s="1">
        <f t="shared" si="1"/>
        <v>115.86693820020666</v>
      </c>
      <c r="T10" s="1">
        <f t="shared" si="2"/>
        <v>19.231956647051746</v>
      </c>
      <c r="U10" s="1">
        <f t="shared" si="3"/>
        <v>6.0247087868705771</v>
      </c>
      <c r="V10" s="11"/>
      <c r="W10" s="11">
        <f t="shared" si="4"/>
        <v>70.296042033737208</v>
      </c>
      <c r="X10" s="11">
        <f t="shared" si="5"/>
        <v>55.116772202772268</v>
      </c>
      <c r="Y10" s="11">
        <f t="shared" si="6"/>
        <v>49.755570657846661</v>
      </c>
      <c r="Z10" s="11">
        <f t="shared" si="7"/>
        <v>38.439312879149384</v>
      </c>
      <c r="AA10" s="11">
        <f t="shared" si="8"/>
        <v>27.159087134158803</v>
      </c>
      <c r="AB10" s="11">
        <f t="shared" si="9"/>
        <v>16.434305026641844</v>
      </c>
      <c r="AC10" s="11">
        <f t="shared" si="10"/>
        <v>18.328353146151894</v>
      </c>
      <c r="AD10" s="11">
        <f t="shared" si="11"/>
        <v>16.186002037523604</v>
      </c>
      <c r="AE10" s="11">
        <f t="shared" si="12"/>
        <v>15.111063867158324</v>
      </c>
      <c r="AF10" s="11">
        <f t="shared" si="13"/>
        <v>13.064019626180139</v>
      </c>
      <c r="AG10" s="11">
        <f t="shared" si="14"/>
        <v>13.620802450630979</v>
      </c>
      <c r="AH10" s="11">
        <f t="shared" si="15"/>
        <v>12.883808784626281</v>
      </c>
      <c r="AI10" s="11">
        <f t="shared" si="16"/>
        <v>12.902747468762</v>
      </c>
      <c r="AJ10" s="11">
        <f t="shared" si="17"/>
        <v>12.252201469296475</v>
      </c>
      <c r="AK10" s="11"/>
      <c r="AL10" s="11">
        <f t="shared" si="18"/>
        <v>5.4481452267376671</v>
      </c>
      <c r="AM10" s="11">
        <f t="shared" si="19"/>
        <v>1.4205000284261531</v>
      </c>
      <c r="AN10" s="11">
        <f t="shared" si="20"/>
        <v>2.5883065099534863</v>
      </c>
      <c r="AO10" s="11">
        <f t="shared" si="21"/>
        <v>497.7813401219729</v>
      </c>
      <c r="AP10" s="11">
        <f t="shared" si="22"/>
        <v>22.311013874810193</v>
      </c>
      <c r="AQ10" s="11">
        <f t="shared" si="23"/>
        <v>0.73660054710452538</v>
      </c>
      <c r="AR10" s="11">
        <f t="shared" si="24"/>
        <v>0.93196045289028029</v>
      </c>
    </row>
    <row r="11" spans="1:44" ht="15" customHeight="1" x14ac:dyDescent="0.2">
      <c r="A11" s="6">
        <v>8</v>
      </c>
      <c r="B11" s="4"/>
      <c r="C11" s="5">
        <v>24.014770154700624</v>
      </c>
      <c r="D11" s="5">
        <v>51.499041591769355</v>
      </c>
      <c r="E11" s="5">
        <v>6.4184686148622196</v>
      </c>
      <c r="F11" s="5">
        <v>24.701766839326961</v>
      </c>
      <c r="G11" s="5">
        <v>4.7876660502684762</v>
      </c>
      <c r="H11" s="5">
        <v>1.009013355434649</v>
      </c>
      <c r="I11" s="5">
        <v>3.7476543601930103</v>
      </c>
      <c r="J11" s="5">
        <v>0.64168954956252777</v>
      </c>
      <c r="K11" s="5">
        <v>3.9714924566303873</v>
      </c>
      <c r="L11" s="5">
        <v>0.81544343547713982</v>
      </c>
      <c r="M11" s="5">
        <v>2.4042913228984748</v>
      </c>
      <c r="N11" s="5">
        <v>0.35849342380540844</v>
      </c>
      <c r="O11" s="5">
        <v>2.4340958946098428</v>
      </c>
      <c r="P11" s="5">
        <v>0.3723396290669318</v>
      </c>
      <c r="R11" s="1">
        <f t="shared" si="0"/>
        <v>127.176226678606</v>
      </c>
      <c r="S11" s="1">
        <f t="shared" si="1"/>
        <v>112.43072660636228</v>
      </c>
      <c r="T11" s="1">
        <f t="shared" si="2"/>
        <v>14.745500072243722</v>
      </c>
      <c r="U11" s="1">
        <f t="shared" si="3"/>
        <v>7.6247482998556908</v>
      </c>
      <c r="V11" s="11"/>
      <c r="W11" s="11">
        <f t="shared" si="4"/>
        <v>67.838333770340753</v>
      </c>
      <c r="X11" s="11">
        <f t="shared" si="5"/>
        <v>55.138160162493953</v>
      </c>
      <c r="Y11" s="11">
        <f t="shared" si="6"/>
        <v>49.755570657846661</v>
      </c>
      <c r="Z11" s="11">
        <f t="shared" si="7"/>
        <v>36.541075206104971</v>
      </c>
      <c r="AA11" s="11">
        <f t="shared" si="8"/>
        <v>22.477305400321484</v>
      </c>
      <c r="AB11" s="11">
        <f t="shared" si="9"/>
        <v>12.612666942933112</v>
      </c>
      <c r="AC11" s="11">
        <f t="shared" si="10"/>
        <v>13.242594912342794</v>
      </c>
      <c r="AD11" s="11">
        <f t="shared" si="11"/>
        <v>12.107349991745807</v>
      </c>
      <c r="AE11" s="11">
        <f t="shared" si="12"/>
        <v>11.646605444663891</v>
      </c>
      <c r="AF11" s="11">
        <f t="shared" si="13"/>
        <v>9.9444321399651194</v>
      </c>
      <c r="AG11" s="11">
        <f t="shared" si="14"/>
        <v>10.68573921288211</v>
      </c>
      <c r="AH11" s="11">
        <f t="shared" si="15"/>
        <v>10.543924229570836</v>
      </c>
      <c r="AI11" s="11">
        <f t="shared" si="16"/>
        <v>10.402119207734371</v>
      </c>
      <c r="AJ11" s="11">
        <f t="shared" si="17"/>
        <v>10.342767474081439</v>
      </c>
      <c r="AK11" s="11"/>
      <c r="AL11" s="11">
        <f t="shared" si="18"/>
        <v>6.5215878049061748</v>
      </c>
      <c r="AM11" s="11">
        <f t="shared" si="19"/>
        <v>1.2730670210447523</v>
      </c>
      <c r="AN11" s="11">
        <f t="shared" si="20"/>
        <v>3.018081240706481</v>
      </c>
      <c r="AO11" s="11">
        <f t="shared" si="21"/>
        <v>297.65785013747251</v>
      </c>
      <c r="AP11" s="11">
        <f t="shared" si="22"/>
        <v>17.252763550732169</v>
      </c>
      <c r="AQ11" s="11">
        <f t="shared" si="23"/>
        <v>0.73105197934494726</v>
      </c>
      <c r="AR11" s="11">
        <f t="shared" si="24"/>
        <v>0.94906034746929802</v>
      </c>
    </row>
    <row r="12" spans="1:44" ht="15" customHeight="1" x14ac:dyDescent="0.2">
      <c r="A12" s="6">
        <v>9</v>
      </c>
      <c r="B12" s="4"/>
      <c r="C12" s="5">
        <v>26.77315668132124</v>
      </c>
      <c r="D12" s="5">
        <v>54.445553862826749</v>
      </c>
      <c r="E12" s="5">
        <v>6.6545864057216511</v>
      </c>
      <c r="F12" s="5">
        <v>26.125326454255703</v>
      </c>
      <c r="G12" s="5">
        <v>5.2138888050079624</v>
      </c>
      <c r="H12" s="5">
        <v>1.1785275991476698</v>
      </c>
      <c r="I12" s="5">
        <v>4.4825611426067544</v>
      </c>
      <c r="J12" s="5">
        <v>0.76827474143373964</v>
      </c>
      <c r="K12" s="5">
        <v>4.7594217670896493</v>
      </c>
      <c r="L12" s="5">
        <v>1.0438068014220601</v>
      </c>
      <c r="M12" s="5">
        <v>2.8827769315674145</v>
      </c>
      <c r="N12" s="5">
        <v>0.43804949867729359</v>
      </c>
      <c r="O12" s="5">
        <v>2.7859553011574043</v>
      </c>
      <c r="P12" s="5">
        <v>0.42198491294252272</v>
      </c>
      <c r="R12" s="1">
        <f t="shared" si="0"/>
        <v>137.97387090517779</v>
      </c>
      <c r="S12" s="1">
        <f t="shared" si="1"/>
        <v>120.39103980828098</v>
      </c>
      <c r="T12" s="1">
        <f t="shared" si="2"/>
        <v>17.58283109689684</v>
      </c>
      <c r="U12" s="1">
        <f t="shared" si="3"/>
        <v>6.8470793551289111</v>
      </c>
      <c r="V12" s="11"/>
      <c r="W12" s="11">
        <f t="shared" si="4"/>
        <v>75.630386105427235</v>
      </c>
      <c r="X12" s="11">
        <f t="shared" si="5"/>
        <v>58.292884221441909</v>
      </c>
      <c r="Y12" s="11">
        <f t="shared" si="6"/>
        <v>51.585941129625198</v>
      </c>
      <c r="Z12" s="11">
        <f t="shared" si="7"/>
        <v>38.646932624638609</v>
      </c>
      <c r="AA12" s="11">
        <f t="shared" si="8"/>
        <v>24.47835119722048</v>
      </c>
      <c r="AB12" s="11">
        <f t="shared" si="9"/>
        <v>14.731594989345872</v>
      </c>
      <c r="AC12" s="11">
        <f t="shared" si="10"/>
        <v>15.839438666454964</v>
      </c>
      <c r="AD12" s="11">
        <f t="shared" si="11"/>
        <v>14.495749838372447</v>
      </c>
      <c r="AE12" s="11">
        <f t="shared" si="12"/>
        <v>13.957248583840613</v>
      </c>
      <c r="AF12" s="11">
        <f t="shared" si="13"/>
        <v>12.72935123685439</v>
      </c>
      <c r="AG12" s="11">
        <f t="shared" si="14"/>
        <v>12.812341918077397</v>
      </c>
      <c r="AH12" s="11">
        <f t="shared" si="15"/>
        <v>12.883808784626281</v>
      </c>
      <c r="AI12" s="11">
        <f t="shared" si="16"/>
        <v>11.905791885288052</v>
      </c>
      <c r="AJ12" s="11">
        <f t="shared" si="17"/>
        <v>11.721803137292298</v>
      </c>
      <c r="AK12" s="11"/>
      <c r="AL12" s="11">
        <f t="shared" si="18"/>
        <v>6.3524028333540299</v>
      </c>
      <c r="AM12" s="11">
        <f t="shared" si="19"/>
        <v>1.3303977441456629</v>
      </c>
      <c r="AN12" s="11">
        <f t="shared" si="20"/>
        <v>3.0896846562939695</v>
      </c>
      <c r="AO12" s="11">
        <f t="shared" si="21"/>
        <v>387.72334244431823</v>
      </c>
      <c r="AP12" s="11">
        <f t="shared" si="22"/>
        <v>19.690691771604122</v>
      </c>
      <c r="AQ12" s="11">
        <f t="shared" si="23"/>
        <v>0.74815020011588695</v>
      </c>
      <c r="AR12" s="11">
        <f t="shared" si="24"/>
        <v>0.93325796694121377</v>
      </c>
    </row>
    <row r="13" spans="1:44" ht="15" customHeight="1" x14ac:dyDescent="0.2">
      <c r="A13" s="6">
        <v>10</v>
      </c>
      <c r="B13" s="4"/>
      <c r="C13" s="5">
        <v>27.020323932810541</v>
      </c>
      <c r="D13" s="5">
        <v>55.754005074720041</v>
      </c>
      <c r="E13" s="5">
        <v>6.9507174684245223</v>
      </c>
      <c r="F13" s="5">
        <v>27.829587965085892</v>
      </c>
      <c r="G13" s="5">
        <v>5.949907671268309</v>
      </c>
      <c r="H13" s="5">
        <v>1.3924384304998154</v>
      </c>
      <c r="I13" s="5">
        <v>5.1128779169439831</v>
      </c>
      <c r="J13" s="5">
        <v>0.81890881818222439</v>
      </c>
      <c r="K13" s="5">
        <v>5.1015084168718321</v>
      </c>
      <c r="L13" s="5">
        <v>1.0545879045353397</v>
      </c>
      <c r="M13" s="5">
        <v>2.9154009503402967</v>
      </c>
      <c r="N13" s="5">
        <v>0.44492471502424663</v>
      </c>
      <c r="O13" s="5">
        <v>2.849579193848196</v>
      </c>
      <c r="P13" s="5">
        <v>0.43535095090902798</v>
      </c>
      <c r="R13" s="1">
        <f t="shared" si="0"/>
        <v>143.63011940946427</v>
      </c>
      <c r="S13" s="1">
        <f t="shared" si="1"/>
        <v>124.89698054280912</v>
      </c>
      <c r="T13" s="1">
        <f t="shared" si="2"/>
        <v>18.733138866655146</v>
      </c>
      <c r="U13" s="1">
        <f t="shared" si="3"/>
        <v>6.6671678159139072</v>
      </c>
      <c r="V13" s="11"/>
      <c r="W13" s="11">
        <f t="shared" si="4"/>
        <v>76.328598680255766</v>
      </c>
      <c r="X13" s="11">
        <f t="shared" si="5"/>
        <v>59.693795583212029</v>
      </c>
      <c r="Y13" s="11">
        <f t="shared" si="6"/>
        <v>53.881530762980795</v>
      </c>
      <c r="Z13" s="11">
        <f t="shared" si="7"/>
        <v>41.168029534150726</v>
      </c>
      <c r="AA13" s="11">
        <f t="shared" si="8"/>
        <v>27.933838832245584</v>
      </c>
      <c r="AB13" s="11">
        <f t="shared" si="9"/>
        <v>17.405480381247692</v>
      </c>
      <c r="AC13" s="11">
        <f t="shared" si="10"/>
        <v>18.066706420296761</v>
      </c>
      <c r="AD13" s="11">
        <f t="shared" si="11"/>
        <v>15.451109777023103</v>
      </c>
      <c r="AE13" s="11">
        <f t="shared" si="12"/>
        <v>14.960435240093348</v>
      </c>
      <c r="AF13" s="11">
        <f t="shared" si="13"/>
        <v>12.860828104089508</v>
      </c>
      <c r="AG13" s="11">
        <f t="shared" si="14"/>
        <v>12.957337557067985</v>
      </c>
      <c r="AH13" s="11">
        <f t="shared" si="15"/>
        <v>13.0860210301249</v>
      </c>
      <c r="AI13" s="11">
        <f t="shared" si="16"/>
        <v>12.177688862599128</v>
      </c>
      <c r="AJ13" s="11">
        <f t="shared" si="17"/>
        <v>12.093081969695223</v>
      </c>
      <c r="AK13" s="11"/>
      <c r="AL13" s="11">
        <f t="shared" si="18"/>
        <v>6.2679051453417314</v>
      </c>
      <c r="AM13" s="11">
        <f t="shared" si="19"/>
        <v>1.4835907391084977</v>
      </c>
      <c r="AN13" s="11">
        <f t="shared" si="20"/>
        <v>2.7324779504400025</v>
      </c>
      <c r="AO13" s="11">
        <f t="shared" si="21"/>
        <v>504.67246537406629</v>
      </c>
      <c r="AP13" s="11">
        <f t="shared" si="22"/>
        <v>22.464916322436331</v>
      </c>
      <c r="AQ13" s="11">
        <f t="shared" si="23"/>
        <v>0.77478500838502384</v>
      </c>
      <c r="AR13" s="11">
        <f t="shared" si="24"/>
        <v>0.9308197439990078</v>
      </c>
    </row>
    <row r="14" spans="1:44" ht="15" customHeight="1" x14ac:dyDescent="0.2">
      <c r="A14" s="6">
        <v>11</v>
      </c>
      <c r="B14" s="4"/>
      <c r="C14" s="5">
        <v>30.332365102767195</v>
      </c>
      <c r="D14" s="5">
        <v>61.577112376504665</v>
      </c>
      <c r="E14" s="5">
        <v>7.4347589396863576</v>
      </c>
      <c r="F14" s="5">
        <v>29.243122512303874</v>
      </c>
      <c r="G14" s="5">
        <v>5.6583348604251453</v>
      </c>
      <c r="H14" s="5">
        <v>1.3470328295052563</v>
      </c>
      <c r="I14" s="5">
        <v>4.727838595175573</v>
      </c>
      <c r="J14" s="5">
        <v>0.7624323479627606</v>
      </c>
      <c r="K14" s="5">
        <v>4.5272548516218611</v>
      </c>
      <c r="L14" s="5">
        <v>0.93991617142136674</v>
      </c>
      <c r="M14" s="5">
        <v>2.5624683836154798</v>
      </c>
      <c r="N14" s="5">
        <v>0.39188733177632318</v>
      </c>
      <c r="O14" s="5">
        <v>2.5748396572288672</v>
      </c>
      <c r="P14" s="5">
        <v>0.37043019507171676</v>
      </c>
      <c r="R14" s="1">
        <f t="shared" si="0"/>
        <v>152.44979415506646</v>
      </c>
      <c r="S14" s="1">
        <f t="shared" si="1"/>
        <v>135.5927266211925</v>
      </c>
      <c r="T14" s="1">
        <f t="shared" si="2"/>
        <v>16.857067533873945</v>
      </c>
      <c r="U14" s="1">
        <f t="shared" si="3"/>
        <v>8.0436722667641671</v>
      </c>
      <c r="V14" s="11"/>
      <c r="W14" s="11">
        <f t="shared" si="4"/>
        <v>85.684647182958187</v>
      </c>
      <c r="X14" s="11">
        <f t="shared" si="5"/>
        <v>65.928385842082079</v>
      </c>
      <c r="Y14" s="11">
        <f t="shared" si="6"/>
        <v>57.633790230126799</v>
      </c>
      <c r="Z14" s="11">
        <f t="shared" si="7"/>
        <v>43.259056970863718</v>
      </c>
      <c r="AA14" s="11">
        <f t="shared" si="8"/>
        <v>26.564952396362184</v>
      </c>
      <c r="AB14" s="11">
        <f t="shared" si="9"/>
        <v>16.837910368815702</v>
      </c>
      <c r="AC14" s="11">
        <f t="shared" si="10"/>
        <v>16.706143445850081</v>
      </c>
      <c r="AD14" s="11">
        <f t="shared" si="11"/>
        <v>14.38551599929737</v>
      </c>
      <c r="AE14" s="11">
        <f t="shared" si="12"/>
        <v>13.276407189506923</v>
      </c>
      <c r="AF14" s="11">
        <f t="shared" si="13"/>
        <v>11.462392334406911</v>
      </c>
      <c r="AG14" s="11">
        <f t="shared" si="14"/>
        <v>11.388748371624354</v>
      </c>
      <c r="AH14" s="11">
        <f t="shared" si="15"/>
        <v>11.526097993421269</v>
      </c>
      <c r="AI14" s="11">
        <f t="shared" si="16"/>
        <v>11.003588278755842</v>
      </c>
      <c r="AJ14" s="11">
        <f t="shared" si="17"/>
        <v>10.289727640881022</v>
      </c>
      <c r="AK14" s="11"/>
      <c r="AL14" s="11">
        <f t="shared" si="18"/>
        <v>7.7869732138547816</v>
      </c>
      <c r="AM14" s="11">
        <f t="shared" si="19"/>
        <v>1.5182450508534493</v>
      </c>
      <c r="AN14" s="11">
        <f t="shared" si="20"/>
        <v>3.2254771589461564</v>
      </c>
      <c r="AO14" s="11">
        <f t="shared" si="21"/>
        <v>443.79790536580549</v>
      </c>
      <c r="AP14" s="11">
        <f t="shared" si="22"/>
        <v>21.066511466443739</v>
      </c>
      <c r="AQ14" s="11">
        <f t="shared" si="23"/>
        <v>0.79927378558316797</v>
      </c>
      <c r="AR14" s="11">
        <f t="shared" si="24"/>
        <v>0.93817173756360206</v>
      </c>
    </row>
    <row r="15" spans="1:44" ht="15" customHeight="1" x14ac:dyDescent="0.2">
      <c r="A15" s="6">
        <v>12</v>
      </c>
      <c r="B15" s="4"/>
      <c r="C15" s="5">
        <v>31.48910783973713</v>
      </c>
      <c r="D15" s="5">
        <v>65.662276847224916</v>
      </c>
      <c r="E15" s="5">
        <v>7.9788136827916301</v>
      </c>
      <c r="F15" s="5">
        <v>31.889740387946045</v>
      </c>
      <c r="G15" s="5">
        <v>6.791216719222021</v>
      </c>
      <c r="H15" s="5">
        <v>1.5165470732182773</v>
      </c>
      <c r="I15" s="5">
        <v>6.1967265847103494</v>
      </c>
      <c r="J15" s="5">
        <v>1.065263076208506</v>
      </c>
      <c r="K15" s="5">
        <v>6.6034023567563702</v>
      </c>
      <c r="L15" s="5">
        <v>1.3995832041602834</v>
      </c>
      <c r="M15" s="5">
        <v>3.9030189731920961</v>
      </c>
      <c r="N15" s="5">
        <v>0.56867860926940128</v>
      </c>
      <c r="O15" s="5">
        <v>3.8318935370590594</v>
      </c>
      <c r="P15" s="5">
        <v>0.59478868950948338</v>
      </c>
      <c r="R15" s="1">
        <f t="shared" si="0"/>
        <v>169.49105758100552</v>
      </c>
      <c r="S15" s="1">
        <f t="shared" si="1"/>
        <v>145.32770255014</v>
      </c>
      <c r="T15" s="1">
        <f t="shared" si="2"/>
        <v>24.163355030865549</v>
      </c>
      <c r="U15" s="1">
        <f t="shared" si="3"/>
        <v>6.0143842758798494</v>
      </c>
      <c r="V15" s="11"/>
      <c r="W15" s="11">
        <f t="shared" si="4"/>
        <v>88.95228203315574</v>
      </c>
      <c r="X15" s="11">
        <f t="shared" si="5"/>
        <v>70.302223605165864</v>
      </c>
      <c r="Y15" s="11">
        <f t="shared" si="6"/>
        <v>61.851268858849842</v>
      </c>
      <c r="Z15" s="11">
        <f t="shared" si="7"/>
        <v>47.174172171517817</v>
      </c>
      <c r="AA15" s="11">
        <f t="shared" si="8"/>
        <v>31.88364656911747</v>
      </c>
      <c r="AB15" s="11">
        <f t="shared" si="9"/>
        <v>18.956838415228464</v>
      </c>
      <c r="AC15" s="11">
        <f t="shared" si="10"/>
        <v>21.896560370001236</v>
      </c>
      <c r="AD15" s="11">
        <f t="shared" si="11"/>
        <v>20.099303324688794</v>
      </c>
      <c r="AE15" s="11">
        <f t="shared" si="12"/>
        <v>19.364816295473226</v>
      </c>
      <c r="AF15" s="11">
        <f t="shared" si="13"/>
        <v>17.068087855613211</v>
      </c>
      <c r="AG15" s="11">
        <f t="shared" si="14"/>
        <v>17.346750991964871</v>
      </c>
      <c r="AH15" s="11">
        <f t="shared" si="15"/>
        <v>16.725841449100038</v>
      </c>
      <c r="AI15" s="11">
        <f t="shared" si="16"/>
        <v>16.375613406235296</v>
      </c>
      <c r="AJ15" s="11">
        <f t="shared" si="17"/>
        <v>16.521908041930097</v>
      </c>
      <c r="AK15" s="11"/>
      <c r="AL15" s="11">
        <f t="shared" si="18"/>
        <v>5.4319969473195817</v>
      </c>
      <c r="AM15" s="11">
        <f t="shared" si="19"/>
        <v>1.3371444370849488</v>
      </c>
      <c r="AN15" s="11">
        <f t="shared" si="20"/>
        <v>2.7899030256882535</v>
      </c>
      <c r="AO15" s="11">
        <f t="shared" si="21"/>
        <v>698.1421919164635</v>
      </c>
      <c r="AP15" s="11">
        <f t="shared" si="22"/>
        <v>26.422380511915719</v>
      </c>
      <c r="AQ15" s="11">
        <f t="shared" si="23"/>
        <v>0.71745384208207452</v>
      </c>
      <c r="AR15" s="11">
        <f t="shared" si="24"/>
        <v>0.94779891630767454</v>
      </c>
    </row>
    <row r="16" spans="1:44" ht="15" customHeight="1" x14ac:dyDescent="0.2">
      <c r="A16" s="6">
        <v>13</v>
      </c>
      <c r="B16" s="4"/>
      <c r="C16" s="5">
        <v>27.48499836561043</v>
      </c>
      <c r="D16" s="5">
        <v>55.614170594059686</v>
      </c>
      <c r="E16" s="5">
        <v>6.774612949408529</v>
      </c>
      <c r="F16" s="5">
        <v>27.258159105572243</v>
      </c>
      <c r="G16" s="5">
        <v>5.4993871822918932</v>
      </c>
      <c r="H16" s="5">
        <v>1.3137353887759129</v>
      </c>
      <c r="I16" s="5">
        <v>4.8583447114480389</v>
      </c>
      <c r="J16" s="5">
        <v>0.82572494389836648</v>
      </c>
      <c r="K16" s="5">
        <v>5.0521986295158419</v>
      </c>
      <c r="L16" s="5">
        <v>1.0898715147242544</v>
      </c>
      <c r="M16" s="5">
        <v>2.9737287414796922</v>
      </c>
      <c r="N16" s="5">
        <v>0.45474645266275099</v>
      </c>
      <c r="O16" s="5">
        <v>3.0626228345249391</v>
      </c>
      <c r="P16" s="5">
        <v>0.47449434781093613</v>
      </c>
      <c r="R16" s="1">
        <f t="shared" si="0"/>
        <v>142.73679576178355</v>
      </c>
      <c r="S16" s="1">
        <f t="shared" si="1"/>
        <v>123.94506358571871</v>
      </c>
      <c r="T16" s="1">
        <f t="shared" si="2"/>
        <v>18.791732176064823</v>
      </c>
      <c r="U16" s="1">
        <f t="shared" si="3"/>
        <v>6.5957231842410202</v>
      </c>
      <c r="V16" s="11"/>
      <c r="W16" s="11">
        <f t="shared" si="4"/>
        <v>77.641238320933425</v>
      </c>
      <c r="X16" s="11">
        <f t="shared" si="5"/>
        <v>59.544079865160263</v>
      </c>
      <c r="Y16" s="11">
        <f t="shared" si="6"/>
        <v>52.51637945277929</v>
      </c>
      <c r="Z16" s="11">
        <f t="shared" si="7"/>
        <v>40.322720570373136</v>
      </c>
      <c r="AA16" s="11">
        <f t="shared" si="8"/>
        <v>25.81871916568964</v>
      </c>
      <c r="AB16" s="11">
        <f t="shared" si="9"/>
        <v>16.421692359698909</v>
      </c>
      <c r="AC16" s="11">
        <f t="shared" si="10"/>
        <v>17.16729580016975</v>
      </c>
      <c r="AD16" s="11">
        <f t="shared" si="11"/>
        <v>15.579715922610688</v>
      </c>
      <c r="AE16" s="11">
        <f t="shared" si="12"/>
        <v>14.815831758110972</v>
      </c>
      <c r="AF16" s="11">
        <f t="shared" si="13"/>
        <v>13.291116033222613</v>
      </c>
      <c r="AG16" s="11">
        <f t="shared" si="14"/>
        <v>13.216572184354188</v>
      </c>
      <c r="AH16" s="11">
        <f t="shared" si="15"/>
        <v>13.374895666551499</v>
      </c>
      <c r="AI16" s="11">
        <f t="shared" si="16"/>
        <v>13.088131771474098</v>
      </c>
      <c r="AJ16" s="11">
        <f t="shared" si="17"/>
        <v>13.180398550303783</v>
      </c>
      <c r="AK16" s="11"/>
      <c r="AL16" s="11">
        <f t="shared" si="18"/>
        <v>5.9321864782989424</v>
      </c>
      <c r="AM16" s="11">
        <f t="shared" si="19"/>
        <v>1.3116689302889117</v>
      </c>
      <c r="AN16" s="11">
        <f t="shared" si="20"/>
        <v>3.007168474263838</v>
      </c>
      <c r="AO16" s="11">
        <f t="shared" si="21"/>
        <v>443.23758909890597</v>
      </c>
      <c r="AP16" s="11">
        <f t="shared" si="22"/>
        <v>21.05320852266718</v>
      </c>
      <c r="AQ16" s="11">
        <f t="shared" si="23"/>
        <v>0.78000901107393228</v>
      </c>
      <c r="AR16" s="11">
        <f t="shared" si="24"/>
        <v>0.93249169583974301</v>
      </c>
    </row>
    <row r="17" spans="1:44" ht="15" customHeight="1" x14ac:dyDescent="0.2">
      <c r="A17" s="6">
        <v>14</v>
      </c>
      <c r="B17" s="4"/>
      <c r="C17" s="5">
        <v>27.089530763227547</v>
      </c>
      <c r="D17" s="5">
        <v>56.782787325292624</v>
      </c>
      <c r="E17" s="5">
        <v>6.9517012925531025</v>
      </c>
      <c r="F17" s="5">
        <v>26.837106261720077</v>
      </c>
      <c r="G17" s="5">
        <v>5.2766579517866985</v>
      </c>
      <c r="H17" s="5">
        <v>1.1250498913096336</v>
      </c>
      <c r="I17" s="5">
        <v>4.2465394429650605</v>
      </c>
      <c r="J17" s="5">
        <v>0.73711530958851823</v>
      </c>
      <c r="K17" s="5">
        <v>4.6217652773875093</v>
      </c>
      <c r="L17" s="5">
        <v>0.95951817708187492</v>
      </c>
      <c r="M17" s="5">
        <v>2.7245998708504096</v>
      </c>
      <c r="N17" s="5">
        <v>0.40072689565097708</v>
      </c>
      <c r="O17" s="5">
        <v>2.7310073938335386</v>
      </c>
      <c r="P17" s="5">
        <v>0.40957359197362497</v>
      </c>
      <c r="R17" s="1">
        <f t="shared" si="0"/>
        <v>140.89367944522118</v>
      </c>
      <c r="S17" s="1">
        <f t="shared" si="1"/>
        <v>124.06283348588968</v>
      </c>
      <c r="T17" s="1">
        <f t="shared" si="2"/>
        <v>16.830845959331516</v>
      </c>
      <c r="U17" s="1">
        <f t="shared" si="3"/>
        <v>7.3711585136994024</v>
      </c>
      <c r="V17" s="11"/>
      <c r="W17" s="11">
        <f t="shared" si="4"/>
        <v>76.524098201207764</v>
      </c>
      <c r="X17" s="11">
        <f t="shared" si="5"/>
        <v>60.795275508878611</v>
      </c>
      <c r="Y17" s="11">
        <f t="shared" si="6"/>
        <v>53.8891573066132</v>
      </c>
      <c r="Z17" s="11">
        <f t="shared" si="7"/>
        <v>39.699861333905439</v>
      </c>
      <c r="AA17" s="11">
        <f t="shared" si="8"/>
        <v>24.773042027167598</v>
      </c>
      <c r="AB17" s="11">
        <f t="shared" si="9"/>
        <v>14.063123641370421</v>
      </c>
      <c r="AC17" s="11">
        <f t="shared" si="10"/>
        <v>15.005439727791735</v>
      </c>
      <c r="AD17" s="11">
        <f t="shared" si="11"/>
        <v>13.907836029972042</v>
      </c>
      <c r="AE17" s="11">
        <f t="shared" si="12"/>
        <v>13.553563863306477</v>
      </c>
      <c r="AF17" s="11">
        <f t="shared" si="13"/>
        <v>11.701441183925304</v>
      </c>
      <c r="AG17" s="11">
        <f t="shared" si="14"/>
        <v>12.109332759335153</v>
      </c>
      <c r="AH17" s="11">
        <f t="shared" si="15"/>
        <v>11.786085166205208</v>
      </c>
      <c r="AI17" s="11">
        <f t="shared" si="16"/>
        <v>11.670971768519395</v>
      </c>
      <c r="AJ17" s="11">
        <f t="shared" si="17"/>
        <v>11.377044221489584</v>
      </c>
      <c r="AK17" s="11"/>
      <c r="AL17" s="11">
        <f t="shared" si="18"/>
        <v>6.5567889048981716</v>
      </c>
      <c r="AM17" s="11">
        <f t="shared" si="19"/>
        <v>1.2857061113168435</v>
      </c>
      <c r="AN17" s="11">
        <f t="shared" si="20"/>
        <v>3.0890069179750661</v>
      </c>
      <c r="AO17" s="11">
        <f t="shared" si="21"/>
        <v>371.73038901271497</v>
      </c>
      <c r="AP17" s="11">
        <f t="shared" si="22"/>
        <v>19.280310915872569</v>
      </c>
      <c r="AQ17" s="11">
        <f t="shared" si="23"/>
        <v>0.72940336401903749</v>
      </c>
      <c r="AR17" s="11">
        <f t="shared" si="24"/>
        <v>0.94671667048211827</v>
      </c>
    </row>
    <row r="18" spans="1:44" ht="15" customHeight="1" x14ac:dyDescent="0.2">
      <c r="A18" s="6">
        <v>15</v>
      </c>
      <c r="B18" s="4"/>
      <c r="C18" s="5">
        <v>17.667515136455339</v>
      </c>
      <c r="D18" s="5">
        <v>29.555016305284234</v>
      </c>
      <c r="E18" s="5">
        <v>3.1433180908161846</v>
      </c>
      <c r="F18" s="5">
        <v>10.706772315097886</v>
      </c>
      <c r="G18" s="5">
        <v>1.7423500259065443</v>
      </c>
      <c r="H18" s="5">
        <v>0.4288306760597258</v>
      </c>
      <c r="I18" s="5">
        <v>1.6234590634177672</v>
      </c>
      <c r="J18" s="5">
        <v>0.33009523111031402</v>
      </c>
      <c r="K18" s="5">
        <v>2.5774636765870773</v>
      </c>
      <c r="L18" s="5">
        <v>0.65274678849492207</v>
      </c>
      <c r="M18" s="5">
        <v>2.0236777705481819</v>
      </c>
      <c r="N18" s="5">
        <v>0.33001038465374588</v>
      </c>
      <c r="O18" s="5">
        <v>2.3135960978469794</v>
      </c>
      <c r="P18" s="5">
        <v>0.35610944010760398</v>
      </c>
      <c r="R18" s="1">
        <f t="shared" si="0"/>
        <v>73.450961002386506</v>
      </c>
      <c r="S18" s="1">
        <f t="shared" si="1"/>
        <v>63.243802549619922</v>
      </c>
      <c r="T18" s="1">
        <f t="shared" si="2"/>
        <v>10.207158452766592</v>
      </c>
      <c r="U18" s="1">
        <f t="shared" si="3"/>
        <v>6.1960243727261872</v>
      </c>
      <c r="V18" s="11"/>
      <c r="W18" s="11">
        <f t="shared" si="4"/>
        <v>49.908234848743902</v>
      </c>
      <c r="X18" s="11">
        <f t="shared" si="5"/>
        <v>31.643486408227229</v>
      </c>
      <c r="Y18" s="11">
        <f t="shared" si="6"/>
        <v>24.366806905551819</v>
      </c>
      <c r="Z18" s="11">
        <f t="shared" si="7"/>
        <v>15.838420584464329</v>
      </c>
      <c r="AA18" s="11">
        <f t="shared" si="8"/>
        <v>8.1800470699837771</v>
      </c>
      <c r="AB18" s="11">
        <f t="shared" si="9"/>
        <v>5.3603834507465722</v>
      </c>
      <c r="AC18" s="11">
        <f t="shared" si="10"/>
        <v>5.7366044643737366</v>
      </c>
      <c r="AD18" s="11">
        <f t="shared" si="11"/>
        <v>6.2282119077417741</v>
      </c>
      <c r="AE18" s="11">
        <f t="shared" si="12"/>
        <v>7.5585445061204606</v>
      </c>
      <c r="AF18" s="11">
        <f t="shared" si="13"/>
        <v>7.9603266889624642</v>
      </c>
      <c r="AG18" s="11">
        <f t="shared" si="14"/>
        <v>8.9941234246585857</v>
      </c>
      <c r="AH18" s="11">
        <f t="shared" si="15"/>
        <v>9.7061877839337019</v>
      </c>
      <c r="AI18" s="11">
        <f t="shared" si="16"/>
        <v>9.8871628113118764</v>
      </c>
      <c r="AJ18" s="11">
        <f t="shared" si="17"/>
        <v>9.8919288918778889</v>
      </c>
      <c r="AK18" s="11"/>
      <c r="AL18" s="11">
        <f t="shared" si="18"/>
        <v>5.0477812291756763</v>
      </c>
      <c r="AM18" s="11">
        <f t="shared" si="19"/>
        <v>0.58020734298119403</v>
      </c>
      <c r="AN18" s="11">
        <f t="shared" si="20"/>
        <v>6.1012160959170227</v>
      </c>
      <c r="AO18" s="11">
        <f t="shared" si="21"/>
        <v>46.925694540456242</v>
      </c>
      <c r="AP18" s="11">
        <f t="shared" si="22"/>
        <v>6.8502331741668652</v>
      </c>
      <c r="AQ18" s="11">
        <f t="shared" si="23"/>
        <v>0.78251109333931679</v>
      </c>
      <c r="AR18" s="11">
        <f t="shared" si="24"/>
        <v>0.90740028462852373</v>
      </c>
    </row>
    <row r="19" spans="1:44" ht="15" customHeight="1" x14ac:dyDescent="0.2">
      <c r="A19" s="6">
        <v>16</v>
      </c>
      <c r="B19" s="4"/>
      <c r="C19" s="5">
        <v>30.76737946538837</v>
      </c>
      <c r="D19" s="5">
        <v>60.678176429402406</v>
      </c>
      <c r="E19" s="5">
        <v>7.2871853203992121</v>
      </c>
      <c r="F19" s="5">
        <v>28.55139284026103</v>
      </c>
      <c r="G19" s="5">
        <v>5.4730646368685516</v>
      </c>
      <c r="H19" s="5">
        <v>1.256221627516138</v>
      </c>
      <c r="I19" s="5">
        <v>4.9546045418901414</v>
      </c>
      <c r="J19" s="5">
        <v>0.83740973084032455</v>
      </c>
      <c r="K19" s="5">
        <v>5.4456496411271811</v>
      </c>
      <c r="L19" s="5">
        <v>1.1780805401965411</v>
      </c>
      <c r="M19" s="5">
        <v>3.4611118098139637</v>
      </c>
      <c r="N19" s="5">
        <v>0.51662339978532834</v>
      </c>
      <c r="O19" s="5">
        <v>3.533054041087158</v>
      </c>
      <c r="P19" s="5">
        <v>0.50122642374394666</v>
      </c>
      <c r="R19" s="1">
        <f t="shared" ref="R19" si="25">SUM(C19:P19)</f>
        <v>154.4411804483203</v>
      </c>
      <c r="S19" s="1">
        <f t="shared" ref="S19" si="26">C19+D19+E19+F19+G19+H19</f>
        <v>134.01342031983572</v>
      </c>
      <c r="T19" s="1">
        <f t="shared" ref="T19" si="27">I19+J19+K19+L19+M19+N19+O19+P19</f>
        <v>20.427760128484586</v>
      </c>
      <c r="U19" s="1">
        <f t="shared" ref="U19" si="28">S19/T19</f>
        <v>6.5603580361689602</v>
      </c>
      <c r="V19" s="11"/>
      <c r="W19" s="11">
        <f t="shared" ref="W19" si="29">C19/0.354</f>
        <v>86.913501314656415</v>
      </c>
      <c r="X19" s="11">
        <f t="shared" ref="X19" si="30">D19/0.934</f>
        <v>64.965927654606432</v>
      </c>
      <c r="Y19" s="11">
        <f t="shared" ref="Y19" si="31">E19/0.129</f>
        <v>56.48980868526521</v>
      </c>
      <c r="Z19" s="11">
        <f t="shared" ref="Z19" si="32">F19/0.676</f>
        <v>42.23578822523821</v>
      </c>
      <c r="AA19" s="11">
        <f t="shared" ref="AA19" si="33">G19/0.213</f>
        <v>25.695139140227944</v>
      </c>
      <c r="AB19" s="11">
        <f t="shared" ref="AB19" si="34">H19/0.08</f>
        <v>15.702770343951725</v>
      </c>
      <c r="AC19" s="11">
        <f t="shared" ref="AC19" si="35">I19/0.283</f>
        <v>17.50743654378142</v>
      </c>
      <c r="AD19" s="11">
        <f t="shared" ref="AD19" si="36">J19/0.053</f>
        <v>15.800183600760841</v>
      </c>
      <c r="AE19" s="11">
        <f t="shared" ref="AE19" si="37">K19/0.341</f>
        <v>15.969647041428683</v>
      </c>
      <c r="AF19" s="11">
        <f t="shared" ref="AF19" si="38">L19/0.082</f>
        <v>14.366835856055378</v>
      </c>
      <c r="AG19" s="11">
        <f t="shared" ref="AG19" si="39">M19/0.225</f>
        <v>15.382719154728727</v>
      </c>
      <c r="AH19" s="11">
        <f t="shared" ref="AH19" si="40">N19/0.034</f>
        <v>15.194805876039068</v>
      </c>
      <c r="AI19" s="11">
        <f t="shared" ref="AI19" si="41">O19/0.234</f>
        <v>15.098521543107513</v>
      </c>
      <c r="AJ19" s="11">
        <f t="shared" ref="AJ19" si="42">P19/0.036</f>
        <v>13.922956215109631</v>
      </c>
      <c r="AK19" s="11"/>
      <c r="AL19" s="11">
        <f t="shared" ref="AL19" si="43">W19/AI19</f>
        <v>5.7564246318098942</v>
      </c>
      <c r="AM19" s="11">
        <f t="shared" ref="AM19" si="44">AC19/AI19</f>
        <v>1.1595464161041369</v>
      </c>
      <c r="AN19" s="11">
        <f t="shared" ref="AN19" si="45">W19/AA19</f>
        <v>3.3824880589413069</v>
      </c>
      <c r="AO19" s="11">
        <f t="shared" ref="AO19" si="46">AA19*AC19</f>
        <v>449.856017981175</v>
      </c>
      <c r="AP19" s="11">
        <f t="shared" ref="AP19" si="47">SQRT(AO19)</f>
        <v>21.209809475362455</v>
      </c>
      <c r="AQ19" s="11">
        <f t="shared" ref="AQ19" si="48">AB19/AP19</f>
        <v>0.74035414425538493</v>
      </c>
      <c r="AR19" s="11">
        <f t="shared" ref="AR19" si="49">X19/SQRT(W19*Y19)</f>
        <v>0.92716487278232362</v>
      </c>
    </row>
    <row r="20" spans="1:44" ht="15" customHeight="1" x14ac:dyDescent="0.25"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ht="15" customHeight="1" x14ac:dyDescent="0.2">
      <c r="A21" s="6" t="s">
        <v>108</v>
      </c>
      <c r="B21" s="4"/>
      <c r="C21" s="5">
        <f>MIN(C4:C19)</f>
        <v>17.667515136455339</v>
      </c>
      <c r="D21" s="5">
        <f t="shared" ref="D21:AR21" si="50">MIN(D4:D19)</f>
        <v>29.555016305284234</v>
      </c>
      <c r="E21" s="5">
        <f t="shared" si="50"/>
        <v>3.1433180908161846</v>
      </c>
      <c r="F21" s="5">
        <f t="shared" si="50"/>
        <v>10.706772315097886</v>
      </c>
      <c r="G21" s="5">
        <f t="shared" si="50"/>
        <v>1.7423500259065443</v>
      </c>
      <c r="H21" s="5">
        <f t="shared" si="50"/>
        <v>0.4288306760597258</v>
      </c>
      <c r="I21" s="5">
        <f t="shared" si="50"/>
        <v>1.6234590634177672</v>
      </c>
      <c r="J21" s="5">
        <f t="shared" si="50"/>
        <v>0.33009523111031402</v>
      </c>
      <c r="K21" s="5">
        <f t="shared" si="50"/>
        <v>2.5774636765870773</v>
      </c>
      <c r="L21" s="5">
        <f t="shared" si="50"/>
        <v>0.65274678849492207</v>
      </c>
      <c r="M21" s="5">
        <f t="shared" si="50"/>
        <v>2.0236777705481819</v>
      </c>
      <c r="N21" s="5">
        <f t="shared" si="50"/>
        <v>0.33001038465374588</v>
      </c>
      <c r="O21" s="5">
        <f t="shared" si="50"/>
        <v>2.3135960978469794</v>
      </c>
      <c r="P21" s="5">
        <f t="shared" si="50"/>
        <v>0.35610944010760398</v>
      </c>
      <c r="Q21" s="5"/>
      <c r="R21" s="5">
        <f t="shared" si="50"/>
        <v>73.450961002386506</v>
      </c>
      <c r="S21" s="5">
        <f t="shared" si="50"/>
        <v>63.243802549619922</v>
      </c>
      <c r="T21" s="5">
        <f t="shared" si="50"/>
        <v>10.207158452766592</v>
      </c>
      <c r="U21" s="5">
        <f t="shared" si="50"/>
        <v>6.0143842758798494</v>
      </c>
      <c r="V21" s="5"/>
      <c r="W21" s="5">
        <f t="shared" si="50"/>
        <v>49.908234848743902</v>
      </c>
      <c r="X21" s="5">
        <f t="shared" si="50"/>
        <v>31.643486408227229</v>
      </c>
      <c r="Y21" s="5">
        <f t="shared" si="50"/>
        <v>24.366806905551819</v>
      </c>
      <c r="Z21" s="5">
        <f t="shared" si="50"/>
        <v>15.838420584464329</v>
      </c>
      <c r="AA21" s="5">
        <f t="shared" si="50"/>
        <v>8.1800470699837771</v>
      </c>
      <c r="AB21" s="5">
        <f t="shared" si="50"/>
        <v>5.3603834507465722</v>
      </c>
      <c r="AC21" s="5">
        <f t="shared" si="50"/>
        <v>5.7366044643737366</v>
      </c>
      <c r="AD21" s="5">
        <f t="shared" si="50"/>
        <v>6.2282119077417741</v>
      </c>
      <c r="AE21" s="5">
        <f t="shared" si="50"/>
        <v>7.5585445061204606</v>
      </c>
      <c r="AF21" s="5">
        <f t="shared" si="50"/>
        <v>7.9603266889624642</v>
      </c>
      <c r="AG21" s="5">
        <f t="shared" si="50"/>
        <v>8.9941234246585857</v>
      </c>
      <c r="AH21" s="5">
        <f t="shared" si="50"/>
        <v>9.7061877839337019</v>
      </c>
      <c r="AI21" s="5">
        <f t="shared" si="50"/>
        <v>9.8871628113118764</v>
      </c>
      <c r="AJ21" s="5">
        <f t="shared" si="50"/>
        <v>9.8919288918778889</v>
      </c>
      <c r="AK21" s="5"/>
      <c r="AL21" s="5">
        <f t="shared" si="50"/>
        <v>5.0477812291756763</v>
      </c>
      <c r="AM21" s="5">
        <f t="shared" si="50"/>
        <v>0.58020734298119403</v>
      </c>
      <c r="AN21" s="5">
        <f t="shared" si="50"/>
        <v>2.5883065099534863</v>
      </c>
      <c r="AO21" s="5">
        <f t="shared" si="50"/>
        <v>46.925694540456242</v>
      </c>
      <c r="AP21" s="5">
        <f t="shared" si="50"/>
        <v>6.8502331741668652</v>
      </c>
      <c r="AQ21" s="5">
        <f t="shared" si="50"/>
        <v>0.63166128576171832</v>
      </c>
      <c r="AR21" s="5">
        <f t="shared" si="50"/>
        <v>0.90740028462852373</v>
      </c>
    </row>
    <row r="22" spans="1:44" ht="15" customHeight="1" x14ac:dyDescent="0.2">
      <c r="A22" s="6" t="s">
        <v>109</v>
      </c>
      <c r="B22" s="4"/>
      <c r="C22" s="5">
        <f>MAX(C4:C19)</f>
        <v>163.6247204859182</v>
      </c>
      <c r="D22" s="5">
        <f t="shared" ref="D22:AR22" si="51">MAX(D4:D19)</f>
        <v>336.5016895319452</v>
      </c>
      <c r="E22" s="5">
        <f t="shared" si="51"/>
        <v>37.778846537509075</v>
      </c>
      <c r="F22" s="5">
        <f t="shared" si="51"/>
        <v>140.15044659650604</v>
      </c>
      <c r="G22" s="5">
        <f t="shared" si="51"/>
        <v>25.97832752165132</v>
      </c>
      <c r="H22" s="5">
        <f t="shared" si="51"/>
        <v>4.8664714132613121</v>
      </c>
      <c r="I22" s="5">
        <f t="shared" si="51"/>
        <v>21.519625555566186</v>
      </c>
      <c r="J22" s="5">
        <f t="shared" si="51"/>
        <v>2.9241179322249939</v>
      </c>
      <c r="K22" s="5">
        <f t="shared" si="51"/>
        <v>13.478008543970686</v>
      </c>
      <c r="L22" s="5">
        <f t="shared" si="51"/>
        <v>2.1807231297315339</v>
      </c>
      <c r="M22" s="5">
        <f t="shared" si="51"/>
        <v>4.9153521617809277</v>
      </c>
      <c r="N22" s="5">
        <f t="shared" si="51"/>
        <v>0.58733991078255954</v>
      </c>
      <c r="O22" s="5">
        <f t="shared" si="51"/>
        <v>3.8318935370590594</v>
      </c>
      <c r="P22" s="5">
        <f t="shared" si="51"/>
        <v>0.59478868950948338</v>
      </c>
      <c r="Q22" s="5"/>
      <c r="R22" s="5">
        <f t="shared" si="51"/>
        <v>758.67386202729108</v>
      </c>
      <c r="S22" s="5">
        <f t="shared" si="51"/>
        <v>708.90050208679122</v>
      </c>
      <c r="T22" s="5">
        <f t="shared" si="51"/>
        <v>49.773359940499844</v>
      </c>
      <c r="U22" s="5">
        <f t="shared" si="51"/>
        <v>14.242568774425241</v>
      </c>
      <c r="V22" s="5"/>
      <c r="W22" s="5">
        <f t="shared" si="51"/>
        <v>462.21672453649211</v>
      </c>
      <c r="X22" s="5">
        <f t="shared" si="51"/>
        <v>360.28018151171864</v>
      </c>
      <c r="Y22" s="5">
        <f t="shared" si="51"/>
        <v>292.85927548456647</v>
      </c>
      <c r="Z22" s="5">
        <f t="shared" si="51"/>
        <v>207.32314585281958</v>
      </c>
      <c r="AA22" s="5">
        <f t="shared" si="51"/>
        <v>121.96397897488883</v>
      </c>
      <c r="AB22" s="5">
        <f t="shared" si="51"/>
        <v>60.830892665766399</v>
      </c>
      <c r="AC22" s="5">
        <f t="shared" si="51"/>
        <v>76.041079701647305</v>
      </c>
      <c r="AD22" s="5">
        <f t="shared" si="51"/>
        <v>55.172036457075357</v>
      </c>
      <c r="AE22" s="5">
        <f t="shared" si="51"/>
        <v>39.52495174184952</v>
      </c>
      <c r="AF22" s="5">
        <f t="shared" si="51"/>
        <v>26.594184508921145</v>
      </c>
      <c r="AG22" s="5">
        <f t="shared" si="51"/>
        <v>21.846009607915235</v>
      </c>
      <c r="AH22" s="5">
        <f t="shared" si="51"/>
        <v>17.274703258310574</v>
      </c>
      <c r="AI22" s="5">
        <f t="shared" si="51"/>
        <v>16.375613406235296</v>
      </c>
      <c r="AJ22" s="5">
        <f t="shared" si="51"/>
        <v>16.521908041930097</v>
      </c>
      <c r="AK22" s="5"/>
      <c r="AL22" s="5">
        <f t="shared" si="51"/>
        <v>29.564696932516988</v>
      </c>
      <c r="AM22" s="5">
        <f t="shared" si="51"/>
        <v>4.8638038315359173</v>
      </c>
      <c r="AN22" s="5">
        <f t="shared" si="51"/>
        <v>6.1012160959170227</v>
      </c>
      <c r="AO22" s="5">
        <f t="shared" si="51"/>
        <v>9274.2726459595578</v>
      </c>
      <c r="AP22" s="5">
        <f t="shared" si="51"/>
        <v>96.303025113230774</v>
      </c>
      <c r="AQ22" s="5">
        <f t="shared" si="51"/>
        <v>0.81457580010839181</v>
      </c>
      <c r="AR22" s="5">
        <f t="shared" si="51"/>
        <v>0.97923753780506906</v>
      </c>
    </row>
    <row r="23" spans="1:44" ht="15" customHeight="1" x14ac:dyDescent="0.2">
      <c r="A23" s="6" t="s">
        <v>110</v>
      </c>
      <c r="B23" s="4"/>
      <c r="C23" s="5">
        <f>AVERAGE(C4:C19)</f>
        <v>36.149446366567922</v>
      </c>
      <c r="D23" s="5">
        <f t="shared" ref="D23:AR23" si="52">AVERAGE(D4:D19)</f>
        <v>73.570416137427287</v>
      </c>
      <c r="E23" s="5">
        <f t="shared" si="52"/>
        <v>8.750685200671434</v>
      </c>
      <c r="F23" s="5">
        <f t="shared" si="52"/>
        <v>33.840242624421919</v>
      </c>
      <c r="G23" s="5">
        <f t="shared" si="52"/>
        <v>6.6758657569461786</v>
      </c>
      <c r="H23" s="5">
        <f t="shared" si="52"/>
        <v>1.4607990853305128</v>
      </c>
      <c r="I23" s="5">
        <f t="shared" si="52"/>
        <v>5.7295424557137018</v>
      </c>
      <c r="J23" s="5">
        <f t="shared" si="52"/>
        <v>0.92589764861952761</v>
      </c>
      <c r="K23" s="5">
        <f t="shared" si="52"/>
        <v>5.4363398505456457</v>
      </c>
      <c r="L23" s="5">
        <f t="shared" si="52"/>
        <v>1.1167017599720748</v>
      </c>
      <c r="M23" s="5">
        <f t="shared" si="52"/>
        <v>3.0622090348182667</v>
      </c>
      <c r="N23" s="5">
        <f t="shared" si="52"/>
        <v>0.45259794755432814</v>
      </c>
      <c r="O23" s="5">
        <f t="shared" si="52"/>
        <v>3.0155676638890405</v>
      </c>
      <c r="P23" s="5">
        <f t="shared" si="52"/>
        <v>0.44973137568549115</v>
      </c>
      <c r="Q23" s="5"/>
      <c r="R23" s="5">
        <f t="shared" si="52"/>
        <v>180.63604290816335</v>
      </c>
      <c r="S23" s="5">
        <f t="shared" si="52"/>
        <v>160.44745517136531</v>
      </c>
      <c r="T23" s="5">
        <f t="shared" si="52"/>
        <v>20.188587736798077</v>
      </c>
      <c r="U23" s="5">
        <f t="shared" si="52"/>
        <v>7.3188982096875561</v>
      </c>
      <c r="V23" s="5"/>
      <c r="W23" s="5">
        <f t="shared" si="52"/>
        <v>102.11708013154782</v>
      </c>
      <c r="X23" s="5">
        <f t="shared" si="52"/>
        <v>78.7691821599864</v>
      </c>
      <c r="Y23" s="5">
        <f t="shared" si="52"/>
        <v>67.834768997452983</v>
      </c>
      <c r="Z23" s="5">
        <f t="shared" si="52"/>
        <v>50.059530509499879</v>
      </c>
      <c r="AA23" s="5">
        <f t="shared" si="52"/>
        <v>31.342092755615859</v>
      </c>
      <c r="AB23" s="5">
        <f t="shared" si="52"/>
        <v>18.25998856663141</v>
      </c>
      <c r="AC23" s="5">
        <f t="shared" si="52"/>
        <v>20.245733059059017</v>
      </c>
      <c r="AD23" s="5">
        <f t="shared" si="52"/>
        <v>17.469766955085422</v>
      </c>
      <c r="AE23" s="5">
        <f t="shared" si="52"/>
        <v>15.942345602773154</v>
      </c>
      <c r="AF23" s="5">
        <f t="shared" si="52"/>
        <v>13.618314146000911</v>
      </c>
      <c r="AG23" s="5">
        <f t="shared" si="52"/>
        <v>13.609817932525633</v>
      </c>
      <c r="AH23" s="5">
        <f t="shared" si="52"/>
        <v>13.311704339833179</v>
      </c>
      <c r="AI23" s="5">
        <f t="shared" si="52"/>
        <v>12.887041298671114</v>
      </c>
      <c r="AJ23" s="5">
        <f t="shared" si="52"/>
        <v>12.492538213485865</v>
      </c>
      <c r="AK23" s="5"/>
      <c r="AL23" s="5">
        <f t="shared" si="52"/>
        <v>7.6470497819065049</v>
      </c>
      <c r="AM23" s="5">
        <f t="shared" si="52"/>
        <v>1.5135286840799769</v>
      </c>
      <c r="AN23" s="5">
        <f t="shared" si="52"/>
        <v>3.284360116888096</v>
      </c>
      <c r="AO23" s="5">
        <f t="shared" si="52"/>
        <v>991.33000357172511</v>
      </c>
      <c r="AP23" s="5">
        <f t="shared" si="52"/>
        <v>25.180826589473696</v>
      </c>
      <c r="AQ23" s="5">
        <f t="shared" si="52"/>
        <v>0.74779211750135743</v>
      </c>
      <c r="AR23" s="5">
        <f t="shared" si="52"/>
        <v>0.93664887851014555</v>
      </c>
    </row>
    <row r="24" spans="1:44" ht="15" customHeight="1" x14ac:dyDescent="0.25"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ht="15" customHeight="1" x14ac:dyDescent="0.2">
      <c r="B25" s="12" t="s">
        <v>152</v>
      </c>
      <c r="C25" s="5">
        <v>31.1</v>
      </c>
      <c r="D25" s="5">
        <v>67033</v>
      </c>
      <c r="E25" s="5" t="s">
        <v>153</v>
      </c>
      <c r="F25" s="5">
        <v>30.4</v>
      </c>
      <c r="G25" s="5">
        <v>5.98</v>
      </c>
      <c r="H25" s="5">
        <v>1253</v>
      </c>
      <c r="I25" s="5">
        <v>5.5</v>
      </c>
      <c r="J25" s="5">
        <v>0.85</v>
      </c>
      <c r="K25" s="5">
        <v>5.54</v>
      </c>
      <c r="L25" s="5" t="s">
        <v>153</v>
      </c>
      <c r="M25" s="5">
        <v>3275</v>
      </c>
      <c r="N25" s="5" t="s">
        <v>153</v>
      </c>
      <c r="O25" s="5">
        <v>3113</v>
      </c>
      <c r="P25" s="5">
        <v>0.45600000000000002</v>
      </c>
      <c r="U25" s="78" t="s">
        <v>165</v>
      </c>
      <c r="V25" s="78"/>
      <c r="W25" s="5">
        <f>W23</f>
        <v>102.11708013154782</v>
      </c>
      <c r="X25" s="5">
        <f t="shared" ref="X25:AJ25" si="53">X23</f>
        <v>78.7691821599864</v>
      </c>
      <c r="Y25" s="5">
        <f t="shared" si="53"/>
        <v>67.834768997452983</v>
      </c>
      <c r="Z25" s="5">
        <f t="shared" si="53"/>
        <v>50.059530509499879</v>
      </c>
      <c r="AA25" s="5">
        <f t="shared" si="53"/>
        <v>31.342092755615859</v>
      </c>
      <c r="AB25" s="5">
        <f t="shared" si="53"/>
        <v>18.25998856663141</v>
      </c>
      <c r="AC25" s="5">
        <f t="shared" si="53"/>
        <v>20.245733059059017</v>
      </c>
      <c r="AD25" s="5">
        <f t="shared" si="53"/>
        <v>17.469766955085422</v>
      </c>
      <c r="AE25" s="5">
        <f t="shared" si="53"/>
        <v>15.942345602773154</v>
      </c>
      <c r="AF25" s="5">
        <f t="shared" si="53"/>
        <v>13.618314146000911</v>
      </c>
      <c r="AG25" s="5">
        <f t="shared" si="53"/>
        <v>13.609817932525633</v>
      </c>
      <c r="AH25" s="5">
        <f t="shared" si="53"/>
        <v>13.311704339833179</v>
      </c>
      <c r="AI25" s="5">
        <f t="shared" si="53"/>
        <v>12.887041298671114</v>
      </c>
      <c r="AJ25" s="5">
        <f t="shared" si="53"/>
        <v>12.492538213485865</v>
      </c>
      <c r="AK25" s="11"/>
      <c r="AL25" s="11"/>
      <c r="AM25" s="11"/>
      <c r="AN25" s="11"/>
      <c r="AO25" s="11"/>
      <c r="AP25" s="11"/>
      <c r="AQ25" s="11"/>
      <c r="AR25" s="11"/>
    </row>
    <row r="26" spans="1:44" ht="15" customHeight="1" x14ac:dyDescent="0.2">
      <c r="B26" s="12" t="s">
        <v>126</v>
      </c>
      <c r="C26" s="5">
        <v>38.200000000000003</v>
      </c>
      <c r="D26" s="5">
        <v>79.599999999999994</v>
      </c>
      <c r="E26" s="5">
        <v>8.83</v>
      </c>
      <c r="F26" s="5">
        <v>33.9</v>
      </c>
      <c r="G26" s="5">
        <v>5.55</v>
      </c>
      <c r="H26" s="5">
        <v>1.08</v>
      </c>
      <c r="I26" s="5">
        <v>4.66</v>
      </c>
      <c r="J26" s="5">
        <v>0.77400000000000002</v>
      </c>
      <c r="K26" s="5">
        <v>4.68</v>
      </c>
      <c r="L26" s="5">
        <v>0.99099999999999999</v>
      </c>
      <c r="M26" s="5">
        <v>2.85</v>
      </c>
      <c r="N26" s="5">
        <v>0.40500000000000003</v>
      </c>
      <c r="O26" s="5">
        <v>2.82</v>
      </c>
      <c r="P26" s="5">
        <v>0.433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ht="15" customHeight="1" x14ac:dyDescent="0.2">
      <c r="B27" s="12" t="s">
        <v>154</v>
      </c>
      <c r="C27" s="5">
        <v>30</v>
      </c>
      <c r="D27" s="5">
        <v>64</v>
      </c>
      <c r="E27" s="5">
        <v>7.1</v>
      </c>
      <c r="F27" s="5">
        <v>26</v>
      </c>
      <c r="G27" s="5">
        <v>4.5</v>
      </c>
      <c r="H27" s="5">
        <v>0.88</v>
      </c>
      <c r="I27" s="5">
        <v>3.8</v>
      </c>
      <c r="J27" s="5">
        <v>0.64</v>
      </c>
      <c r="K27" s="5">
        <v>3.5</v>
      </c>
      <c r="L27" s="5">
        <v>0.8</v>
      </c>
      <c r="M27" s="5">
        <v>2.2999999999999998</v>
      </c>
      <c r="N27" s="5">
        <v>0.33</v>
      </c>
      <c r="O27" s="5">
        <v>2.2000000000000002</v>
      </c>
      <c r="P27" s="5">
        <v>0.32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ht="15" customHeight="1" x14ac:dyDescent="0.2">
      <c r="B28" s="12" t="s">
        <v>155</v>
      </c>
      <c r="C28" s="5">
        <v>2.5</v>
      </c>
      <c r="D28" s="5">
        <v>7.5</v>
      </c>
      <c r="E28" s="5">
        <v>1.32</v>
      </c>
      <c r="F28" s="5">
        <v>7.3</v>
      </c>
      <c r="G28" s="5">
        <v>2.63</v>
      </c>
      <c r="H28" s="5">
        <v>1.02</v>
      </c>
      <c r="I28" s="5">
        <v>3.68</v>
      </c>
      <c r="J28" s="5">
        <v>0.67</v>
      </c>
      <c r="K28" s="5">
        <v>4.55</v>
      </c>
      <c r="L28" s="5">
        <v>1.01</v>
      </c>
      <c r="M28" s="5">
        <v>2.97</v>
      </c>
      <c r="N28" s="5">
        <v>0.45600000000000002</v>
      </c>
      <c r="O28" s="5">
        <v>3.05</v>
      </c>
      <c r="P28" s="5">
        <v>0.45500000000000002</v>
      </c>
      <c r="V28" s="11"/>
      <c r="W28" s="11"/>
      <c r="X28" s="11"/>
      <c r="Y28" s="11"/>
      <c r="Z28" s="11"/>
      <c r="AC28" s="12" t="s">
        <v>39</v>
      </c>
      <c r="AD28" s="12" t="s">
        <v>40</v>
      </c>
      <c r="AE28" s="16" t="s">
        <v>38</v>
      </c>
      <c r="AF28" s="12" t="s">
        <v>42</v>
      </c>
      <c r="AG28" s="16" t="s">
        <v>37</v>
      </c>
      <c r="AH28" s="16" t="s">
        <v>41</v>
      </c>
      <c r="AI28" s="16" t="s">
        <v>43</v>
      </c>
      <c r="AJ28" s="16" t="s">
        <v>49</v>
      </c>
      <c r="AL28" s="17" t="s">
        <v>145</v>
      </c>
      <c r="AM28" s="17" t="s">
        <v>146</v>
      </c>
      <c r="AN28" s="17" t="s">
        <v>147</v>
      </c>
      <c r="AO28" s="17" t="s">
        <v>148</v>
      </c>
      <c r="AP28" s="17" t="s">
        <v>149</v>
      </c>
      <c r="AQ28" s="17" t="s">
        <v>150</v>
      </c>
      <c r="AR28" s="17" t="s">
        <v>151</v>
      </c>
    </row>
    <row r="29" spans="1:44" ht="15" customHeight="1" x14ac:dyDescent="0.2">
      <c r="B29" s="12" t="s">
        <v>156</v>
      </c>
      <c r="C29" s="5">
        <v>16.3</v>
      </c>
      <c r="D29" s="5">
        <v>37.51</v>
      </c>
      <c r="E29" s="5">
        <v>4.66</v>
      </c>
      <c r="F29" s="5">
        <v>17.28</v>
      </c>
      <c r="G29" s="5">
        <v>4.1399999999999997</v>
      </c>
      <c r="H29" s="5">
        <v>0.35</v>
      </c>
      <c r="I29" s="5">
        <v>3.09</v>
      </c>
      <c r="J29" s="5">
        <v>0.49</v>
      </c>
      <c r="K29" s="5">
        <v>2.4500000000000002</v>
      </c>
      <c r="L29" s="5">
        <v>0.37</v>
      </c>
      <c r="M29" s="5">
        <v>0.82</v>
      </c>
      <c r="N29" s="5">
        <v>0.12</v>
      </c>
      <c r="O29" s="5">
        <v>0.69</v>
      </c>
      <c r="P29" s="5">
        <v>0.09</v>
      </c>
      <c r="V29" s="11"/>
      <c r="W29" s="11"/>
      <c r="X29" s="11"/>
      <c r="Y29" s="11"/>
      <c r="Z29" s="11"/>
      <c r="AL29" s="17"/>
      <c r="AM29" s="17"/>
      <c r="AN29" s="17"/>
      <c r="AO29" s="17"/>
      <c r="AP29" s="17"/>
      <c r="AQ29" s="17"/>
      <c r="AR29" s="17"/>
    </row>
    <row r="30" spans="1:44" ht="15" customHeight="1" x14ac:dyDescent="0.2">
      <c r="B30" s="12" t="s">
        <v>157</v>
      </c>
      <c r="C30" s="5">
        <v>37</v>
      </c>
      <c r="D30" s="5">
        <v>80</v>
      </c>
      <c r="E30" s="5">
        <v>9.6999999999999993</v>
      </c>
      <c r="F30" s="5">
        <v>38.5</v>
      </c>
      <c r="G30" s="5">
        <v>10</v>
      </c>
      <c r="H30" s="5">
        <v>3</v>
      </c>
      <c r="I30" s="5">
        <v>7.62</v>
      </c>
      <c r="J30" s="5">
        <v>1.05</v>
      </c>
      <c r="K30" s="5">
        <v>5.6</v>
      </c>
      <c r="L30" s="5">
        <v>1.06</v>
      </c>
      <c r="M30" s="5">
        <v>2.62</v>
      </c>
      <c r="N30" s="5">
        <v>0.35</v>
      </c>
      <c r="O30" s="5">
        <v>2.16</v>
      </c>
      <c r="P30" s="5">
        <v>0.3</v>
      </c>
      <c r="V30" s="11"/>
      <c r="W30" s="11"/>
      <c r="X30" s="11"/>
      <c r="Y30" s="11"/>
      <c r="Z30" s="11"/>
      <c r="AA30" s="16" t="s">
        <v>154</v>
      </c>
      <c r="AC30" s="11">
        <f>7.1/0.129</f>
        <v>55.038759689922479</v>
      </c>
      <c r="AD30" s="11">
        <f>26/0.676</f>
        <v>38.46153846153846</v>
      </c>
      <c r="AE30" s="11">
        <f>64/0.934</f>
        <v>68.522483940042818</v>
      </c>
      <c r="AF30" s="11">
        <f>0.88/0.08</f>
        <v>11</v>
      </c>
      <c r="AG30" s="11">
        <f>30/0.354</f>
        <v>84.745762711864415</v>
      </c>
      <c r="AH30" s="11">
        <f>4.5/0.213</f>
        <v>21.126760563380284</v>
      </c>
      <c r="AI30" s="11">
        <f>3.8/0.283</f>
        <v>13.427561837455832</v>
      </c>
      <c r="AJ30" s="11">
        <f>2.2/0.234</f>
        <v>9.4017094017094021</v>
      </c>
      <c r="AL30" s="11">
        <f>AG30/AJ30</f>
        <v>9.0138674884437595</v>
      </c>
      <c r="AM30" s="11">
        <f>AI30/AJ30</f>
        <v>1.4282043045293928</v>
      </c>
      <c r="AN30" s="11">
        <f>AG30/AH30</f>
        <v>4.0112994350282483</v>
      </c>
      <c r="AO30" s="11">
        <f>AH30*AI30</f>
        <v>283.68088388991197</v>
      </c>
      <c r="AP30" s="11">
        <f>SQRT(AO30)</f>
        <v>16.842828856516711</v>
      </c>
      <c r="AQ30" s="11">
        <f>AF30/AP30</f>
        <v>0.65309694076384062</v>
      </c>
      <c r="AR30" s="1">
        <f>AE30/SQRT(AG30*AC30)</f>
        <v>1.0033207224468561</v>
      </c>
    </row>
    <row r="31" spans="1:44" ht="15" customHeight="1" x14ac:dyDescent="0.2">
      <c r="B31" s="12" t="s">
        <v>158</v>
      </c>
      <c r="C31" s="5">
        <v>0.35399999999999998</v>
      </c>
      <c r="D31" s="5">
        <v>0.93400000000000005</v>
      </c>
      <c r="E31" s="5">
        <v>0.129</v>
      </c>
      <c r="F31" s="5">
        <v>0.67600000000000005</v>
      </c>
      <c r="G31" s="5">
        <v>0.21299999999999999</v>
      </c>
      <c r="H31" s="5">
        <v>0.08</v>
      </c>
      <c r="I31" s="5">
        <v>0.28299999999999997</v>
      </c>
      <c r="J31" s="5">
        <v>5.2999999999999999E-2</v>
      </c>
      <c r="K31" s="5">
        <v>0.34100000000000003</v>
      </c>
      <c r="L31" s="5">
        <v>8.2000000000000003E-2</v>
      </c>
      <c r="M31" s="5">
        <v>0.22500000000000001</v>
      </c>
      <c r="N31" s="5">
        <v>3.4000000000000002E-2</v>
      </c>
      <c r="O31" s="5">
        <v>0.23400000000000001</v>
      </c>
      <c r="P31" s="5">
        <v>3.5999999999999997E-2</v>
      </c>
      <c r="V31" s="11"/>
      <c r="W31" s="11"/>
      <c r="X31" s="11"/>
      <c r="Y31" s="11"/>
      <c r="Z31" s="11"/>
      <c r="AL31" s="17"/>
      <c r="AM31" s="17"/>
      <c r="AN31" s="17"/>
      <c r="AO31" s="17"/>
      <c r="AP31" s="17"/>
      <c r="AQ31" s="17"/>
      <c r="AR31" s="17"/>
    </row>
    <row r="32" spans="1:44" ht="15" customHeight="1" x14ac:dyDescent="0.2">
      <c r="B32" s="1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V32" s="11"/>
      <c r="W32" s="11"/>
      <c r="X32" s="11"/>
      <c r="Y32" s="11"/>
      <c r="Z32" s="11"/>
    </row>
    <row r="33" spans="1:44" ht="15" customHeight="1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ht="15" customHeight="1" x14ac:dyDescent="0.2">
      <c r="B34" s="12" t="s">
        <v>159</v>
      </c>
      <c r="C34" s="5">
        <f>31.1/0.354</f>
        <v>87.853107344632775</v>
      </c>
      <c r="D34" s="5">
        <f>67.033/0.934</f>
        <v>71.769807280513916</v>
      </c>
      <c r="E34" s="5" t="s">
        <v>153</v>
      </c>
      <c r="F34" s="5">
        <f>30.4/0.676</f>
        <v>44.970414201183424</v>
      </c>
      <c r="G34" s="5">
        <f>5.98/0.213</f>
        <v>28.07511737089202</v>
      </c>
      <c r="H34" s="5">
        <f>1.253/0.08</f>
        <v>15.662499999999998</v>
      </c>
      <c r="I34" s="5">
        <f>5.5/0.283</f>
        <v>19.434628975265021</v>
      </c>
      <c r="J34" s="5">
        <f>0.85/0.053</f>
        <v>16.037735849056602</v>
      </c>
      <c r="K34" s="5">
        <f>5.54/0.341</f>
        <v>16.24633431085044</v>
      </c>
      <c r="L34" s="5" t="s">
        <v>153</v>
      </c>
      <c r="M34" s="5">
        <f>3.275/0.225</f>
        <v>14.555555555555555</v>
      </c>
      <c r="N34" s="5" t="s">
        <v>153</v>
      </c>
      <c r="O34" s="5">
        <f>3.113/0.234</f>
        <v>13.303418803418802</v>
      </c>
      <c r="P34" s="5">
        <f>0.456/0.036</f>
        <v>12.666666666666668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ht="15" customHeight="1" x14ac:dyDescent="0.2">
      <c r="B35" s="12" t="s">
        <v>160</v>
      </c>
      <c r="C35" s="5">
        <f>38.2/0.354</f>
        <v>107.90960451977402</v>
      </c>
      <c r="D35" s="5">
        <f>79.6/0.934</f>
        <v>85.224839400428252</v>
      </c>
      <c r="E35" s="5">
        <f>8.83/0.129</f>
        <v>68.449612403100772</v>
      </c>
      <c r="F35" s="5">
        <f>33.9/0.676</f>
        <v>50.147928994082832</v>
      </c>
      <c r="G35" s="5">
        <f>5.55/0.213</f>
        <v>26.056338028169012</v>
      </c>
      <c r="H35" s="5">
        <f>1.08/0.08</f>
        <v>13.5</v>
      </c>
      <c r="I35" s="5">
        <f>4.66/0.283</f>
        <v>16.466431095406364</v>
      </c>
      <c r="J35" s="5">
        <f>0.774/0.053</f>
        <v>14.603773584905662</v>
      </c>
      <c r="K35" s="5">
        <f>4.68/0.341</f>
        <v>13.724340175953078</v>
      </c>
      <c r="L35" s="5">
        <f>0.991/0.082</f>
        <v>12.085365853658535</v>
      </c>
      <c r="M35" s="5">
        <f>2.85/0.225</f>
        <v>12.666666666666666</v>
      </c>
      <c r="N35" s="5">
        <f>0.405/0.034</f>
        <v>11.911764705882353</v>
      </c>
      <c r="O35" s="5">
        <f>2.82/0.234</f>
        <v>12.051282051282049</v>
      </c>
      <c r="P35" s="5">
        <f>0.433/0.036</f>
        <v>12.027777777777779</v>
      </c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ht="15" customHeight="1" x14ac:dyDescent="0.2">
      <c r="B36" s="12" t="s">
        <v>161</v>
      </c>
      <c r="C36" s="5">
        <f>30/0.354</f>
        <v>84.745762711864415</v>
      </c>
      <c r="D36" s="5">
        <f>64/0.934</f>
        <v>68.522483940042818</v>
      </c>
      <c r="E36" s="5">
        <f>7.1/0.129</f>
        <v>55.038759689922479</v>
      </c>
      <c r="F36" s="5">
        <f>26/0.676</f>
        <v>38.46153846153846</v>
      </c>
      <c r="G36" s="5">
        <f>4.5/0.213</f>
        <v>21.126760563380284</v>
      </c>
      <c r="H36" s="5">
        <f>0.88/0.08</f>
        <v>11</v>
      </c>
      <c r="I36" s="5">
        <f>3.8/0.283</f>
        <v>13.427561837455832</v>
      </c>
      <c r="J36" s="5">
        <f>0.64/0.053</f>
        <v>12.075471698113208</v>
      </c>
      <c r="K36" s="5">
        <f>3.5/0.341</f>
        <v>10.263929618768328</v>
      </c>
      <c r="L36" s="5">
        <f>0.8/0.082</f>
        <v>9.7560975609756095</v>
      </c>
      <c r="M36" s="5">
        <f>2.3/0.225</f>
        <v>10.222222222222221</v>
      </c>
      <c r="N36" s="5">
        <f>0.33/0.034</f>
        <v>9.7058823529411757</v>
      </c>
      <c r="O36" s="5">
        <f>2.2/0.234</f>
        <v>9.4017094017094021</v>
      </c>
      <c r="P36" s="5">
        <f>0.32/0.036</f>
        <v>8.8888888888888893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ht="15" customHeight="1" x14ac:dyDescent="0.2">
      <c r="B37" s="12" t="s">
        <v>162</v>
      </c>
      <c r="C37" s="5">
        <f>2.5/0.354</f>
        <v>7.0621468926553677</v>
      </c>
      <c r="D37" s="5">
        <f>7.5/0.934</f>
        <v>8.0299785867237681</v>
      </c>
      <c r="E37" s="5">
        <f>1.32/0.129</f>
        <v>10.232558139534884</v>
      </c>
      <c r="F37" s="5">
        <f>7.3/0.676</f>
        <v>10.798816568047336</v>
      </c>
      <c r="G37" s="5">
        <f>2.63/0.213</f>
        <v>12.347417840375586</v>
      </c>
      <c r="H37" s="5">
        <f>1.02/0.08</f>
        <v>12.75</v>
      </c>
      <c r="I37" s="5">
        <f>3.68/0.283</f>
        <v>13.003533568904595</v>
      </c>
      <c r="J37" s="5">
        <f>0.67/0.053</f>
        <v>12.641509433962264</v>
      </c>
      <c r="K37" s="5">
        <f>4.55/0.341</f>
        <v>13.343108504398826</v>
      </c>
      <c r="L37" s="5">
        <f>1.01/0.082</f>
        <v>12.317073170731707</v>
      </c>
      <c r="M37" s="5">
        <f>2.97/0.225</f>
        <v>13.200000000000001</v>
      </c>
      <c r="N37" s="5">
        <f>0.456/0.034</f>
        <v>13.411764705882353</v>
      </c>
      <c r="O37" s="5">
        <f>3.05/0.234</f>
        <v>13.034188034188032</v>
      </c>
      <c r="P37" s="5">
        <f>0.455/0.036</f>
        <v>12.638888888888891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ht="15" customHeight="1" x14ac:dyDescent="0.2">
      <c r="B38" s="12" t="s">
        <v>163</v>
      </c>
      <c r="C38" s="5">
        <f>16.3/0.354</f>
        <v>46.045197740112997</v>
      </c>
      <c r="D38" s="5">
        <f>37.51/0.934</f>
        <v>40.160599571734473</v>
      </c>
      <c r="E38" s="5">
        <f>4.66/0.129</f>
        <v>36.124031007751938</v>
      </c>
      <c r="F38" s="5">
        <f>17.28/0.676</f>
        <v>25.562130177514792</v>
      </c>
      <c r="G38" s="5">
        <f>4.14/0.213</f>
        <v>19.436619718309856</v>
      </c>
      <c r="H38" s="5">
        <f>0.35/0.08</f>
        <v>4.375</v>
      </c>
      <c r="I38" s="5">
        <f>3.09/0.283</f>
        <v>10.918727915194347</v>
      </c>
      <c r="J38" s="5">
        <f>0.49/0.053</f>
        <v>9.2452830188679247</v>
      </c>
      <c r="K38" s="5">
        <f>2.45/0.341</f>
        <v>7.1847507331378297</v>
      </c>
      <c r="L38" s="5">
        <f>0.37/0.082</f>
        <v>4.5121951219512191</v>
      </c>
      <c r="M38" s="5">
        <f>0.82/0.225</f>
        <v>3.6444444444444439</v>
      </c>
      <c r="N38" s="5">
        <f>0.12/0.034</f>
        <v>3.5294117647058818</v>
      </c>
      <c r="O38" s="5">
        <f>0.69/0.234</f>
        <v>2.9487179487179485</v>
      </c>
      <c r="P38" s="5">
        <f>0.09/0.036</f>
        <v>2.5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ht="15" customHeight="1" x14ac:dyDescent="0.2">
      <c r="B39" s="12" t="s">
        <v>164</v>
      </c>
      <c r="C39" s="5">
        <f>37/0.354</f>
        <v>104.51977401129945</v>
      </c>
      <c r="D39" s="5">
        <f>80/0.934</f>
        <v>85.653104925053526</v>
      </c>
      <c r="E39" s="5">
        <f>9.7/0.129</f>
        <v>75.193798449612402</v>
      </c>
      <c r="F39" s="5">
        <f>38.5/0.676</f>
        <v>56.952662721893489</v>
      </c>
      <c r="G39" s="5">
        <f>10/0.213</f>
        <v>46.948356807511736</v>
      </c>
      <c r="H39" s="5">
        <f>3/0.08</f>
        <v>37.5</v>
      </c>
      <c r="I39" s="5">
        <f>7.62/0.283</f>
        <v>26.925795053003537</v>
      </c>
      <c r="J39" s="5">
        <f>1.05/0.053</f>
        <v>19.811320754716984</v>
      </c>
      <c r="K39" s="5">
        <f>5.6/0.341</f>
        <v>16.422287390029322</v>
      </c>
      <c r="L39" s="5">
        <f>1.06/0.082</f>
        <v>12.926829268292684</v>
      </c>
      <c r="M39" s="5">
        <f>2.62/0.225</f>
        <v>11.644444444444444</v>
      </c>
      <c r="N39" s="5">
        <f>0.35/0.034</f>
        <v>10.294117647058822</v>
      </c>
      <c r="O39" s="5">
        <f>2.16/0.234</f>
        <v>9.2307692307692317</v>
      </c>
      <c r="P39" s="5">
        <f>0.3/0.036</f>
        <v>8.3333333333333339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ht="1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ht="15" customHeight="1" x14ac:dyDescent="0.25"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ht="15" customHeight="1" x14ac:dyDescent="0.25">
      <c r="B42" s="21"/>
      <c r="Q42" s="11"/>
      <c r="R42" s="11"/>
      <c r="S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ht="15" customHeight="1" x14ac:dyDescent="0.2">
      <c r="A43" s="6" t="s">
        <v>1</v>
      </c>
      <c r="B43" s="21"/>
      <c r="C43" s="12" t="s">
        <v>12</v>
      </c>
      <c r="D43" s="12" t="s">
        <v>24</v>
      </c>
      <c r="E43" s="12" t="s">
        <v>29</v>
      </c>
      <c r="F43" s="12" t="s">
        <v>10</v>
      </c>
      <c r="G43" s="12" t="s">
        <v>21</v>
      </c>
      <c r="H43" s="12" t="s">
        <v>28</v>
      </c>
      <c r="I43" s="12" t="s">
        <v>37</v>
      </c>
      <c r="J43" s="12" t="s">
        <v>38</v>
      </c>
      <c r="K43" s="12" t="s">
        <v>27</v>
      </c>
      <c r="L43" s="12" t="s">
        <v>40</v>
      </c>
      <c r="M43" s="12" t="s">
        <v>11</v>
      </c>
      <c r="N43" s="12" t="s">
        <v>41</v>
      </c>
      <c r="O43" s="12" t="s">
        <v>36</v>
      </c>
      <c r="P43" s="12" t="s">
        <v>19</v>
      </c>
      <c r="Q43" s="12" t="s">
        <v>4</v>
      </c>
      <c r="R43" s="12" t="s">
        <v>34</v>
      </c>
      <c r="S43" s="12" t="s">
        <v>49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ht="15" customHeight="1" x14ac:dyDescent="0.2">
      <c r="A44" s="6"/>
      <c r="B44" s="21"/>
      <c r="C44" s="11" t="s">
        <v>83</v>
      </c>
      <c r="D44" s="11" t="s">
        <v>83</v>
      </c>
      <c r="E44" s="11" t="s">
        <v>83</v>
      </c>
      <c r="F44" s="11" t="s">
        <v>51</v>
      </c>
      <c r="G44" s="11" t="s">
        <v>83</v>
      </c>
      <c r="H44" s="11" t="s">
        <v>83</v>
      </c>
      <c r="I44" s="11" t="s">
        <v>83</v>
      </c>
      <c r="J44" s="11" t="s">
        <v>83</v>
      </c>
      <c r="K44" s="11" t="s">
        <v>83</v>
      </c>
      <c r="L44" s="11" t="s">
        <v>83</v>
      </c>
      <c r="M44" s="11" t="s">
        <v>51</v>
      </c>
      <c r="N44" s="11" t="s">
        <v>83</v>
      </c>
      <c r="O44" s="11" t="s">
        <v>83</v>
      </c>
      <c r="P44" s="11" t="s">
        <v>83</v>
      </c>
      <c r="Q44" s="11" t="s">
        <v>51</v>
      </c>
      <c r="R44" s="11" t="s">
        <v>83</v>
      </c>
      <c r="S44" s="11" t="s">
        <v>83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ht="15" customHeight="1" x14ac:dyDescent="0.2">
      <c r="A45" s="6">
        <v>1</v>
      </c>
      <c r="B45" s="21"/>
      <c r="C45" s="5">
        <v>171.93323610435874</v>
      </c>
      <c r="D45" s="5">
        <v>289.07245900061872</v>
      </c>
      <c r="E45" s="5">
        <v>85.5073921497562</v>
      </c>
      <c r="F45" s="5">
        <v>37.114831019742205</v>
      </c>
      <c r="G45" s="5">
        <v>3.8405093456571917</v>
      </c>
      <c r="H45" s="5">
        <v>5.6268885162889299</v>
      </c>
      <c r="I45" s="5">
        <v>11.792843903057598</v>
      </c>
      <c r="J45" s="5">
        <v>7.6296356162204937</v>
      </c>
      <c r="K45" s="5">
        <v>0.9525933681070492</v>
      </c>
      <c r="L45" s="5">
        <v>3.3412314712730438</v>
      </c>
      <c r="M45" s="11">
        <v>0.44110395061040525</v>
      </c>
      <c r="N45" s="5">
        <v>1.7353324768707514</v>
      </c>
      <c r="O45" s="5">
        <v>1.9045662315232434</v>
      </c>
      <c r="P45" s="5">
        <v>2.1519499259933101</v>
      </c>
      <c r="Q45" s="11">
        <v>0.71344843947839953</v>
      </c>
      <c r="R45" s="5">
        <v>0.8420149864944505</v>
      </c>
      <c r="S45" s="5">
        <v>0.88656243913398602</v>
      </c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ht="15" customHeight="1" x14ac:dyDescent="0.2">
      <c r="A46" s="6">
        <v>2</v>
      </c>
      <c r="B46" s="21"/>
      <c r="C46" s="5">
        <v>208.23205315183927</v>
      </c>
      <c r="D46" s="5">
        <v>198.21087393346824</v>
      </c>
      <c r="E46" s="5">
        <v>89.799593921053017</v>
      </c>
      <c r="F46" s="5">
        <v>27.033386986268816</v>
      </c>
      <c r="G46" s="5">
        <v>3.5891428213861958</v>
      </c>
      <c r="H46" s="5">
        <v>5.4810346529744827</v>
      </c>
      <c r="I46" s="5">
        <v>12.358362574465122</v>
      </c>
      <c r="J46" s="5">
        <v>8.0957505517550015</v>
      </c>
      <c r="K46" s="5">
        <v>1.3250946922061462</v>
      </c>
      <c r="L46" s="5">
        <v>3.8273785903978514</v>
      </c>
      <c r="M46" s="11">
        <v>1.0764192781686961</v>
      </c>
      <c r="N46" s="5">
        <v>2.0586863545485312</v>
      </c>
      <c r="O46" s="5">
        <v>3.1495424261553198</v>
      </c>
      <c r="P46" s="5">
        <v>3.1606176187762638</v>
      </c>
      <c r="Q46" s="11">
        <v>0.6776515660181639</v>
      </c>
      <c r="R46" s="5">
        <v>1.0489448155183414</v>
      </c>
      <c r="S46" s="5">
        <v>1.027527447281493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ht="15" customHeight="1" x14ac:dyDescent="0.2">
      <c r="A47" s="6">
        <v>3</v>
      </c>
      <c r="B47" s="21"/>
      <c r="C47" s="5">
        <v>178.41516771998059</v>
      </c>
      <c r="D47" s="5">
        <v>208.42608172208278</v>
      </c>
      <c r="E47" s="5">
        <v>80.205260549918961</v>
      </c>
      <c r="F47" s="5">
        <v>26.655340841776475</v>
      </c>
      <c r="G47" s="5">
        <v>3.4874996463034611</v>
      </c>
      <c r="H47" s="5">
        <v>5.2430625601982808</v>
      </c>
      <c r="I47" s="5">
        <v>11.211506527554759</v>
      </c>
      <c r="J47" s="5">
        <v>7.7481619855421284</v>
      </c>
      <c r="K47" s="5">
        <v>1.2290085678134575</v>
      </c>
      <c r="L47" s="5">
        <v>3.9976674117862023</v>
      </c>
      <c r="M47" s="11">
        <v>1.9293760447660888</v>
      </c>
      <c r="N47" s="5">
        <v>2.2950426413272891</v>
      </c>
      <c r="O47" s="5">
        <v>2.2687148977235747</v>
      </c>
      <c r="P47" s="5">
        <v>2.3910554733259004</v>
      </c>
      <c r="Q47" s="11">
        <v>0.67865862534815635</v>
      </c>
      <c r="R47" s="5">
        <v>1.285538160619923</v>
      </c>
      <c r="S47" s="5">
        <v>1.0287917074442512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ht="15" customHeight="1" x14ac:dyDescent="0.2">
      <c r="A48" s="6">
        <v>4</v>
      </c>
      <c r="B48" s="21"/>
      <c r="C48" s="5">
        <v>202.56036298817048</v>
      </c>
      <c r="D48" s="5">
        <v>183.6945260233318</v>
      </c>
      <c r="E48" s="5">
        <v>81.408760262262973</v>
      </c>
      <c r="F48" s="5">
        <v>24.364044946202604</v>
      </c>
      <c r="G48" s="5">
        <v>3.8350265187855093</v>
      </c>
      <c r="H48" s="5">
        <v>5.4963876912181089</v>
      </c>
      <c r="I48" s="5">
        <v>65.449888194367276</v>
      </c>
      <c r="J48" s="5">
        <v>44.86689193759269</v>
      </c>
      <c r="K48" s="5">
        <v>4.1920364967600836</v>
      </c>
      <c r="L48" s="5">
        <v>19.198691314589869</v>
      </c>
      <c r="M48" s="11">
        <v>3.7056208888739905</v>
      </c>
      <c r="N48" s="5">
        <v>9.8776910728712242</v>
      </c>
      <c r="O48" s="5">
        <v>2.2178714990465478</v>
      </c>
      <c r="P48" s="5">
        <v>2.3623439804375383</v>
      </c>
      <c r="Q48" s="11">
        <v>0.72806790456252957</v>
      </c>
      <c r="R48" s="5">
        <v>1.7044013033073153</v>
      </c>
      <c r="S48" s="5">
        <v>1.1994668294165691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ht="15" customHeight="1" x14ac:dyDescent="0.2">
      <c r="A49" s="6">
        <v>5</v>
      </c>
      <c r="B49" s="21"/>
      <c r="C49" s="5">
        <v>132.06935666828716</v>
      </c>
      <c r="D49" s="5">
        <v>242.83520269425813</v>
      </c>
      <c r="E49" s="5">
        <v>90.893684568638491</v>
      </c>
      <c r="F49" s="5">
        <v>31.832663878537236</v>
      </c>
      <c r="G49" s="5">
        <v>3.4124270937527275</v>
      </c>
      <c r="H49" s="5">
        <v>5.3044747131727839</v>
      </c>
      <c r="I49" s="5">
        <v>12.951563978039449</v>
      </c>
      <c r="J49" s="5">
        <v>8.9760419014358792</v>
      </c>
      <c r="K49" s="5">
        <v>1.3586131076919676</v>
      </c>
      <c r="L49" s="5">
        <v>4.6389970858858787</v>
      </c>
      <c r="M49" s="11">
        <v>2.3808653620671949</v>
      </c>
      <c r="N49" s="5">
        <v>2.717327407770771</v>
      </c>
      <c r="O49" s="5">
        <v>2.248102709070726</v>
      </c>
      <c r="P49" s="5">
        <v>2.3858779910017698</v>
      </c>
      <c r="Q49" s="11">
        <v>0.62574984108608667</v>
      </c>
      <c r="R49" s="5">
        <v>1.3952574309313817</v>
      </c>
      <c r="S49" s="5">
        <v>1.2032596099048429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ht="15" customHeight="1" x14ac:dyDescent="0.2">
      <c r="A50" s="6">
        <v>6</v>
      </c>
      <c r="B50" s="21"/>
      <c r="C50" s="5">
        <v>73.456490034030153</v>
      </c>
      <c r="D50" s="5">
        <v>215.7738627630161</v>
      </c>
      <c r="E50" s="5">
        <v>89.631272282962954</v>
      </c>
      <c r="F50" s="5">
        <v>30.834328631344228</v>
      </c>
      <c r="G50" s="5">
        <v>3.3504289745113915</v>
      </c>
      <c r="H50" s="5">
        <v>5.0511495821529557</v>
      </c>
      <c r="I50" s="5">
        <v>10.582713039765974</v>
      </c>
      <c r="J50" s="5">
        <v>7.2274450147021545</v>
      </c>
      <c r="K50" s="5">
        <v>1.2021938354248003</v>
      </c>
      <c r="L50" s="5">
        <v>3.6694494415296228</v>
      </c>
      <c r="M50" s="11">
        <v>1.6804400460953657</v>
      </c>
      <c r="N50" s="5">
        <v>2.0902518521313618</v>
      </c>
      <c r="O50" s="5">
        <v>2.5998840620793477</v>
      </c>
      <c r="P50" s="5">
        <v>2.648517548898591</v>
      </c>
      <c r="Q50" s="11">
        <v>0.57996417560195757</v>
      </c>
      <c r="R50" s="5">
        <v>1.0096317219214019</v>
      </c>
      <c r="S50" s="5">
        <v>0.92101352856913921</v>
      </c>
      <c r="V50" s="11"/>
      <c r="AM50" s="1"/>
      <c r="AN50" s="1"/>
    </row>
    <row r="51" spans="1:44" ht="15" customHeight="1" x14ac:dyDescent="0.2">
      <c r="A51" s="6">
        <v>7</v>
      </c>
      <c r="B51" s="21"/>
      <c r="C51" s="5">
        <v>84.556797925781879</v>
      </c>
      <c r="D51" s="5">
        <v>174.50083901357868</v>
      </c>
      <c r="E51" s="5">
        <v>74.40658011771599</v>
      </c>
      <c r="F51" s="5">
        <v>23.215918980310082</v>
      </c>
      <c r="G51" s="5">
        <v>3.191005239319384</v>
      </c>
      <c r="H51" s="5">
        <v>4.8208540084985652</v>
      </c>
      <c r="I51" s="5">
        <v>9.9539195519771884</v>
      </c>
      <c r="J51" s="5">
        <v>6.8638753649852395</v>
      </c>
      <c r="K51" s="5">
        <v>1.1720272614875609</v>
      </c>
      <c r="L51" s="5">
        <v>3.5595856857952035</v>
      </c>
      <c r="M51" s="11">
        <v>2.4867086106899516</v>
      </c>
      <c r="N51" s="5">
        <v>2.1995762583938498</v>
      </c>
      <c r="O51" s="5">
        <v>2.1436676198962914</v>
      </c>
      <c r="P51" s="5">
        <v>2.1900750231073647</v>
      </c>
      <c r="Q51" s="11">
        <v>0.66988351616609343</v>
      </c>
      <c r="R51" s="5">
        <v>1.0968353113546132</v>
      </c>
      <c r="S51" s="5">
        <v>0.98991570743944535</v>
      </c>
      <c r="V51" s="11"/>
      <c r="AM51" s="1"/>
      <c r="AN51" s="1"/>
    </row>
    <row r="52" spans="1:44" ht="15" customHeight="1" x14ac:dyDescent="0.2">
      <c r="A52" s="6">
        <v>8</v>
      </c>
      <c r="B52" s="21"/>
      <c r="C52" s="5">
        <v>56.295576081672337</v>
      </c>
      <c r="D52" s="5">
        <v>244.08970189636867</v>
      </c>
      <c r="E52" s="5">
        <v>78.850271363293885</v>
      </c>
      <c r="F52" s="5">
        <v>26.541768404318272</v>
      </c>
      <c r="G52" s="5">
        <v>2.7650317669809521</v>
      </c>
      <c r="H52" s="5">
        <v>4.7747948937676874</v>
      </c>
      <c r="I52" s="5">
        <v>9.6059080618802497</v>
      </c>
      <c r="J52" s="5">
        <v>6.8665388789025803</v>
      </c>
      <c r="K52" s="5">
        <v>0.91214781342082429</v>
      </c>
      <c r="L52" s="5">
        <v>3.3838036766201318</v>
      </c>
      <c r="M52" s="11">
        <v>1.0570011729705309</v>
      </c>
      <c r="N52" s="5">
        <v>1.8204053423074056</v>
      </c>
      <c r="O52" s="5">
        <v>1.5074380634783535</v>
      </c>
      <c r="P52" s="5">
        <v>1.6680906687927148</v>
      </c>
      <c r="Q52" s="11">
        <v>0.64482080022094102</v>
      </c>
      <c r="R52" s="5">
        <v>0.82664714081564683</v>
      </c>
      <c r="S52" s="5">
        <v>0.79806422774093211</v>
      </c>
      <c r="AM52" s="1"/>
      <c r="AN52" s="1"/>
    </row>
    <row r="53" spans="1:44" ht="15" customHeight="1" x14ac:dyDescent="0.2">
      <c r="A53" s="6">
        <v>9</v>
      </c>
      <c r="B53" s="21"/>
      <c r="C53" s="5">
        <v>63.441905687894995</v>
      </c>
      <c r="D53" s="5">
        <v>204.48336994402104</v>
      </c>
      <c r="E53" s="5">
        <v>90.641202111503375</v>
      </c>
      <c r="F53" s="5">
        <v>24.788579397482085</v>
      </c>
      <c r="G53" s="5">
        <v>3.6427058223634052</v>
      </c>
      <c r="H53" s="5">
        <v>5.4503285764872311</v>
      </c>
      <c r="I53" s="5">
        <v>10.709262672528496</v>
      </c>
      <c r="J53" s="5">
        <v>7.259407181710233</v>
      </c>
      <c r="K53" s="5">
        <v>1.0668911649137007</v>
      </c>
      <c r="L53" s="5">
        <v>3.5788118430487263</v>
      </c>
      <c r="M53" s="11">
        <v>1.3483726407874355</v>
      </c>
      <c r="N53" s="5">
        <v>1.982467226238769</v>
      </c>
      <c r="O53" s="5">
        <v>2.3346739014126916</v>
      </c>
      <c r="P53" s="5">
        <v>2.3482235740989994</v>
      </c>
      <c r="Q53" s="11">
        <v>0.66548119520304749</v>
      </c>
      <c r="R53" s="5">
        <v>1.0478726402384249</v>
      </c>
      <c r="S53" s="5">
        <v>0.91342796759259159</v>
      </c>
      <c r="U53" s="36"/>
      <c r="V53" s="36"/>
    </row>
    <row r="54" spans="1:44" ht="15" customHeight="1" x14ac:dyDescent="0.2">
      <c r="A54" s="6">
        <v>10</v>
      </c>
      <c r="B54" s="21"/>
      <c r="C54" s="5">
        <v>85.723545616593753</v>
      </c>
      <c r="D54" s="5">
        <v>195.34344718578697</v>
      </c>
      <c r="E54" s="5">
        <v>79.26265937661455</v>
      </c>
      <c r="F54" s="5">
        <v>21.723791362831648</v>
      </c>
      <c r="G54" s="5">
        <v>3.4436370313299984</v>
      </c>
      <c r="H54" s="5">
        <v>5.1048852160056466</v>
      </c>
      <c r="I54" s="5">
        <v>10.808129573124216</v>
      </c>
      <c r="J54" s="5">
        <v>7.4338673432960052</v>
      </c>
      <c r="K54" s="5">
        <v>1.1865519081980838</v>
      </c>
      <c r="L54" s="5">
        <v>3.8122723239843688</v>
      </c>
      <c r="M54" s="11">
        <v>2.3076588439620447</v>
      </c>
      <c r="N54" s="5">
        <v>2.2623223084670379</v>
      </c>
      <c r="O54" s="5">
        <v>2.094198367129454</v>
      </c>
      <c r="P54" s="5">
        <v>2.1787786980365338</v>
      </c>
      <c r="Q54" s="11">
        <v>0.66891700827770573</v>
      </c>
      <c r="R54" s="5">
        <v>1.0739622387163938</v>
      </c>
      <c r="S54" s="5">
        <v>0.93428826027809708</v>
      </c>
      <c r="U54" s="36"/>
      <c r="V54" s="36"/>
    </row>
    <row r="55" spans="1:44" ht="15" customHeight="1" x14ac:dyDescent="0.2">
      <c r="A55" s="6">
        <v>11</v>
      </c>
      <c r="B55" s="21"/>
      <c r="C55" s="5">
        <v>117.517420191217</v>
      </c>
      <c r="D55" s="5">
        <v>194.08894798367641</v>
      </c>
      <c r="E55" s="5">
        <v>92.240257673359068</v>
      </c>
      <c r="F55" s="5">
        <v>22.162044072804598</v>
      </c>
      <c r="G55" s="5">
        <v>3.9160036541211323</v>
      </c>
      <c r="H55" s="5">
        <v>5.9876849150141416</v>
      </c>
      <c r="I55" s="5">
        <v>12.132946041106878</v>
      </c>
      <c r="J55" s="5">
        <v>8.2102816502006224</v>
      </c>
      <c r="K55" s="5">
        <v>1.2267740067810695</v>
      </c>
      <c r="L55" s="5">
        <v>4.0059071934662844</v>
      </c>
      <c r="M55" s="11">
        <v>1.4167440085628611</v>
      </c>
      <c r="N55" s="5">
        <v>2.151458121834656</v>
      </c>
      <c r="O55" s="5">
        <v>4.6611029273642437</v>
      </c>
      <c r="P55" s="5">
        <v>4.5350038357273723</v>
      </c>
      <c r="Q55" s="11">
        <v>0.59875706291941577</v>
      </c>
      <c r="R55" s="5">
        <v>0.94780294744621507</v>
      </c>
      <c r="S55" s="5">
        <v>0.84420972368159586</v>
      </c>
      <c r="U55" s="36"/>
      <c r="V55" s="36"/>
    </row>
    <row r="56" spans="1:44" ht="15" customHeight="1" x14ac:dyDescent="0.2">
      <c r="A56" s="6">
        <v>12</v>
      </c>
      <c r="B56" s="21"/>
      <c r="C56" s="5">
        <v>80.991735537190081</v>
      </c>
      <c r="D56" s="5">
        <v>232.44078073391347</v>
      </c>
      <c r="E56" s="5">
        <v>94.512599787575027</v>
      </c>
      <c r="F56" s="5">
        <v>26.21233058896037</v>
      </c>
      <c r="G56" s="5">
        <v>3.8392440779175727</v>
      </c>
      <c r="H56" s="5">
        <v>5.8648606090651336</v>
      </c>
      <c r="I56" s="5">
        <v>12.595643135894852</v>
      </c>
      <c r="J56" s="5">
        <v>8.7549702462966561</v>
      </c>
      <c r="K56" s="5">
        <v>0.96566555014651956</v>
      </c>
      <c r="L56" s="5">
        <v>4.3684575873898694</v>
      </c>
      <c r="M56" s="11">
        <v>1.9298329007056911</v>
      </c>
      <c r="N56" s="5">
        <v>2.5822116803125557</v>
      </c>
      <c r="O56" s="5">
        <v>2.5174353074679523</v>
      </c>
      <c r="P56" s="5">
        <v>2.6103924517845365</v>
      </c>
      <c r="Q56" s="11">
        <v>0.7079230570095415</v>
      </c>
      <c r="R56" s="5">
        <v>1.4024052661308253</v>
      </c>
      <c r="S56" s="5">
        <v>1.2563585367406753</v>
      </c>
      <c r="U56" s="36"/>
      <c r="V56" s="36"/>
    </row>
    <row r="57" spans="1:44" ht="15" customHeight="1" x14ac:dyDescent="0.2">
      <c r="A57" s="6">
        <v>13</v>
      </c>
      <c r="B57" s="21"/>
      <c r="C57" s="5">
        <v>89.207583859990294</v>
      </c>
      <c r="D57" s="5">
        <v>200.00301565076904</v>
      </c>
      <c r="E57" s="5">
        <v>89.96791555914308</v>
      </c>
      <c r="F57" s="5">
        <v>23.10728290407209</v>
      </c>
      <c r="G57" s="5">
        <v>3.9480571035248158</v>
      </c>
      <c r="H57" s="5">
        <v>5.8341545325778812</v>
      </c>
      <c r="I57" s="5">
        <v>10.993999346244172</v>
      </c>
      <c r="J57" s="5">
        <v>7.4152227458746252</v>
      </c>
      <c r="K57" s="5">
        <v>1.1496816511636798</v>
      </c>
      <c r="L57" s="5">
        <v>3.733994398023595</v>
      </c>
      <c r="M57" s="11">
        <v>1.6752382579071983</v>
      </c>
      <c r="N57" s="5">
        <v>2.0910217423163093</v>
      </c>
      <c r="O57" s="5">
        <v>2.3607826737063005</v>
      </c>
      <c r="P57" s="5">
        <v>2.4786019926248408</v>
      </c>
      <c r="Q57" s="11">
        <v>0.66045729215024052</v>
      </c>
      <c r="R57" s="5">
        <v>1.0550204754378683</v>
      </c>
      <c r="S57" s="5">
        <v>1.0041386342704719</v>
      </c>
      <c r="V57" s="35"/>
    </row>
    <row r="58" spans="1:44" ht="15" customHeight="1" x14ac:dyDescent="0.2">
      <c r="A58" s="6">
        <v>14</v>
      </c>
      <c r="B58" s="21"/>
      <c r="C58" s="5">
        <v>83.616917841516781</v>
      </c>
      <c r="D58" s="5">
        <v>223.12164380394933</v>
      </c>
      <c r="E58" s="5">
        <v>92.408579311449131</v>
      </c>
      <c r="F58" s="5">
        <v>24.583290136340221</v>
      </c>
      <c r="G58" s="5">
        <v>3.5157572924882881</v>
      </c>
      <c r="H58" s="5">
        <v>5.6268885162889299</v>
      </c>
      <c r="I58" s="5">
        <v>10.835812305291018</v>
      </c>
      <c r="J58" s="5">
        <v>7.5710383100390164</v>
      </c>
      <c r="K58" s="5">
        <v>1.2167184821353232</v>
      </c>
      <c r="L58" s="5">
        <v>3.6763159262630243</v>
      </c>
      <c r="M58" s="11">
        <v>1.530046092461449</v>
      </c>
      <c r="N58" s="5">
        <v>2.0063338219721287</v>
      </c>
      <c r="O58" s="5">
        <v>1.8482262492054562</v>
      </c>
      <c r="P58" s="5">
        <v>2.0653447671169389</v>
      </c>
      <c r="Q58" s="11">
        <v>0.60167850644265775</v>
      </c>
      <c r="R58" s="5">
        <v>0.95709513320549178</v>
      </c>
      <c r="S58" s="5">
        <v>0.89541226027329146</v>
      </c>
      <c r="U58" s="11"/>
    </row>
    <row r="59" spans="1:44" ht="15" customHeight="1" x14ac:dyDescent="0.2">
      <c r="A59" s="6">
        <v>15</v>
      </c>
      <c r="B59" s="21"/>
      <c r="C59" s="5">
        <v>99.83795170960947</v>
      </c>
      <c r="D59" s="5">
        <v>177.40410859560598</v>
      </c>
      <c r="E59" s="5">
        <v>120.09748877726584</v>
      </c>
      <c r="F59" s="5">
        <v>20.127117173362684</v>
      </c>
      <c r="G59" s="5">
        <v>3.439419472197935</v>
      </c>
      <c r="H59" s="5">
        <v>5.005090467422078</v>
      </c>
      <c r="I59" s="5">
        <v>7.0670060545821354</v>
      </c>
      <c r="J59" s="5">
        <v>3.9406688407045647</v>
      </c>
      <c r="K59" s="5">
        <v>0.6805355624137972</v>
      </c>
      <c r="L59" s="5">
        <v>1.4666811390545049</v>
      </c>
      <c r="M59" s="11">
        <v>0.29186015235268903</v>
      </c>
      <c r="N59" s="5">
        <v>0.66249050414697508</v>
      </c>
      <c r="O59" s="5">
        <v>2.3058168372987029</v>
      </c>
      <c r="P59" s="5">
        <v>2.4023517983967317</v>
      </c>
      <c r="Q59" s="11">
        <v>0.59821757592921809</v>
      </c>
      <c r="R59" s="5">
        <v>0.63401298219064306</v>
      </c>
      <c r="S59" s="5">
        <v>0.75855609765474741</v>
      </c>
    </row>
    <row r="60" spans="1:44" ht="15" customHeight="1" x14ac:dyDescent="0.2">
      <c r="A60" s="6">
        <v>16</v>
      </c>
      <c r="B60" s="21"/>
      <c r="C60" s="5">
        <v>115.05428617728084</v>
      </c>
      <c r="D60" s="5">
        <v>204.48336994402104</v>
      </c>
      <c r="E60" s="5">
        <v>97.458228454151254</v>
      </c>
      <c r="F60" s="5">
        <v>23.09283853440342</v>
      </c>
      <c r="G60" s="5">
        <v>3.4993088118732398</v>
      </c>
      <c r="H60" s="5">
        <v>5.6115354780453046</v>
      </c>
      <c r="I60" s="5">
        <v>12.306951786155349</v>
      </c>
      <c r="J60" s="5">
        <v>8.0904235239203199</v>
      </c>
      <c r="K60" s="5">
        <v>1.4457609879551039</v>
      </c>
      <c r="L60" s="5">
        <v>3.9111497041453469</v>
      </c>
      <c r="M60" s="11">
        <v>0.54070460681596155</v>
      </c>
      <c r="N60" s="5">
        <v>2.0810131699119969</v>
      </c>
      <c r="O60" s="5">
        <v>3.2828345794437435</v>
      </c>
      <c r="P60" s="5">
        <v>3.3211195708243215</v>
      </c>
      <c r="Q60" s="11">
        <v>0.68192344891693679</v>
      </c>
      <c r="R60" s="5">
        <v>1.1801075914281307</v>
      </c>
      <c r="S60" s="5">
        <v>1.1583783741269371</v>
      </c>
    </row>
    <row r="61" spans="1:44" ht="15" customHeight="1" x14ac:dyDescent="0.2">
      <c r="B61" s="21"/>
      <c r="F61" s="4"/>
      <c r="Q61" s="11"/>
      <c r="R61" s="11"/>
      <c r="S61" s="11"/>
    </row>
    <row r="62" spans="1:44" ht="15" customHeight="1" x14ac:dyDescent="0.2">
      <c r="A62" s="6" t="s">
        <v>108</v>
      </c>
      <c r="B62" s="21"/>
      <c r="C62" s="5">
        <f t="shared" ref="C62:E62" si="54">MIN(C45:C60)</f>
        <v>56.295576081672337</v>
      </c>
      <c r="D62" s="5">
        <f t="shared" si="54"/>
        <v>174.50083901357868</v>
      </c>
      <c r="E62" s="5">
        <f t="shared" si="54"/>
        <v>74.40658011771599</v>
      </c>
      <c r="F62" s="5">
        <f>MIN(F45:F60)</f>
        <v>20.127117173362684</v>
      </c>
      <c r="G62" s="5">
        <f t="shared" ref="G62:S62" si="55">MIN(G45:G60)</f>
        <v>2.7650317669809521</v>
      </c>
      <c r="H62" s="5">
        <f t="shared" si="55"/>
        <v>4.7747948937676874</v>
      </c>
      <c r="I62" s="5">
        <f t="shared" si="55"/>
        <v>7.0670060545821354</v>
      </c>
      <c r="J62" s="5">
        <f t="shared" si="55"/>
        <v>3.9406688407045647</v>
      </c>
      <c r="K62" s="5">
        <f t="shared" si="55"/>
        <v>0.6805355624137972</v>
      </c>
      <c r="L62" s="5">
        <f t="shared" si="55"/>
        <v>1.4666811390545049</v>
      </c>
      <c r="M62" s="5">
        <f t="shared" si="55"/>
        <v>0.29186015235268903</v>
      </c>
      <c r="N62" s="5">
        <f t="shared" si="55"/>
        <v>0.66249050414697508</v>
      </c>
      <c r="O62" s="5">
        <f t="shared" si="55"/>
        <v>1.5074380634783535</v>
      </c>
      <c r="P62" s="5">
        <f t="shared" si="55"/>
        <v>1.6680906687927148</v>
      </c>
      <c r="Q62" s="5">
        <f t="shared" si="55"/>
        <v>0.57996417560195757</v>
      </c>
      <c r="R62" s="5">
        <f t="shared" si="55"/>
        <v>0.63401298219064306</v>
      </c>
      <c r="S62" s="5">
        <f t="shared" si="55"/>
        <v>0.75855609765474741</v>
      </c>
    </row>
    <row r="63" spans="1:44" ht="15" customHeight="1" x14ac:dyDescent="0.2">
      <c r="A63" s="6" t="s">
        <v>109</v>
      </c>
      <c r="B63" s="21"/>
      <c r="C63" s="5">
        <f t="shared" ref="C63:E63" si="56">MAX(C45:C60)</f>
        <v>208.23205315183927</v>
      </c>
      <c r="D63" s="5">
        <f t="shared" si="56"/>
        <v>289.07245900061872</v>
      </c>
      <c r="E63" s="5">
        <f t="shared" si="56"/>
        <v>120.09748877726584</v>
      </c>
      <c r="F63" s="5">
        <f>MAX(F45:F60)</f>
        <v>37.114831019742205</v>
      </c>
      <c r="G63" s="5">
        <f t="shared" ref="G63:S63" si="57">MAX(G45:G60)</f>
        <v>3.9480571035248158</v>
      </c>
      <c r="H63" s="5">
        <f t="shared" si="57"/>
        <v>5.9876849150141416</v>
      </c>
      <c r="I63" s="5">
        <f t="shared" si="57"/>
        <v>65.449888194367276</v>
      </c>
      <c r="J63" s="5">
        <f t="shared" si="57"/>
        <v>44.86689193759269</v>
      </c>
      <c r="K63" s="5">
        <f t="shared" si="57"/>
        <v>4.1920364967600836</v>
      </c>
      <c r="L63" s="5">
        <f t="shared" si="57"/>
        <v>19.198691314589869</v>
      </c>
      <c r="M63" s="5">
        <f t="shared" si="57"/>
        <v>3.7056208888739905</v>
      </c>
      <c r="N63" s="5">
        <f t="shared" si="57"/>
        <v>9.8776910728712242</v>
      </c>
      <c r="O63" s="5">
        <f t="shared" si="57"/>
        <v>4.6611029273642437</v>
      </c>
      <c r="P63" s="5">
        <f t="shared" si="57"/>
        <v>4.5350038357273723</v>
      </c>
      <c r="Q63" s="5">
        <f t="shared" si="57"/>
        <v>0.72806790456252957</v>
      </c>
      <c r="R63" s="5">
        <f t="shared" si="57"/>
        <v>1.7044013033073153</v>
      </c>
      <c r="S63" s="5">
        <f t="shared" si="57"/>
        <v>1.2563585367406753</v>
      </c>
    </row>
    <row r="64" spans="1:44" ht="15" customHeight="1" x14ac:dyDescent="0.2">
      <c r="A64" s="6" t="s">
        <v>110</v>
      </c>
      <c r="B64" s="21"/>
      <c r="C64" s="5">
        <f t="shared" ref="C64:E64" si="58">AVERAGE(C45:C60)</f>
        <v>115.18189920596339</v>
      </c>
      <c r="D64" s="5">
        <f t="shared" si="58"/>
        <v>211.74826443052913</v>
      </c>
      <c r="E64" s="5">
        <f t="shared" si="58"/>
        <v>89.205734141666483</v>
      </c>
      <c r="F64" s="5">
        <f>AVERAGE(F45:F60)</f>
        <v>25.836847366172314</v>
      </c>
      <c r="G64" s="5">
        <f t="shared" ref="G64:S64" si="59">AVERAGE(G45:G60)</f>
        <v>3.5447002920320752</v>
      </c>
      <c r="H64" s="5">
        <f t="shared" si="59"/>
        <v>5.3927546830736333</v>
      </c>
      <c r="I64" s="5">
        <f t="shared" si="59"/>
        <v>14.45977854662717</v>
      </c>
      <c r="J64" s="5">
        <f t="shared" si="59"/>
        <v>9.8093888183236384</v>
      </c>
      <c r="K64" s="5">
        <f t="shared" si="59"/>
        <v>1.3301434035386979</v>
      </c>
      <c r="L64" s="5">
        <f t="shared" si="59"/>
        <v>4.6356496745783451</v>
      </c>
      <c r="M64" s="5">
        <f t="shared" si="59"/>
        <v>1.6123745536123475</v>
      </c>
      <c r="N64" s="5">
        <f t="shared" si="59"/>
        <v>2.5383519988388508</v>
      </c>
      <c r="O64" s="5">
        <f t="shared" si="59"/>
        <v>2.4653036470001215</v>
      </c>
      <c r="P64" s="5">
        <f t="shared" si="59"/>
        <v>2.556146557433983</v>
      </c>
      <c r="Q64" s="5">
        <f t="shared" si="59"/>
        <v>0.65635000095819329</v>
      </c>
      <c r="R64" s="5">
        <f t="shared" si="59"/>
        <v>1.0942218841098166</v>
      </c>
      <c r="S64" s="5">
        <f t="shared" si="59"/>
        <v>0.98871070947181661</v>
      </c>
    </row>
    <row r="65" spans="1:44" ht="15" customHeight="1" x14ac:dyDescent="0.25">
      <c r="B65" s="21"/>
      <c r="Q65" s="11"/>
      <c r="R65" s="11"/>
      <c r="S65" s="11"/>
    </row>
    <row r="66" spans="1:44" ht="15" customHeight="1" x14ac:dyDescent="0.25">
      <c r="A66" s="78" t="s">
        <v>165</v>
      </c>
      <c r="B66" s="78"/>
      <c r="C66" s="1">
        <v>115.18189920596335</v>
      </c>
      <c r="D66" s="1">
        <v>211.74826443052913</v>
      </c>
      <c r="E66" s="1">
        <v>89.205734141666483</v>
      </c>
      <c r="F66" s="1">
        <v>25.836847366172311</v>
      </c>
      <c r="G66" s="1">
        <v>3.5447002920320743</v>
      </c>
      <c r="H66" s="1">
        <v>5.3927546830736341</v>
      </c>
      <c r="I66" s="1">
        <v>14.459778546627168</v>
      </c>
      <c r="J66" s="1">
        <v>9.8093888183236384</v>
      </c>
      <c r="K66" s="1">
        <v>1.3301434035386981</v>
      </c>
      <c r="L66" s="1">
        <v>4.6356496745783451</v>
      </c>
      <c r="M66" s="1">
        <v>1.6123745536123475</v>
      </c>
      <c r="N66" s="1">
        <v>2.5383519988388512</v>
      </c>
      <c r="O66" s="1">
        <v>2.4653036470001224</v>
      </c>
      <c r="P66" s="1">
        <v>2.556146557433983</v>
      </c>
      <c r="Q66" s="1">
        <v>0.65635000095819329</v>
      </c>
      <c r="R66" s="1">
        <v>1.0942218841098168</v>
      </c>
      <c r="S66" s="1">
        <v>0.98871070947181661</v>
      </c>
    </row>
    <row r="67" spans="1:44" ht="15" customHeight="1" x14ac:dyDescent="0.25">
      <c r="A67" s="75" t="s">
        <v>126</v>
      </c>
      <c r="B67" s="75"/>
      <c r="Q67" s="11"/>
      <c r="R67" s="11"/>
      <c r="S67" s="11"/>
      <c r="W67" s="11"/>
      <c r="X67" s="11"/>
      <c r="Y67" s="11"/>
      <c r="Z67" s="11"/>
      <c r="AM67" s="1"/>
      <c r="AN67" s="1"/>
      <c r="AP67" s="35"/>
      <c r="AQ67" s="35"/>
    </row>
    <row r="68" spans="1:44" ht="15" customHeight="1" x14ac:dyDescent="0.25">
      <c r="B68" s="21"/>
      <c r="Q68" s="11"/>
      <c r="R68" s="11"/>
      <c r="S68" s="11"/>
      <c r="AM68" s="1"/>
      <c r="AN68" s="1"/>
      <c r="AP68" s="35"/>
      <c r="AQ68" s="35"/>
    </row>
    <row r="69" spans="1:44" ht="15" customHeight="1" x14ac:dyDescent="0.2">
      <c r="A69" s="6"/>
      <c r="B69" s="21"/>
      <c r="T69" s="11"/>
      <c r="U69" s="11"/>
      <c r="AM69" s="1"/>
      <c r="AN69" s="1"/>
      <c r="AP69" s="35"/>
      <c r="AQ69" s="35"/>
      <c r="AR69" s="35"/>
    </row>
    <row r="70" spans="1:44" ht="15" customHeight="1" x14ac:dyDescent="0.2">
      <c r="A70" s="6"/>
      <c r="B70" s="21"/>
      <c r="T70" s="11"/>
      <c r="U70" s="11"/>
      <c r="AM70" s="1"/>
      <c r="AN70" s="1"/>
      <c r="AP70" s="35"/>
      <c r="AQ70" s="35"/>
      <c r="AR70" s="35"/>
    </row>
    <row r="71" spans="1:44" ht="15" customHeight="1" x14ac:dyDescent="0.2">
      <c r="A71" s="4"/>
      <c r="B71" s="2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21"/>
      <c r="U71" s="11"/>
      <c r="AM71" s="1"/>
      <c r="AN71" s="1"/>
      <c r="AP71" s="35"/>
      <c r="AQ71" s="35"/>
      <c r="AR71" s="35"/>
    </row>
    <row r="72" spans="1:44" ht="15" customHeight="1" x14ac:dyDescent="0.2">
      <c r="A72" s="4"/>
      <c r="B72" s="2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21"/>
      <c r="U72" s="11"/>
      <c r="AM72" s="1"/>
      <c r="AN72" s="1"/>
      <c r="AP72" s="35"/>
      <c r="AQ72" s="35"/>
      <c r="AR72" s="35"/>
    </row>
    <row r="73" spans="1:44" ht="15" customHeight="1" x14ac:dyDescent="0.2">
      <c r="A73" s="4"/>
      <c r="B73" s="2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21"/>
      <c r="U73" s="11"/>
      <c r="AM73" s="1"/>
      <c r="AN73" s="1"/>
      <c r="AP73" s="35"/>
      <c r="AQ73" s="35"/>
      <c r="AR73" s="35"/>
    </row>
    <row r="74" spans="1:44" ht="15" customHeight="1" x14ac:dyDescent="0.2">
      <c r="A74" s="4"/>
      <c r="B74" s="2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21"/>
      <c r="U74" s="11"/>
      <c r="AM74" s="1"/>
      <c r="AN74" s="1"/>
      <c r="AP74" s="35"/>
      <c r="AQ74" s="35"/>
      <c r="AR74" s="35"/>
    </row>
    <row r="75" spans="1:44" ht="15" customHeight="1" x14ac:dyDescent="0.2">
      <c r="A75" s="4"/>
      <c r="B75" s="2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21"/>
      <c r="U75" s="11"/>
      <c r="AM75" s="1"/>
      <c r="AN75" s="1"/>
      <c r="AP75" s="35"/>
      <c r="AQ75" s="35"/>
      <c r="AR75" s="35"/>
    </row>
    <row r="76" spans="1:44" ht="15" customHeight="1" x14ac:dyDescent="0.2">
      <c r="A76" s="4"/>
      <c r="B76" s="2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21"/>
      <c r="U76" s="11"/>
      <c r="AM76" s="1"/>
      <c r="AN76" s="1"/>
      <c r="AP76" s="35"/>
      <c r="AQ76" s="35"/>
      <c r="AR76" s="35"/>
    </row>
    <row r="77" spans="1:44" ht="15" customHeight="1" x14ac:dyDescent="0.2">
      <c r="A77" s="4"/>
      <c r="B77" s="2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21"/>
      <c r="U77" s="11"/>
      <c r="AM77" s="1"/>
      <c r="AN77" s="1"/>
      <c r="AP77" s="35"/>
      <c r="AQ77" s="35"/>
      <c r="AR77" s="35"/>
    </row>
    <row r="78" spans="1:44" ht="15" customHeight="1" x14ac:dyDescent="0.2">
      <c r="A78" s="4"/>
      <c r="B78" s="2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21"/>
      <c r="U78" s="11"/>
      <c r="AM78" s="1"/>
      <c r="AN78" s="1"/>
      <c r="AP78" s="35"/>
      <c r="AQ78" s="35"/>
      <c r="AR78" s="35"/>
    </row>
    <row r="79" spans="1:44" ht="15" customHeight="1" x14ac:dyDescent="0.2">
      <c r="A79" s="4"/>
      <c r="B79" s="2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21"/>
      <c r="U79" s="11"/>
      <c r="AM79" s="1"/>
      <c r="AN79" s="1"/>
      <c r="AP79" s="35"/>
      <c r="AQ79" s="35"/>
      <c r="AR79" s="35"/>
    </row>
    <row r="80" spans="1:44" ht="15" customHeight="1" x14ac:dyDescent="0.2">
      <c r="A80" s="4"/>
      <c r="B80" s="2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21"/>
      <c r="U80" s="11"/>
      <c r="AM80" s="1"/>
      <c r="AN80" s="1"/>
      <c r="AP80" s="35"/>
      <c r="AQ80" s="35"/>
      <c r="AR80" s="35"/>
    </row>
    <row r="81" spans="1:44" ht="15" customHeight="1" x14ac:dyDescent="0.2">
      <c r="A81" s="4"/>
      <c r="B81" s="2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21"/>
      <c r="U81" s="11"/>
      <c r="AM81" s="1"/>
      <c r="AN81" s="1"/>
      <c r="AP81" s="35"/>
      <c r="AQ81" s="35"/>
      <c r="AR81" s="35"/>
    </row>
    <row r="82" spans="1:44" ht="15" customHeight="1" x14ac:dyDescent="0.2">
      <c r="A82" s="4"/>
      <c r="B82" s="2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21"/>
      <c r="U82" s="11"/>
      <c r="AM82" s="1"/>
      <c r="AN82" s="1"/>
      <c r="AP82" s="35"/>
      <c r="AQ82" s="35"/>
      <c r="AR82" s="35"/>
    </row>
    <row r="83" spans="1:44" ht="15" customHeight="1" x14ac:dyDescent="0.2">
      <c r="A83" s="4"/>
      <c r="B83" s="2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21"/>
      <c r="U83" s="11"/>
      <c r="AM83" s="1"/>
      <c r="AN83" s="1"/>
      <c r="AP83" s="35"/>
      <c r="AQ83" s="35"/>
      <c r="AR83" s="35"/>
    </row>
    <row r="84" spans="1:44" ht="15" customHeight="1" x14ac:dyDescent="0.2">
      <c r="A84" s="4"/>
      <c r="B84" s="2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21"/>
      <c r="U84" s="11"/>
      <c r="AM84" s="1"/>
      <c r="AN84" s="1"/>
      <c r="AP84" s="35"/>
      <c r="AQ84" s="35"/>
      <c r="AR84" s="35"/>
    </row>
    <row r="85" spans="1:44" ht="15" customHeight="1" x14ac:dyDescent="0.2">
      <c r="A85" s="4"/>
      <c r="B85" s="2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21"/>
      <c r="U85" s="11"/>
      <c r="AM85" s="1"/>
      <c r="AN85" s="1"/>
      <c r="AP85" s="35"/>
      <c r="AQ85" s="35"/>
      <c r="AR85" s="35"/>
    </row>
    <row r="86" spans="1:44" ht="15" customHeight="1" x14ac:dyDescent="0.2">
      <c r="A86" s="4"/>
      <c r="B86" s="2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21"/>
      <c r="U86" s="11"/>
      <c r="AM86" s="1"/>
      <c r="AN86" s="1"/>
      <c r="AP86" s="35"/>
      <c r="AQ86" s="35"/>
      <c r="AR86" s="35"/>
    </row>
    <row r="87" spans="1:44" ht="1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21"/>
      <c r="U87" s="11"/>
      <c r="AM87" s="1"/>
      <c r="AN87" s="1"/>
      <c r="AP87" s="35"/>
      <c r="AQ87" s="35"/>
      <c r="AR87" s="35"/>
    </row>
    <row r="88" spans="1:44" ht="15" customHeight="1" x14ac:dyDescent="0.25">
      <c r="A88" s="78"/>
      <c r="B88" s="7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21"/>
      <c r="U88" s="11"/>
      <c r="AM88" s="1"/>
      <c r="AN88" s="1"/>
      <c r="AP88" s="35"/>
      <c r="AQ88" s="35"/>
      <c r="AR88" s="35"/>
    </row>
    <row r="89" spans="1:44" ht="15" customHeight="1" x14ac:dyDescent="0.25">
      <c r="Q89" s="11"/>
      <c r="R89" s="11"/>
      <c r="S89" s="11"/>
      <c r="T89" s="21"/>
      <c r="U89" s="11"/>
      <c r="AM89" s="1"/>
      <c r="AN89" s="1"/>
      <c r="AP89" s="35"/>
      <c r="AQ89" s="35"/>
      <c r="AR89" s="35"/>
    </row>
    <row r="90" spans="1:44" ht="15" customHeight="1" x14ac:dyDescent="0.25">
      <c r="Q90" s="11"/>
      <c r="R90" s="11"/>
      <c r="S90" s="11"/>
      <c r="T90" s="21"/>
      <c r="U90" s="11"/>
      <c r="AM90" s="1"/>
      <c r="AN90" s="1"/>
      <c r="AP90" s="35"/>
      <c r="AQ90" s="35"/>
      <c r="AR90" s="35"/>
    </row>
    <row r="91" spans="1:44" ht="15" customHeight="1" x14ac:dyDescent="0.25">
      <c r="Q91" s="11"/>
      <c r="R91" s="11"/>
      <c r="S91" s="11"/>
      <c r="T91" s="21"/>
      <c r="U91" s="11"/>
      <c r="AM91" s="1"/>
      <c r="AN91" s="1"/>
      <c r="AP91" s="35"/>
      <c r="AQ91" s="35"/>
      <c r="AR91" s="35"/>
    </row>
    <row r="92" spans="1:44" ht="15" customHeight="1" x14ac:dyDescent="0.25">
      <c r="T92" s="21"/>
      <c r="U92" s="11"/>
      <c r="AM92" s="1"/>
      <c r="AN92" s="1"/>
      <c r="AP92" s="35"/>
      <c r="AQ92" s="35"/>
      <c r="AR92" s="35"/>
    </row>
    <row r="93" spans="1:44" ht="15" customHeight="1" x14ac:dyDescent="0.25">
      <c r="T93" s="21"/>
      <c r="U93" s="11"/>
      <c r="AM93" s="1"/>
      <c r="AN93" s="1"/>
      <c r="AP93" s="35"/>
      <c r="AQ93" s="35"/>
      <c r="AR93" s="35"/>
    </row>
    <row r="94" spans="1:44" ht="15" customHeight="1" x14ac:dyDescent="0.25">
      <c r="T94" s="21"/>
      <c r="U94" s="11"/>
      <c r="AM94" s="1"/>
      <c r="AN94" s="1"/>
      <c r="AP94" s="35"/>
      <c r="AQ94" s="35"/>
      <c r="AR94" s="35"/>
    </row>
    <row r="95" spans="1:44" ht="15" customHeight="1" x14ac:dyDescent="0.25">
      <c r="T95" s="21"/>
      <c r="U95" s="11"/>
      <c r="AM95" s="1"/>
      <c r="AN95" s="1"/>
      <c r="AP95" s="35"/>
      <c r="AQ95" s="35"/>
      <c r="AR95" s="35"/>
    </row>
    <row r="96" spans="1:44" ht="15" customHeight="1" x14ac:dyDescent="0.25">
      <c r="T96" s="21"/>
      <c r="U96" s="11"/>
      <c r="AM96" s="1"/>
      <c r="AN96" s="1"/>
      <c r="AP96" s="35"/>
      <c r="AQ96" s="35"/>
      <c r="AR96" s="35"/>
    </row>
    <row r="97" spans="20:44" ht="15" customHeight="1" x14ac:dyDescent="0.25">
      <c r="T97" s="21"/>
      <c r="U97" s="11"/>
      <c r="AM97" s="1"/>
      <c r="AN97" s="1"/>
      <c r="AP97" s="35"/>
      <c r="AQ97" s="35"/>
      <c r="AR97" s="35"/>
    </row>
    <row r="98" spans="20:44" ht="15" customHeight="1" x14ac:dyDescent="0.25">
      <c r="T98" s="21"/>
      <c r="U98" s="11"/>
      <c r="AM98" s="1"/>
      <c r="AN98" s="1"/>
      <c r="AP98" s="35"/>
      <c r="AQ98" s="35"/>
      <c r="AR98" s="35"/>
    </row>
    <row r="99" spans="20:44" ht="15" customHeight="1" x14ac:dyDescent="0.25">
      <c r="T99" s="21"/>
      <c r="U99" s="11"/>
      <c r="AM99" s="1"/>
      <c r="AN99" s="1"/>
      <c r="AP99" s="35"/>
      <c r="AQ99" s="35"/>
      <c r="AR99" s="35"/>
    </row>
    <row r="100" spans="20:44" ht="15" customHeight="1" x14ac:dyDescent="0.25">
      <c r="T100" s="21"/>
      <c r="U100" s="11"/>
      <c r="AM100" s="1"/>
      <c r="AN100" s="1"/>
      <c r="AP100" s="35"/>
      <c r="AQ100" s="35"/>
      <c r="AR100" s="35"/>
    </row>
    <row r="101" spans="20:44" ht="15" customHeight="1" x14ac:dyDescent="0.25">
      <c r="T101" s="21"/>
      <c r="U101" s="11"/>
      <c r="AM101" s="1"/>
      <c r="AN101" s="1"/>
      <c r="AP101" s="35"/>
      <c r="AQ101" s="35"/>
      <c r="AR101" s="35"/>
    </row>
    <row r="102" spans="20:44" ht="15" customHeight="1" x14ac:dyDescent="0.25">
      <c r="T102" s="21"/>
      <c r="U102" s="11"/>
      <c r="AM102" s="1"/>
      <c r="AN102" s="1"/>
      <c r="AP102" s="35"/>
      <c r="AQ102" s="35"/>
      <c r="AR102" s="35"/>
    </row>
    <row r="103" spans="20:44" ht="15" customHeight="1" x14ac:dyDescent="0.25">
      <c r="T103" s="21"/>
      <c r="U103" s="11"/>
      <c r="AM103" s="1"/>
      <c r="AN103" s="1"/>
      <c r="AP103" s="35"/>
      <c r="AQ103" s="35"/>
      <c r="AR103" s="35"/>
    </row>
    <row r="104" spans="20:44" ht="15" customHeight="1" x14ac:dyDescent="0.25">
      <c r="T104" s="21"/>
      <c r="U104" s="11"/>
      <c r="AM104" s="1"/>
      <c r="AN104" s="1"/>
      <c r="AP104" s="35"/>
      <c r="AQ104" s="35"/>
      <c r="AR104" s="35"/>
    </row>
    <row r="105" spans="20:44" ht="15" customHeight="1" x14ac:dyDescent="0.25">
      <c r="T105" s="11"/>
      <c r="U105" s="11"/>
      <c r="AM105" s="1"/>
      <c r="AN105" s="1"/>
      <c r="AP105" s="35"/>
      <c r="AQ105" s="35"/>
      <c r="AR105" s="35"/>
    </row>
    <row r="106" spans="20:44" ht="15" customHeight="1" x14ac:dyDescent="0.25">
      <c r="T106" s="11"/>
      <c r="U106" s="11"/>
      <c r="AM106" s="1"/>
      <c r="AN106" s="1"/>
      <c r="AP106" s="35"/>
      <c r="AQ106" s="35"/>
      <c r="AR106" s="35"/>
    </row>
    <row r="107" spans="20:44" ht="15" customHeight="1" x14ac:dyDescent="0.25">
      <c r="T107" s="11"/>
      <c r="U107" s="11"/>
      <c r="AM107" s="1"/>
      <c r="AN107" s="1"/>
      <c r="AP107" s="35"/>
      <c r="AQ107" s="35"/>
      <c r="AR107" s="35"/>
    </row>
    <row r="108" spans="20:44" ht="15" customHeight="1" x14ac:dyDescent="0.25">
      <c r="T108" s="11"/>
      <c r="U108" s="11"/>
      <c r="AM108" s="1"/>
      <c r="AN108" s="1"/>
      <c r="AP108" s="35"/>
      <c r="AQ108" s="35"/>
      <c r="AR108" s="35"/>
    </row>
    <row r="109" spans="20:44" ht="15" customHeight="1" x14ac:dyDescent="0.25">
      <c r="T109" s="11"/>
      <c r="U109" s="11"/>
      <c r="AM109" s="1"/>
      <c r="AN109" s="1"/>
      <c r="AP109" s="35"/>
      <c r="AQ109" s="35"/>
      <c r="AR109" s="35"/>
    </row>
    <row r="110" spans="20:44" ht="15" customHeight="1" x14ac:dyDescent="0.25">
      <c r="T110" s="11"/>
      <c r="U110" s="11"/>
      <c r="AM110" s="1"/>
      <c r="AN110" s="1"/>
      <c r="AP110" s="35"/>
      <c r="AQ110" s="35"/>
      <c r="AR110" s="35"/>
    </row>
    <row r="111" spans="20:44" ht="15" customHeight="1" x14ac:dyDescent="0.25">
      <c r="T111" s="11"/>
      <c r="U111" s="11"/>
      <c r="AM111" s="1"/>
      <c r="AN111" s="1"/>
      <c r="AP111" s="35"/>
      <c r="AQ111" s="35"/>
      <c r="AR111" s="35"/>
    </row>
    <row r="112" spans="20:44" ht="15" customHeight="1" x14ac:dyDescent="0.25">
      <c r="T112" s="11"/>
      <c r="U112" s="11"/>
      <c r="AM112" s="1"/>
      <c r="AN112" s="1"/>
      <c r="AP112" s="35"/>
      <c r="AQ112" s="35"/>
      <c r="AR112" s="35"/>
    </row>
    <row r="113" spans="20:44" ht="15" customHeight="1" x14ac:dyDescent="0.25">
      <c r="T113" s="11"/>
      <c r="U113" s="11"/>
      <c r="AM113" s="1"/>
      <c r="AN113" s="1"/>
      <c r="AP113" s="35"/>
      <c r="AQ113" s="35"/>
      <c r="AR113" s="35"/>
    </row>
    <row r="114" spans="20:44" ht="15" customHeight="1" x14ac:dyDescent="0.25">
      <c r="T114" s="11"/>
      <c r="U114" s="11"/>
      <c r="AM114" s="1"/>
      <c r="AN114" s="1"/>
      <c r="AP114" s="35"/>
      <c r="AQ114" s="35"/>
      <c r="AR114" s="35"/>
    </row>
    <row r="115" spans="20:44" ht="15" customHeight="1" x14ac:dyDescent="0.25">
      <c r="T115" s="11"/>
      <c r="U115" s="11"/>
      <c r="AM115" s="1"/>
      <c r="AN115" s="1"/>
      <c r="AP115" s="35"/>
      <c r="AQ115" s="35"/>
      <c r="AR115" s="35"/>
    </row>
    <row r="116" spans="20:44" ht="15" customHeight="1" x14ac:dyDescent="0.25">
      <c r="T116" s="11"/>
      <c r="U116" s="11"/>
      <c r="AM116" s="1"/>
      <c r="AN116" s="1"/>
      <c r="AP116" s="35"/>
      <c r="AQ116" s="35"/>
      <c r="AR116" s="35"/>
    </row>
    <row r="117" spans="20:44" ht="15" customHeight="1" x14ac:dyDescent="0.25">
      <c r="T117" s="11"/>
      <c r="U117" s="11"/>
      <c r="AM117" s="1"/>
      <c r="AN117" s="1"/>
      <c r="AP117" s="35"/>
      <c r="AQ117" s="35"/>
      <c r="AR117" s="35"/>
    </row>
    <row r="118" spans="20:44" ht="15" customHeight="1" x14ac:dyDescent="0.25">
      <c r="T118" s="11"/>
      <c r="U118" s="11"/>
      <c r="AM118" s="1"/>
      <c r="AN118" s="1"/>
      <c r="AP118" s="35"/>
      <c r="AQ118" s="35"/>
      <c r="AR118" s="35"/>
    </row>
    <row r="119" spans="20:44" ht="15" customHeight="1" x14ac:dyDescent="0.25">
      <c r="T119" s="11"/>
      <c r="U119" s="11"/>
      <c r="AR119" s="35"/>
    </row>
    <row r="120" spans="20:44" ht="15" customHeight="1" x14ac:dyDescent="0.25">
      <c r="T120" s="11"/>
      <c r="U120" s="11"/>
      <c r="AR120" s="35"/>
    </row>
  </sheetData>
  <mergeCells count="4">
    <mergeCell ref="A88:B88"/>
    <mergeCell ref="A66:B66"/>
    <mergeCell ref="U25:V25"/>
    <mergeCell ref="A67:B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</vt:lpstr>
      <vt:lpstr>Major</vt:lpstr>
      <vt:lpstr>Pearce's cc</vt:lpstr>
      <vt:lpstr>Trace</vt:lpstr>
      <vt:lpstr>REE</vt:lpstr>
      <vt:lpstr>ICV-CIA</vt:lpstr>
      <vt:lpstr>A-CN-K</vt:lpstr>
      <vt:lpstr>15Al-Zr-300Ti</vt:lpstr>
      <vt:lpstr>Chondrite_Morb-norm REEs</vt:lpstr>
      <vt:lpstr>Spider diagram</vt:lpstr>
      <vt:lpstr>Tectonic set. - DF 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Chrysanthos Botziolis</dc:creator>
  <cp:lastModifiedBy>SedLab</cp:lastModifiedBy>
  <cp:lastPrinted>2023-01-16T11:56:52Z</cp:lastPrinted>
  <dcterms:created xsi:type="dcterms:W3CDTF">2015-06-05T18:19:34Z</dcterms:created>
  <dcterms:modified xsi:type="dcterms:W3CDTF">2023-07-25T10:17:25Z</dcterms:modified>
</cp:coreProperties>
</file>