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9"/>
  <workbookPr/>
  <mc:AlternateContent xmlns:mc="http://schemas.openxmlformats.org/markup-compatibility/2006">
    <mc:Choice Requires="x15">
      <x15ac:absPath xmlns:x15ac="http://schemas.microsoft.com/office/spreadsheetml/2010/11/ac" url="/Users/opomerenk/Downloads/"/>
    </mc:Choice>
  </mc:AlternateContent>
  <xr:revisionPtr revIDLastSave="0" documentId="11_9C3D77238142B5114A2DCF0FCA4D79832181D723" xr6:coauthVersionLast="47" xr6:coauthVersionMax="47" xr10:uidLastSave="{00000000-0000-0000-0000-000000000000}"/>
  <bookViews>
    <workbookView xWindow="0" yWindow="460" windowWidth="28800" windowHeight="15680" activeTab="37" xr2:uid="{00000000-000D-0000-FFFF-FFFF00000000}"/>
  </bookViews>
  <sheets>
    <sheet name="Pipe Information" sheetId="1" r:id="rId1"/>
    <sheet name="03" sheetId="2" r:id="rId2"/>
    <sheet name="04" sheetId="3" r:id="rId3"/>
    <sheet name="05" sheetId="4" r:id="rId4"/>
    <sheet name="06" sheetId="5" r:id="rId5"/>
    <sheet name="11" sheetId="6" r:id="rId6"/>
    <sheet name="12" sheetId="7" r:id="rId7"/>
    <sheet name="13" sheetId="8" r:id="rId8"/>
    <sheet name="14" sheetId="9" r:id="rId9"/>
    <sheet name="15" sheetId="10" r:id="rId10"/>
    <sheet name="16" sheetId="48" r:id="rId11"/>
    <sheet name="21" sheetId="12" r:id="rId12"/>
    <sheet name="22" sheetId="13" r:id="rId13"/>
    <sheet name="23" sheetId="14" r:id="rId14"/>
    <sheet name="24" sheetId="15" r:id="rId15"/>
    <sheet name="25" sheetId="16" r:id="rId16"/>
    <sheet name="26" sheetId="17" r:id="rId17"/>
    <sheet name="31" sheetId="18" r:id="rId18"/>
    <sheet name="32" sheetId="19" r:id="rId19"/>
    <sheet name="33" sheetId="20" r:id="rId20"/>
    <sheet name="34" sheetId="21" r:id="rId21"/>
    <sheet name="35" sheetId="22" r:id="rId22"/>
    <sheet name="36" sheetId="23" r:id="rId23"/>
    <sheet name="44" sheetId="24" r:id="rId24"/>
    <sheet name="45" sheetId="25" r:id="rId25"/>
    <sheet name="46" sheetId="26" r:id="rId26"/>
    <sheet name="54" sheetId="27" r:id="rId27"/>
    <sheet name="55" sheetId="28" r:id="rId28"/>
    <sheet name="56" sheetId="29" r:id="rId29"/>
    <sheet name="glyc_06" sheetId="38" r:id="rId30"/>
    <sheet name="glyc_05" sheetId="39" r:id="rId31"/>
    <sheet name="glyc_04" sheetId="40" r:id="rId32"/>
    <sheet name="glyc_03" sheetId="41" r:id="rId33"/>
    <sheet name="glyc_16" sheetId="42" r:id="rId34"/>
    <sheet name="glyc_15" sheetId="43" r:id="rId35"/>
    <sheet name="glyc_14" sheetId="44" r:id="rId36"/>
    <sheet name="glyc_13" sheetId="45" r:id="rId37"/>
    <sheet name="glyc_12" sheetId="46" r:id="rId38"/>
    <sheet name="glyc_26" sheetId="47" r:id="rId39"/>
    <sheet name="glyc_23" sheetId="49" r:id="rId40"/>
    <sheet name="glyc_34" sheetId="51" r:id="rId41"/>
    <sheet name="glyc_25" sheetId="52" r:id="rId42"/>
    <sheet name="glyc_45" sheetId="53" r:id="rId43"/>
    <sheet name="plastic1" sheetId="30" r:id="rId44"/>
    <sheet name="plastic 2" sheetId="31" r:id="rId45"/>
    <sheet name="bubble_tea" sheetId="32" r:id="rId46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3" roundtripDataSignature="AMtx7mj5cxQIiB/vBEOkGDlrDqKxlw7nDg=="/>
    </ext>
  </extLst>
</workbook>
</file>

<file path=xl/calcChain.xml><?xml version="1.0" encoding="utf-8"?>
<calcChain xmlns="http://schemas.openxmlformats.org/spreadsheetml/2006/main">
  <c r="F3" i="32" l="1"/>
  <c r="F4" i="32"/>
  <c r="F5" i="32"/>
  <c r="F6" i="32"/>
  <c r="F7" i="32"/>
  <c r="F8" i="32"/>
  <c r="F9" i="32"/>
  <c r="F10" i="32"/>
  <c r="F11" i="32"/>
  <c r="F12" i="32"/>
  <c r="F13" i="32"/>
  <c r="F14" i="32"/>
  <c r="F15" i="32"/>
  <c r="F2" i="32"/>
  <c r="F3" i="31"/>
  <c r="F4" i="31"/>
  <c r="F5" i="31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" i="31"/>
  <c r="F3" i="30"/>
  <c r="F4" i="30"/>
  <c r="F5" i="30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" i="30"/>
  <c r="D3" i="53"/>
  <c r="C3" i="53"/>
  <c r="B3" i="53"/>
  <c r="B4" i="53"/>
  <c r="D4" i="53"/>
  <c r="C4" i="53"/>
  <c r="B5" i="53"/>
  <c r="D5" i="53"/>
  <c r="C5" i="53"/>
  <c r="D6" i="53"/>
  <c r="C6" i="53"/>
  <c r="B6" i="53"/>
  <c r="E6" i="53" s="1"/>
  <c r="D7" i="53"/>
  <c r="C7" i="53"/>
  <c r="B7" i="53"/>
  <c r="E7" i="53"/>
  <c r="D8" i="53"/>
  <c r="C8" i="53"/>
  <c r="B8" i="53"/>
  <c r="E8" i="53" s="1"/>
  <c r="D9" i="53"/>
  <c r="C9" i="53"/>
  <c r="B9" i="53"/>
  <c r="D10" i="53"/>
  <c r="C10" i="53"/>
  <c r="B10" i="53"/>
  <c r="E10" i="53" s="1"/>
  <c r="D11" i="53"/>
  <c r="C11" i="53"/>
  <c r="B11" i="53"/>
  <c r="D12" i="53"/>
  <c r="C12" i="53"/>
  <c r="B12" i="53"/>
  <c r="D13" i="53"/>
  <c r="C13" i="53"/>
  <c r="B13" i="53"/>
  <c r="D14" i="53"/>
  <c r="C14" i="53"/>
  <c r="B14" i="53"/>
  <c r="D15" i="53"/>
  <c r="C15" i="53"/>
  <c r="B15" i="53"/>
  <c r="E15" i="53"/>
  <c r="B16" i="53"/>
  <c r="E2" i="53"/>
  <c r="E9" i="53"/>
  <c r="D16" i="53"/>
  <c r="C16" i="53"/>
  <c r="E16" i="53" s="1"/>
  <c r="G16" i="53"/>
  <c r="G15" i="53"/>
  <c r="H15" i="53" s="1"/>
  <c r="K15" i="53" s="1"/>
  <c r="G14" i="53"/>
  <c r="G13" i="53"/>
  <c r="G12" i="53"/>
  <c r="G11" i="53"/>
  <c r="G10" i="53"/>
  <c r="G9" i="53"/>
  <c r="G8" i="53"/>
  <c r="G7" i="53"/>
  <c r="H7" i="53" s="1"/>
  <c r="K7" i="53" s="1"/>
  <c r="G6" i="53"/>
  <c r="G5" i="53"/>
  <c r="G4" i="53"/>
  <c r="G3" i="53"/>
  <c r="G2" i="53"/>
  <c r="H2" i="53"/>
  <c r="K2" i="53"/>
  <c r="E3" i="53"/>
  <c r="H3" i="53"/>
  <c r="K3" i="53"/>
  <c r="E4" i="53"/>
  <c r="H4" i="53"/>
  <c r="K4" i="53"/>
  <c r="E5" i="53"/>
  <c r="H5" i="53"/>
  <c r="K5" i="53"/>
  <c r="E11" i="53"/>
  <c r="H11" i="53"/>
  <c r="K11" i="53"/>
  <c r="E12" i="53"/>
  <c r="H12" i="53"/>
  <c r="K12" i="53"/>
  <c r="E13" i="53"/>
  <c r="E14" i="53"/>
  <c r="H14" i="53"/>
  <c r="K14" i="53"/>
  <c r="H9" i="53"/>
  <c r="K9" i="53"/>
  <c r="H13" i="53"/>
  <c r="K13" i="53"/>
  <c r="B3" i="52"/>
  <c r="D3" i="52"/>
  <c r="C3" i="52"/>
  <c r="D4" i="52"/>
  <c r="B4" i="52"/>
  <c r="C4" i="52"/>
  <c r="D5" i="52"/>
  <c r="C5" i="52"/>
  <c r="B5" i="52"/>
  <c r="D6" i="52"/>
  <c r="C6" i="52"/>
  <c r="B6" i="52"/>
  <c r="D7" i="52"/>
  <c r="C7" i="52"/>
  <c r="B7" i="52"/>
  <c r="D8" i="52"/>
  <c r="C8" i="52"/>
  <c r="B8" i="52"/>
  <c r="D9" i="52"/>
  <c r="C9" i="52"/>
  <c r="B9" i="52"/>
  <c r="D10" i="52"/>
  <c r="C10" i="52"/>
  <c r="B10" i="52"/>
  <c r="D11" i="52"/>
  <c r="C11" i="52"/>
  <c r="B11" i="52"/>
  <c r="D12" i="52"/>
  <c r="C12" i="52"/>
  <c r="B12" i="52"/>
  <c r="D13" i="52"/>
  <c r="C13" i="52"/>
  <c r="B13" i="52"/>
  <c r="D14" i="52"/>
  <c r="C14" i="52"/>
  <c r="B14" i="52"/>
  <c r="D15" i="52"/>
  <c r="C15" i="52"/>
  <c r="B15" i="52"/>
  <c r="D16" i="52"/>
  <c r="C16" i="52"/>
  <c r="B16" i="52"/>
  <c r="G16" i="52"/>
  <c r="E16" i="52"/>
  <c r="H16" i="52"/>
  <c r="K16" i="52"/>
  <c r="G15" i="52"/>
  <c r="E15" i="52"/>
  <c r="H15" i="52"/>
  <c r="K15" i="52"/>
  <c r="G14" i="52"/>
  <c r="E14" i="52"/>
  <c r="H14" i="52"/>
  <c r="K14" i="52"/>
  <c r="G13" i="52"/>
  <c r="E13" i="52"/>
  <c r="H13" i="52"/>
  <c r="K13" i="52"/>
  <c r="G12" i="52"/>
  <c r="E12" i="52"/>
  <c r="H12" i="52"/>
  <c r="K12" i="52"/>
  <c r="G11" i="52"/>
  <c r="E11" i="52"/>
  <c r="H11" i="52"/>
  <c r="K11" i="52"/>
  <c r="G10" i="52"/>
  <c r="E10" i="52"/>
  <c r="H10" i="52"/>
  <c r="K10" i="52"/>
  <c r="G9" i="52"/>
  <c r="E9" i="52"/>
  <c r="H9" i="52"/>
  <c r="K9" i="52"/>
  <c r="G8" i="52"/>
  <c r="E8" i="52"/>
  <c r="H8" i="52"/>
  <c r="K8" i="52"/>
  <c r="G7" i="52"/>
  <c r="E7" i="52"/>
  <c r="H7" i="52"/>
  <c r="K7" i="52"/>
  <c r="G6" i="52"/>
  <c r="E6" i="52"/>
  <c r="H6" i="52"/>
  <c r="K6" i="52"/>
  <c r="G5" i="52"/>
  <c r="E5" i="52"/>
  <c r="H5" i="52"/>
  <c r="K5" i="52"/>
  <c r="G4" i="52"/>
  <c r="E4" i="52"/>
  <c r="H4" i="52"/>
  <c r="K4" i="52"/>
  <c r="G3" i="52"/>
  <c r="E3" i="52"/>
  <c r="H3" i="52"/>
  <c r="K3" i="52"/>
  <c r="K2" i="52"/>
  <c r="G2" i="52"/>
  <c r="D3" i="51"/>
  <c r="C3" i="51"/>
  <c r="B4" i="51"/>
  <c r="B3" i="51"/>
  <c r="D4" i="51"/>
  <c r="C4" i="51"/>
  <c r="D5" i="51"/>
  <c r="C5" i="51"/>
  <c r="B5" i="51"/>
  <c r="D6" i="51"/>
  <c r="C6" i="51"/>
  <c r="B6" i="51"/>
  <c r="D7" i="51"/>
  <c r="C7" i="51"/>
  <c r="B7" i="51"/>
  <c r="D8" i="51"/>
  <c r="C8" i="51"/>
  <c r="B8" i="51"/>
  <c r="D9" i="51"/>
  <c r="C9" i="51"/>
  <c r="B9" i="51"/>
  <c r="D10" i="51"/>
  <c r="C10" i="51"/>
  <c r="B10" i="51"/>
  <c r="D11" i="51"/>
  <c r="C11" i="51"/>
  <c r="B11" i="51"/>
  <c r="D12" i="51"/>
  <c r="C12" i="51"/>
  <c r="B12" i="51"/>
  <c r="D13" i="51"/>
  <c r="C13" i="51"/>
  <c r="B13" i="51"/>
  <c r="D14" i="51"/>
  <c r="C14" i="51"/>
  <c r="B14" i="51"/>
  <c r="D15" i="51"/>
  <c r="C15" i="51"/>
  <c r="B15" i="51"/>
  <c r="D16" i="51"/>
  <c r="C16" i="51"/>
  <c r="B16" i="51"/>
  <c r="G16" i="51"/>
  <c r="E16" i="51"/>
  <c r="H16" i="51"/>
  <c r="K16" i="51"/>
  <c r="G15" i="51"/>
  <c r="E15" i="51"/>
  <c r="H15" i="51"/>
  <c r="K15" i="51"/>
  <c r="G14" i="51"/>
  <c r="E14" i="51"/>
  <c r="H14" i="51"/>
  <c r="K14" i="51"/>
  <c r="G13" i="51"/>
  <c r="E13" i="51"/>
  <c r="H13" i="51"/>
  <c r="K13" i="51"/>
  <c r="G12" i="51"/>
  <c r="E12" i="51"/>
  <c r="H12" i="51"/>
  <c r="K12" i="51"/>
  <c r="G11" i="51"/>
  <c r="E11" i="51"/>
  <c r="H11" i="51"/>
  <c r="K11" i="51"/>
  <c r="G10" i="51"/>
  <c r="E10" i="51"/>
  <c r="H10" i="51"/>
  <c r="K10" i="51"/>
  <c r="G9" i="51"/>
  <c r="E9" i="51"/>
  <c r="H9" i="51"/>
  <c r="K9" i="51"/>
  <c r="G8" i="51"/>
  <c r="E8" i="51"/>
  <c r="H8" i="51"/>
  <c r="K8" i="51"/>
  <c r="G7" i="51"/>
  <c r="E7" i="51"/>
  <c r="H7" i="51"/>
  <c r="K7" i="51"/>
  <c r="G6" i="51"/>
  <c r="E6" i="51"/>
  <c r="H6" i="51"/>
  <c r="K6" i="51"/>
  <c r="G5" i="51"/>
  <c r="E5" i="51"/>
  <c r="H5" i="51"/>
  <c r="K5" i="51"/>
  <c r="G4" i="51"/>
  <c r="E4" i="51"/>
  <c r="H4" i="51"/>
  <c r="K4" i="51"/>
  <c r="G3" i="51"/>
  <c r="E3" i="51"/>
  <c r="H3" i="51"/>
  <c r="K3" i="51"/>
  <c r="K2" i="51"/>
  <c r="G2" i="51"/>
  <c r="D3" i="49"/>
  <c r="C3" i="49"/>
  <c r="B3" i="49"/>
  <c r="D4" i="49"/>
  <c r="C4" i="49"/>
  <c r="B4" i="49"/>
  <c r="D5" i="49"/>
  <c r="C5" i="49"/>
  <c r="B5" i="49"/>
  <c r="D6" i="49"/>
  <c r="C6" i="49"/>
  <c r="B6" i="49"/>
  <c r="D7" i="49"/>
  <c r="C7" i="49"/>
  <c r="B7" i="49"/>
  <c r="D8" i="49"/>
  <c r="C8" i="49"/>
  <c r="B8" i="49"/>
  <c r="D9" i="49"/>
  <c r="C9" i="49"/>
  <c r="B9" i="49"/>
  <c r="D10" i="49"/>
  <c r="C10" i="49"/>
  <c r="B10" i="49"/>
  <c r="D11" i="49"/>
  <c r="C11" i="49"/>
  <c r="B11" i="49"/>
  <c r="D12" i="49"/>
  <c r="C12" i="49"/>
  <c r="B12" i="49"/>
  <c r="D13" i="49"/>
  <c r="C13" i="49"/>
  <c r="B13" i="49"/>
  <c r="K2" i="49"/>
  <c r="D14" i="49"/>
  <c r="C14" i="49"/>
  <c r="B14" i="49"/>
  <c r="D15" i="49"/>
  <c r="C15" i="49"/>
  <c r="B15" i="49"/>
  <c r="G15" i="49"/>
  <c r="E15" i="49"/>
  <c r="H15" i="49"/>
  <c r="K15" i="49"/>
  <c r="G14" i="49"/>
  <c r="E14" i="49"/>
  <c r="H14" i="49"/>
  <c r="K14" i="49"/>
  <c r="G13" i="49"/>
  <c r="E13" i="49"/>
  <c r="H13" i="49"/>
  <c r="K13" i="49"/>
  <c r="G12" i="49"/>
  <c r="E12" i="49"/>
  <c r="H12" i="49"/>
  <c r="K12" i="49"/>
  <c r="G11" i="49"/>
  <c r="E11" i="49"/>
  <c r="H11" i="49"/>
  <c r="K11" i="49"/>
  <c r="G10" i="49"/>
  <c r="E10" i="49"/>
  <c r="H10" i="49"/>
  <c r="K10" i="49"/>
  <c r="G9" i="49"/>
  <c r="E9" i="49"/>
  <c r="H9" i="49"/>
  <c r="K9" i="49"/>
  <c r="G8" i="49"/>
  <c r="E8" i="49"/>
  <c r="H8" i="49"/>
  <c r="K8" i="49"/>
  <c r="G7" i="49"/>
  <c r="E7" i="49"/>
  <c r="H7" i="49"/>
  <c r="K7" i="49"/>
  <c r="G6" i="49"/>
  <c r="E6" i="49"/>
  <c r="H6" i="49"/>
  <c r="K6" i="49"/>
  <c r="G5" i="49"/>
  <c r="E5" i="49"/>
  <c r="H5" i="49"/>
  <c r="K5" i="49"/>
  <c r="G4" i="49"/>
  <c r="E4" i="49"/>
  <c r="H4" i="49"/>
  <c r="K4" i="49"/>
  <c r="G3" i="49"/>
  <c r="E3" i="49"/>
  <c r="H3" i="49"/>
  <c r="K3" i="49"/>
  <c r="G2" i="49"/>
  <c r="F26" i="48"/>
  <c r="G26" i="48"/>
  <c r="D26" i="48"/>
  <c r="C26" i="48"/>
  <c r="B26" i="48"/>
  <c r="E26" i="48"/>
  <c r="H26" i="48"/>
  <c r="K26" i="48"/>
  <c r="F25" i="48"/>
  <c r="G25" i="48"/>
  <c r="D25" i="48"/>
  <c r="C25" i="48"/>
  <c r="B25" i="48"/>
  <c r="E25" i="48"/>
  <c r="H25" i="48"/>
  <c r="K25" i="48"/>
  <c r="F24" i="48"/>
  <c r="G24" i="48"/>
  <c r="D24" i="48"/>
  <c r="C24" i="48"/>
  <c r="B24" i="48"/>
  <c r="E24" i="48"/>
  <c r="H24" i="48"/>
  <c r="K24" i="48"/>
  <c r="F23" i="48"/>
  <c r="G23" i="48"/>
  <c r="D23" i="48"/>
  <c r="C23" i="48"/>
  <c r="B23" i="48"/>
  <c r="E23" i="48"/>
  <c r="H23" i="48"/>
  <c r="K23" i="48"/>
  <c r="F22" i="48"/>
  <c r="G22" i="48"/>
  <c r="D22" i="48"/>
  <c r="C22" i="48"/>
  <c r="B22" i="48"/>
  <c r="E22" i="48"/>
  <c r="H22" i="48"/>
  <c r="K22" i="48"/>
  <c r="F21" i="48"/>
  <c r="G21" i="48"/>
  <c r="D21" i="48"/>
  <c r="C21" i="48"/>
  <c r="B21" i="48"/>
  <c r="E21" i="48"/>
  <c r="H21" i="48"/>
  <c r="K21" i="48"/>
  <c r="F20" i="48"/>
  <c r="G20" i="48"/>
  <c r="D20" i="48"/>
  <c r="C20" i="48"/>
  <c r="B20" i="48"/>
  <c r="E20" i="48"/>
  <c r="H20" i="48"/>
  <c r="K20" i="48"/>
  <c r="F19" i="48"/>
  <c r="G19" i="48"/>
  <c r="D19" i="48"/>
  <c r="C19" i="48"/>
  <c r="B19" i="48"/>
  <c r="E19" i="48"/>
  <c r="H19" i="48"/>
  <c r="K19" i="48"/>
  <c r="F18" i="48"/>
  <c r="G18" i="48"/>
  <c r="D18" i="48"/>
  <c r="C18" i="48"/>
  <c r="B18" i="48"/>
  <c r="E18" i="48"/>
  <c r="H18" i="48"/>
  <c r="K18" i="48"/>
  <c r="F17" i="48"/>
  <c r="G17" i="48"/>
  <c r="D17" i="48"/>
  <c r="C17" i="48"/>
  <c r="B17" i="48"/>
  <c r="E17" i="48"/>
  <c r="H17" i="48"/>
  <c r="K17" i="48"/>
  <c r="F16" i="48"/>
  <c r="G16" i="48"/>
  <c r="D16" i="48"/>
  <c r="C16" i="48"/>
  <c r="B16" i="48"/>
  <c r="E16" i="48"/>
  <c r="H16" i="48"/>
  <c r="K16" i="48"/>
  <c r="F15" i="48"/>
  <c r="G15" i="48"/>
  <c r="D15" i="48"/>
  <c r="C15" i="48"/>
  <c r="B15" i="48"/>
  <c r="E15" i="48"/>
  <c r="H15" i="48"/>
  <c r="K15" i="48"/>
  <c r="F14" i="48"/>
  <c r="G14" i="48"/>
  <c r="D14" i="48"/>
  <c r="C14" i="48"/>
  <c r="B14" i="48"/>
  <c r="E14" i="48"/>
  <c r="H14" i="48"/>
  <c r="K14" i="48"/>
  <c r="F13" i="48"/>
  <c r="G13" i="48"/>
  <c r="D13" i="48"/>
  <c r="C13" i="48"/>
  <c r="B13" i="48"/>
  <c r="E13" i="48"/>
  <c r="H13" i="48"/>
  <c r="K13" i="48"/>
  <c r="F12" i="48"/>
  <c r="G12" i="48"/>
  <c r="D12" i="48"/>
  <c r="C12" i="48"/>
  <c r="B12" i="48"/>
  <c r="E12" i="48"/>
  <c r="H12" i="48"/>
  <c r="K12" i="48"/>
  <c r="F11" i="48"/>
  <c r="G11" i="48"/>
  <c r="D11" i="48"/>
  <c r="C11" i="48"/>
  <c r="B11" i="48"/>
  <c r="E11" i="48"/>
  <c r="H11" i="48"/>
  <c r="K11" i="48"/>
  <c r="F10" i="48"/>
  <c r="G10" i="48"/>
  <c r="D10" i="48"/>
  <c r="C10" i="48"/>
  <c r="B10" i="48"/>
  <c r="E10" i="48"/>
  <c r="H10" i="48"/>
  <c r="K10" i="48"/>
  <c r="F9" i="48"/>
  <c r="G9" i="48"/>
  <c r="D9" i="48"/>
  <c r="C9" i="48"/>
  <c r="B9" i="48"/>
  <c r="E9" i="48"/>
  <c r="H9" i="48"/>
  <c r="K9" i="48"/>
  <c r="F8" i="48"/>
  <c r="G8" i="48"/>
  <c r="D8" i="48"/>
  <c r="C8" i="48"/>
  <c r="B8" i="48"/>
  <c r="E8" i="48"/>
  <c r="H8" i="48"/>
  <c r="K8" i="48"/>
  <c r="F7" i="48"/>
  <c r="G7" i="48"/>
  <c r="D7" i="48"/>
  <c r="C7" i="48"/>
  <c r="B7" i="48"/>
  <c r="E7" i="48"/>
  <c r="H7" i="48"/>
  <c r="K7" i="48"/>
  <c r="F6" i="48"/>
  <c r="G6" i="48"/>
  <c r="D6" i="48"/>
  <c r="C6" i="48"/>
  <c r="B6" i="48"/>
  <c r="E6" i="48"/>
  <c r="H6" i="48"/>
  <c r="K6" i="48"/>
  <c r="F5" i="48"/>
  <c r="G5" i="48"/>
  <c r="D5" i="48"/>
  <c r="C5" i="48"/>
  <c r="B5" i="48"/>
  <c r="E5" i="48"/>
  <c r="H5" i="48"/>
  <c r="K5" i="48"/>
  <c r="F4" i="48"/>
  <c r="G4" i="48"/>
  <c r="D4" i="48"/>
  <c r="C4" i="48"/>
  <c r="B4" i="48"/>
  <c r="E4" i="48"/>
  <c r="H4" i="48"/>
  <c r="K4" i="48"/>
  <c r="F3" i="48"/>
  <c r="G3" i="48"/>
  <c r="D3" i="48"/>
  <c r="C3" i="48"/>
  <c r="B3" i="48"/>
  <c r="E3" i="48"/>
  <c r="H3" i="48"/>
  <c r="K3" i="48"/>
  <c r="F2" i="48"/>
  <c r="G2" i="48"/>
  <c r="H2" i="48"/>
  <c r="K2" i="48"/>
  <c r="G16" i="47"/>
  <c r="D16" i="47"/>
  <c r="C16" i="47"/>
  <c r="B16" i="47"/>
  <c r="E16" i="47"/>
  <c r="H16" i="47"/>
  <c r="K16" i="47"/>
  <c r="G15" i="47"/>
  <c r="D15" i="47"/>
  <c r="C15" i="47"/>
  <c r="B15" i="47"/>
  <c r="E15" i="47"/>
  <c r="H15" i="47"/>
  <c r="K15" i="47"/>
  <c r="G14" i="47"/>
  <c r="D14" i="47"/>
  <c r="C14" i="47"/>
  <c r="B14" i="47"/>
  <c r="E14" i="47"/>
  <c r="H14" i="47"/>
  <c r="K14" i="47"/>
  <c r="G13" i="47"/>
  <c r="D13" i="47"/>
  <c r="C13" i="47"/>
  <c r="B13" i="47"/>
  <c r="E13" i="47"/>
  <c r="H13" i="47"/>
  <c r="K13" i="47"/>
  <c r="G12" i="47"/>
  <c r="D12" i="47"/>
  <c r="C12" i="47"/>
  <c r="B12" i="47"/>
  <c r="E12" i="47"/>
  <c r="H12" i="47"/>
  <c r="K12" i="47"/>
  <c r="G11" i="47"/>
  <c r="D11" i="47"/>
  <c r="C11" i="47"/>
  <c r="B11" i="47"/>
  <c r="E11" i="47"/>
  <c r="H11" i="47"/>
  <c r="K11" i="47"/>
  <c r="G10" i="47"/>
  <c r="D10" i="47"/>
  <c r="C10" i="47"/>
  <c r="B10" i="47"/>
  <c r="E10" i="47"/>
  <c r="H10" i="47"/>
  <c r="K10" i="47"/>
  <c r="G9" i="47"/>
  <c r="D9" i="47"/>
  <c r="C9" i="47"/>
  <c r="B9" i="47"/>
  <c r="E9" i="47"/>
  <c r="H9" i="47"/>
  <c r="K9" i="47"/>
  <c r="G8" i="47"/>
  <c r="D8" i="47"/>
  <c r="C8" i="47"/>
  <c r="B8" i="47"/>
  <c r="E8" i="47"/>
  <c r="H8" i="47"/>
  <c r="K8" i="47"/>
  <c r="G7" i="47"/>
  <c r="D7" i="47"/>
  <c r="C7" i="47"/>
  <c r="B7" i="47"/>
  <c r="E7" i="47"/>
  <c r="H7" i="47"/>
  <c r="K7" i="47"/>
  <c r="G6" i="47"/>
  <c r="D6" i="47"/>
  <c r="C6" i="47"/>
  <c r="B6" i="47"/>
  <c r="E6" i="47"/>
  <c r="H6" i="47"/>
  <c r="K6" i="47"/>
  <c r="G5" i="47"/>
  <c r="D5" i="47"/>
  <c r="C5" i="47"/>
  <c r="B5" i="47"/>
  <c r="E5" i="47"/>
  <c r="H5" i="47"/>
  <c r="K5" i="47"/>
  <c r="G4" i="47"/>
  <c r="D4" i="47"/>
  <c r="C4" i="47"/>
  <c r="B4" i="47"/>
  <c r="E4" i="47"/>
  <c r="H4" i="47"/>
  <c r="K4" i="47"/>
  <c r="G3" i="47"/>
  <c r="D3" i="47"/>
  <c r="C3" i="47"/>
  <c r="B3" i="47"/>
  <c r="E3" i="47"/>
  <c r="H3" i="47"/>
  <c r="K3" i="47"/>
  <c r="G2" i="47"/>
  <c r="E2" i="47"/>
  <c r="H2" i="47"/>
  <c r="K2" i="47"/>
  <c r="G15" i="46"/>
  <c r="D15" i="46"/>
  <c r="C15" i="46"/>
  <c r="B15" i="46"/>
  <c r="E15" i="46"/>
  <c r="H15" i="46"/>
  <c r="K15" i="46"/>
  <c r="G14" i="46"/>
  <c r="D14" i="46"/>
  <c r="C14" i="46"/>
  <c r="B14" i="46"/>
  <c r="E14" i="46"/>
  <c r="H14" i="46"/>
  <c r="K14" i="46"/>
  <c r="G13" i="46"/>
  <c r="D13" i="46"/>
  <c r="C13" i="46"/>
  <c r="B13" i="46"/>
  <c r="E13" i="46"/>
  <c r="H13" i="46"/>
  <c r="K13" i="46"/>
  <c r="G12" i="46"/>
  <c r="D12" i="46"/>
  <c r="C12" i="46"/>
  <c r="B12" i="46"/>
  <c r="E12" i="46"/>
  <c r="H12" i="46"/>
  <c r="K12" i="46"/>
  <c r="G11" i="46"/>
  <c r="D11" i="46"/>
  <c r="C11" i="46"/>
  <c r="B11" i="46"/>
  <c r="E11" i="46"/>
  <c r="H11" i="46"/>
  <c r="K11" i="46"/>
  <c r="G10" i="46"/>
  <c r="D10" i="46"/>
  <c r="C10" i="46"/>
  <c r="B10" i="46"/>
  <c r="E10" i="46"/>
  <c r="H10" i="46"/>
  <c r="K10" i="46"/>
  <c r="G9" i="46"/>
  <c r="D9" i="46"/>
  <c r="C9" i="46"/>
  <c r="B9" i="46"/>
  <c r="E9" i="46"/>
  <c r="H9" i="46"/>
  <c r="K9" i="46"/>
  <c r="G8" i="46"/>
  <c r="D8" i="46"/>
  <c r="C8" i="46"/>
  <c r="B8" i="46"/>
  <c r="E8" i="46"/>
  <c r="H8" i="46"/>
  <c r="K8" i="46"/>
  <c r="G7" i="46"/>
  <c r="D7" i="46"/>
  <c r="C7" i="46"/>
  <c r="B7" i="46"/>
  <c r="E7" i="46"/>
  <c r="H7" i="46"/>
  <c r="K7" i="46"/>
  <c r="G6" i="46"/>
  <c r="D6" i="46"/>
  <c r="C6" i="46"/>
  <c r="B6" i="46"/>
  <c r="E6" i="46"/>
  <c r="H6" i="46"/>
  <c r="K6" i="46"/>
  <c r="G5" i="46"/>
  <c r="D5" i="46"/>
  <c r="C5" i="46"/>
  <c r="B5" i="46"/>
  <c r="E5" i="46"/>
  <c r="H5" i="46"/>
  <c r="K5" i="46"/>
  <c r="G4" i="46"/>
  <c r="D4" i="46"/>
  <c r="C4" i="46"/>
  <c r="B4" i="46"/>
  <c r="E4" i="46"/>
  <c r="H4" i="46"/>
  <c r="K4" i="46"/>
  <c r="G3" i="46"/>
  <c r="D3" i="46"/>
  <c r="C3" i="46"/>
  <c r="B3" i="46"/>
  <c r="E3" i="46"/>
  <c r="H3" i="46"/>
  <c r="K3" i="46"/>
  <c r="G2" i="46"/>
  <c r="E2" i="46"/>
  <c r="H2" i="46"/>
  <c r="K2" i="46"/>
  <c r="G16" i="45"/>
  <c r="D16" i="45"/>
  <c r="C16" i="45"/>
  <c r="B16" i="45"/>
  <c r="E16" i="45"/>
  <c r="H16" i="45"/>
  <c r="K16" i="45"/>
  <c r="G15" i="45"/>
  <c r="D15" i="45"/>
  <c r="C15" i="45"/>
  <c r="B15" i="45"/>
  <c r="E15" i="45"/>
  <c r="H15" i="45"/>
  <c r="K15" i="45"/>
  <c r="G14" i="45"/>
  <c r="D14" i="45"/>
  <c r="C14" i="45"/>
  <c r="B14" i="45"/>
  <c r="E14" i="45"/>
  <c r="H14" i="45"/>
  <c r="K14" i="45"/>
  <c r="G13" i="45"/>
  <c r="D13" i="45"/>
  <c r="C13" i="45"/>
  <c r="B13" i="45"/>
  <c r="E13" i="45"/>
  <c r="H13" i="45"/>
  <c r="K13" i="45"/>
  <c r="G12" i="45"/>
  <c r="D12" i="45"/>
  <c r="C12" i="45"/>
  <c r="B12" i="45"/>
  <c r="E12" i="45"/>
  <c r="H12" i="45"/>
  <c r="K12" i="45"/>
  <c r="G11" i="45"/>
  <c r="D11" i="45"/>
  <c r="C11" i="45"/>
  <c r="B11" i="45"/>
  <c r="E11" i="45"/>
  <c r="H11" i="45"/>
  <c r="K11" i="45"/>
  <c r="G10" i="45"/>
  <c r="D10" i="45"/>
  <c r="C10" i="45"/>
  <c r="B10" i="45"/>
  <c r="E10" i="45"/>
  <c r="H10" i="45"/>
  <c r="K10" i="45"/>
  <c r="G9" i="45"/>
  <c r="D9" i="45"/>
  <c r="C9" i="45"/>
  <c r="B9" i="45"/>
  <c r="E9" i="45"/>
  <c r="H9" i="45"/>
  <c r="K9" i="45"/>
  <c r="G8" i="45"/>
  <c r="D8" i="45"/>
  <c r="C8" i="45"/>
  <c r="B8" i="45"/>
  <c r="E8" i="45"/>
  <c r="H8" i="45"/>
  <c r="K8" i="45"/>
  <c r="G7" i="45"/>
  <c r="D7" i="45"/>
  <c r="C7" i="45"/>
  <c r="B7" i="45"/>
  <c r="E7" i="45"/>
  <c r="H7" i="45"/>
  <c r="K7" i="45"/>
  <c r="G6" i="45"/>
  <c r="D6" i="45"/>
  <c r="C6" i="45"/>
  <c r="B6" i="45"/>
  <c r="E6" i="45"/>
  <c r="H6" i="45"/>
  <c r="K6" i="45"/>
  <c r="G5" i="45"/>
  <c r="D5" i="45"/>
  <c r="C5" i="45"/>
  <c r="B5" i="45"/>
  <c r="E5" i="45"/>
  <c r="H5" i="45"/>
  <c r="K5" i="45"/>
  <c r="G4" i="45"/>
  <c r="D4" i="45"/>
  <c r="C4" i="45"/>
  <c r="B4" i="45"/>
  <c r="E4" i="45"/>
  <c r="H4" i="45"/>
  <c r="K4" i="45"/>
  <c r="G3" i="45"/>
  <c r="D3" i="45"/>
  <c r="C3" i="45"/>
  <c r="B3" i="45"/>
  <c r="E3" i="45"/>
  <c r="H3" i="45"/>
  <c r="K3" i="45"/>
  <c r="G2" i="45"/>
  <c r="E2" i="45"/>
  <c r="H2" i="45"/>
  <c r="K2" i="45"/>
  <c r="F16" i="44"/>
  <c r="G16" i="44"/>
  <c r="D16" i="44"/>
  <c r="C16" i="44"/>
  <c r="B16" i="44"/>
  <c r="E16" i="44"/>
  <c r="H16" i="44"/>
  <c r="K16" i="44"/>
  <c r="F15" i="44"/>
  <c r="G15" i="44"/>
  <c r="D15" i="44"/>
  <c r="C15" i="44"/>
  <c r="B15" i="44"/>
  <c r="E15" i="44"/>
  <c r="H15" i="44"/>
  <c r="K15" i="44"/>
  <c r="F14" i="44"/>
  <c r="G14" i="44"/>
  <c r="D14" i="44"/>
  <c r="C14" i="44"/>
  <c r="B14" i="44"/>
  <c r="E14" i="44"/>
  <c r="H14" i="44"/>
  <c r="K14" i="44"/>
  <c r="F13" i="44"/>
  <c r="G13" i="44"/>
  <c r="D13" i="44"/>
  <c r="C13" i="44"/>
  <c r="B13" i="44"/>
  <c r="E13" i="44"/>
  <c r="H13" i="44"/>
  <c r="K13" i="44"/>
  <c r="F12" i="44"/>
  <c r="G12" i="44"/>
  <c r="D12" i="44"/>
  <c r="C12" i="44"/>
  <c r="B12" i="44"/>
  <c r="E12" i="44"/>
  <c r="H12" i="44"/>
  <c r="K12" i="44"/>
  <c r="F11" i="44"/>
  <c r="G11" i="44"/>
  <c r="D11" i="44"/>
  <c r="C11" i="44"/>
  <c r="B11" i="44"/>
  <c r="E11" i="44"/>
  <c r="H11" i="44"/>
  <c r="K11" i="44"/>
  <c r="F10" i="44"/>
  <c r="G10" i="44"/>
  <c r="D10" i="44"/>
  <c r="C10" i="44"/>
  <c r="B10" i="44"/>
  <c r="E10" i="44"/>
  <c r="H10" i="44"/>
  <c r="K10" i="44"/>
  <c r="F9" i="44"/>
  <c r="G9" i="44"/>
  <c r="D9" i="44"/>
  <c r="C9" i="44"/>
  <c r="B9" i="44"/>
  <c r="E9" i="44"/>
  <c r="H9" i="44"/>
  <c r="K9" i="44"/>
  <c r="F8" i="44"/>
  <c r="G8" i="44"/>
  <c r="D8" i="44"/>
  <c r="C8" i="44"/>
  <c r="B8" i="44"/>
  <c r="E8" i="44"/>
  <c r="H8" i="44"/>
  <c r="K8" i="44"/>
  <c r="F7" i="44"/>
  <c r="G7" i="44"/>
  <c r="D7" i="44"/>
  <c r="C7" i="44"/>
  <c r="B7" i="44"/>
  <c r="E7" i="44"/>
  <c r="H7" i="44"/>
  <c r="K7" i="44"/>
  <c r="F6" i="44"/>
  <c r="G6" i="44"/>
  <c r="D6" i="44"/>
  <c r="C6" i="44"/>
  <c r="B6" i="44"/>
  <c r="E6" i="44"/>
  <c r="H6" i="44"/>
  <c r="K6" i="44"/>
  <c r="F5" i="44"/>
  <c r="G5" i="44"/>
  <c r="D5" i="44"/>
  <c r="C5" i="44"/>
  <c r="B5" i="44"/>
  <c r="E5" i="44"/>
  <c r="H5" i="44"/>
  <c r="K5" i="44"/>
  <c r="F4" i="44"/>
  <c r="G4" i="44"/>
  <c r="D4" i="44"/>
  <c r="C4" i="44"/>
  <c r="B4" i="44"/>
  <c r="E4" i="44"/>
  <c r="H4" i="44"/>
  <c r="K4" i="44"/>
  <c r="F3" i="44"/>
  <c r="G3" i="44"/>
  <c r="D3" i="44"/>
  <c r="C3" i="44"/>
  <c r="B3" i="44"/>
  <c r="E3" i="44"/>
  <c r="H3" i="44"/>
  <c r="K3" i="44"/>
  <c r="F2" i="44"/>
  <c r="G2" i="44"/>
  <c r="E2" i="44"/>
  <c r="H2" i="44"/>
  <c r="K2" i="44"/>
  <c r="G16" i="43"/>
  <c r="D16" i="43"/>
  <c r="C16" i="43"/>
  <c r="B16" i="43"/>
  <c r="E16" i="43"/>
  <c r="H16" i="43"/>
  <c r="K16" i="43"/>
  <c r="G15" i="43"/>
  <c r="D15" i="43"/>
  <c r="C15" i="43"/>
  <c r="B15" i="43"/>
  <c r="E15" i="43"/>
  <c r="H15" i="43"/>
  <c r="K15" i="43"/>
  <c r="G14" i="43"/>
  <c r="D14" i="43"/>
  <c r="C14" i="43"/>
  <c r="B14" i="43"/>
  <c r="E14" i="43"/>
  <c r="H14" i="43"/>
  <c r="K14" i="43"/>
  <c r="G13" i="43"/>
  <c r="D13" i="43"/>
  <c r="C13" i="43"/>
  <c r="B13" i="43"/>
  <c r="E13" i="43"/>
  <c r="H13" i="43"/>
  <c r="K13" i="43"/>
  <c r="G12" i="43"/>
  <c r="D12" i="43"/>
  <c r="C12" i="43"/>
  <c r="B12" i="43"/>
  <c r="E12" i="43"/>
  <c r="H12" i="43"/>
  <c r="K12" i="43"/>
  <c r="G11" i="43"/>
  <c r="D11" i="43"/>
  <c r="C11" i="43"/>
  <c r="B11" i="43"/>
  <c r="E11" i="43"/>
  <c r="H11" i="43"/>
  <c r="K11" i="43"/>
  <c r="G10" i="43"/>
  <c r="D10" i="43"/>
  <c r="C10" i="43"/>
  <c r="B10" i="43"/>
  <c r="E10" i="43"/>
  <c r="H10" i="43"/>
  <c r="K10" i="43"/>
  <c r="G9" i="43"/>
  <c r="D9" i="43"/>
  <c r="C9" i="43"/>
  <c r="B9" i="43"/>
  <c r="E9" i="43"/>
  <c r="H9" i="43"/>
  <c r="K9" i="43"/>
  <c r="G8" i="43"/>
  <c r="D8" i="43"/>
  <c r="C8" i="43"/>
  <c r="B8" i="43"/>
  <c r="E8" i="43"/>
  <c r="H8" i="43"/>
  <c r="K8" i="43"/>
  <c r="G7" i="43"/>
  <c r="D7" i="43"/>
  <c r="C7" i="43"/>
  <c r="B7" i="43"/>
  <c r="E7" i="43"/>
  <c r="H7" i="43"/>
  <c r="K7" i="43"/>
  <c r="G6" i="43"/>
  <c r="D6" i="43"/>
  <c r="C6" i="43"/>
  <c r="B6" i="43"/>
  <c r="E6" i="43"/>
  <c r="H6" i="43"/>
  <c r="K6" i="43"/>
  <c r="G5" i="43"/>
  <c r="D5" i="43"/>
  <c r="C5" i="43"/>
  <c r="B5" i="43"/>
  <c r="E5" i="43"/>
  <c r="H5" i="43"/>
  <c r="K5" i="43"/>
  <c r="G4" i="43"/>
  <c r="D4" i="43"/>
  <c r="C4" i="43"/>
  <c r="B4" i="43"/>
  <c r="E4" i="43"/>
  <c r="H4" i="43"/>
  <c r="K4" i="43"/>
  <c r="G3" i="43"/>
  <c r="D3" i="43"/>
  <c r="C3" i="43"/>
  <c r="B3" i="43"/>
  <c r="E3" i="43"/>
  <c r="H3" i="43"/>
  <c r="K3" i="43"/>
  <c r="G2" i="43"/>
  <c r="E2" i="43"/>
  <c r="H2" i="43"/>
  <c r="K2" i="43"/>
  <c r="F15" i="42"/>
  <c r="G15" i="42"/>
  <c r="D15" i="42"/>
  <c r="C15" i="42"/>
  <c r="B15" i="42"/>
  <c r="E15" i="42"/>
  <c r="H15" i="42"/>
  <c r="K15" i="42"/>
  <c r="F14" i="42"/>
  <c r="G14" i="42"/>
  <c r="D14" i="42"/>
  <c r="C14" i="42"/>
  <c r="B14" i="42"/>
  <c r="E14" i="42"/>
  <c r="H14" i="42"/>
  <c r="K14" i="42"/>
  <c r="F13" i="42"/>
  <c r="G13" i="42"/>
  <c r="D13" i="42"/>
  <c r="C13" i="42"/>
  <c r="B13" i="42"/>
  <c r="E13" i="42"/>
  <c r="H13" i="42"/>
  <c r="K13" i="42"/>
  <c r="F12" i="42"/>
  <c r="G12" i="42"/>
  <c r="D12" i="42"/>
  <c r="C12" i="42"/>
  <c r="B12" i="42"/>
  <c r="E12" i="42"/>
  <c r="H12" i="42"/>
  <c r="K12" i="42"/>
  <c r="F11" i="42"/>
  <c r="G11" i="42"/>
  <c r="D11" i="42"/>
  <c r="C11" i="42"/>
  <c r="B11" i="42"/>
  <c r="E11" i="42"/>
  <c r="H11" i="42"/>
  <c r="K11" i="42"/>
  <c r="F10" i="42"/>
  <c r="G10" i="42"/>
  <c r="D10" i="42"/>
  <c r="C10" i="42"/>
  <c r="B10" i="42"/>
  <c r="E10" i="42"/>
  <c r="H10" i="42"/>
  <c r="K10" i="42"/>
  <c r="F9" i="42"/>
  <c r="G9" i="42"/>
  <c r="D9" i="42"/>
  <c r="C9" i="42"/>
  <c r="B9" i="42"/>
  <c r="E9" i="42"/>
  <c r="H9" i="42"/>
  <c r="K9" i="42"/>
  <c r="F8" i="42"/>
  <c r="G8" i="42"/>
  <c r="D8" i="42"/>
  <c r="C8" i="42"/>
  <c r="B8" i="42"/>
  <c r="E8" i="42"/>
  <c r="H8" i="42"/>
  <c r="K8" i="42"/>
  <c r="F7" i="42"/>
  <c r="G7" i="42"/>
  <c r="D7" i="42"/>
  <c r="C7" i="42"/>
  <c r="B7" i="42"/>
  <c r="E7" i="42"/>
  <c r="H7" i="42"/>
  <c r="K7" i="42"/>
  <c r="F6" i="42"/>
  <c r="G6" i="42"/>
  <c r="D6" i="42"/>
  <c r="C6" i="42"/>
  <c r="B6" i="42"/>
  <c r="E6" i="42"/>
  <c r="H6" i="42"/>
  <c r="K6" i="42"/>
  <c r="F5" i="42"/>
  <c r="G5" i="42"/>
  <c r="D5" i="42"/>
  <c r="C5" i="42"/>
  <c r="B5" i="42"/>
  <c r="E5" i="42"/>
  <c r="H5" i="42"/>
  <c r="K5" i="42"/>
  <c r="F4" i="42"/>
  <c r="G4" i="42"/>
  <c r="D4" i="42"/>
  <c r="C4" i="42"/>
  <c r="B4" i="42"/>
  <c r="E4" i="42"/>
  <c r="H4" i="42"/>
  <c r="K4" i="42"/>
  <c r="F3" i="42"/>
  <c r="G3" i="42"/>
  <c r="D3" i="42"/>
  <c r="C3" i="42"/>
  <c r="B3" i="42"/>
  <c r="E3" i="42"/>
  <c r="H3" i="42"/>
  <c r="K3" i="42"/>
  <c r="F2" i="42"/>
  <c r="G2" i="42"/>
  <c r="H2" i="42"/>
  <c r="K2" i="42"/>
  <c r="G17" i="41"/>
  <c r="D17" i="41"/>
  <c r="C17" i="41"/>
  <c r="B17" i="41"/>
  <c r="E17" i="41"/>
  <c r="H17" i="41"/>
  <c r="K17" i="41"/>
  <c r="G16" i="41"/>
  <c r="D16" i="41"/>
  <c r="C16" i="41"/>
  <c r="B16" i="41"/>
  <c r="E16" i="41"/>
  <c r="H16" i="41"/>
  <c r="K16" i="41"/>
  <c r="G15" i="41"/>
  <c r="D15" i="41"/>
  <c r="C15" i="41"/>
  <c r="B15" i="41"/>
  <c r="E15" i="41"/>
  <c r="H15" i="41"/>
  <c r="K15" i="41"/>
  <c r="G14" i="41"/>
  <c r="D14" i="41"/>
  <c r="C14" i="41"/>
  <c r="B14" i="41"/>
  <c r="E14" i="41"/>
  <c r="H14" i="41"/>
  <c r="K14" i="41"/>
  <c r="G13" i="41"/>
  <c r="D13" i="41"/>
  <c r="C13" i="41"/>
  <c r="B13" i="41"/>
  <c r="E13" i="41"/>
  <c r="H13" i="41"/>
  <c r="K13" i="41"/>
  <c r="G12" i="41"/>
  <c r="D12" i="41"/>
  <c r="C12" i="41"/>
  <c r="B12" i="41"/>
  <c r="E12" i="41"/>
  <c r="H12" i="41"/>
  <c r="K12" i="41"/>
  <c r="G11" i="41"/>
  <c r="D11" i="41"/>
  <c r="C11" i="41"/>
  <c r="B11" i="41"/>
  <c r="E11" i="41"/>
  <c r="H11" i="41"/>
  <c r="K11" i="41"/>
  <c r="G10" i="41"/>
  <c r="E10" i="41"/>
  <c r="H10" i="41"/>
  <c r="K10" i="41"/>
  <c r="G9" i="41"/>
  <c r="D9" i="41"/>
  <c r="C9" i="41"/>
  <c r="B9" i="41"/>
  <c r="E9" i="41"/>
  <c r="H9" i="41"/>
  <c r="K9" i="41"/>
  <c r="G8" i="41"/>
  <c r="D8" i="41"/>
  <c r="C8" i="41"/>
  <c r="B8" i="41"/>
  <c r="E8" i="41"/>
  <c r="H8" i="41"/>
  <c r="K8" i="41"/>
  <c r="G7" i="41"/>
  <c r="D7" i="41"/>
  <c r="C7" i="41"/>
  <c r="B7" i="41"/>
  <c r="E7" i="41"/>
  <c r="H7" i="41"/>
  <c r="K7" i="41"/>
  <c r="G6" i="41"/>
  <c r="D6" i="41"/>
  <c r="C6" i="41"/>
  <c r="B6" i="41"/>
  <c r="E6" i="41"/>
  <c r="H6" i="41"/>
  <c r="K6" i="41"/>
  <c r="G5" i="41"/>
  <c r="D5" i="41"/>
  <c r="C5" i="41"/>
  <c r="B5" i="41"/>
  <c r="E5" i="41"/>
  <c r="H5" i="41"/>
  <c r="K5" i="41"/>
  <c r="G4" i="41"/>
  <c r="D4" i="41"/>
  <c r="C4" i="41"/>
  <c r="B4" i="41"/>
  <c r="E4" i="41"/>
  <c r="H4" i="41"/>
  <c r="K4" i="41"/>
  <c r="G3" i="41"/>
  <c r="D3" i="41"/>
  <c r="C3" i="41"/>
  <c r="B3" i="41"/>
  <c r="E3" i="41"/>
  <c r="H3" i="41"/>
  <c r="K3" i="41"/>
  <c r="G2" i="41"/>
  <c r="E2" i="41"/>
  <c r="H2" i="41"/>
  <c r="K2" i="41"/>
  <c r="G17" i="40"/>
  <c r="D17" i="40"/>
  <c r="C17" i="40"/>
  <c r="B17" i="40"/>
  <c r="E17" i="40"/>
  <c r="H17" i="40"/>
  <c r="K17" i="40"/>
  <c r="G16" i="40"/>
  <c r="D16" i="40"/>
  <c r="C16" i="40"/>
  <c r="B16" i="40"/>
  <c r="E16" i="40"/>
  <c r="H16" i="40"/>
  <c r="K16" i="40"/>
  <c r="G15" i="40"/>
  <c r="D15" i="40"/>
  <c r="C15" i="40"/>
  <c r="B15" i="40"/>
  <c r="E15" i="40"/>
  <c r="H15" i="40"/>
  <c r="K15" i="40"/>
  <c r="G14" i="40"/>
  <c r="D14" i="40"/>
  <c r="C14" i="40"/>
  <c r="B14" i="40"/>
  <c r="E14" i="40"/>
  <c r="H14" i="40"/>
  <c r="K14" i="40"/>
  <c r="G13" i="40"/>
  <c r="D13" i="40"/>
  <c r="C13" i="40"/>
  <c r="B13" i="40"/>
  <c r="E13" i="40"/>
  <c r="H13" i="40"/>
  <c r="K13" i="40"/>
  <c r="G12" i="40"/>
  <c r="D12" i="40"/>
  <c r="C12" i="40"/>
  <c r="B12" i="40"/>
  <c r="E12" i="40"/>
  <c r="H12" i="40"/>
  <c r="K12" i="40"/>
  <c r="G11" i="40"/>
  <c r="D11" i="40"/>
  <c r="C11" i="40"/>
  <c r="B11" i="40"/>
  <c r="E11" i="40"/>
  <c r="H11" i="40"/>
  <c r="K11" i="40"/>
  <c r="G10" i="40"/>
  <c r="D10" i="40"/>
  <c r="C10" i="40"/>
  <c r="B10" i="40"/>
  <c r="E10" i="40"/>
  <c r="H10" i="40"/>
  <c r="K10" i="40"/>
  <c r="G9" i="40"/>
  <c r="D9" i="40"/>
  <c r="C9" i="40"/>
  <c r="B9" i="40"/>
  <c r="E9" i="40"/>
  <c r="H9" i="40"/>
  <c r="K9" i="40"/>
  <c r="G8" i="40"/>
  <c r="D8" i="40"/>
  <c r="C8" i="40"/>
  <c r="B8" i="40"/>
  <c r="E8" i="40"/>
  <c r="H8" i="40"/>
  <c r="K8" i="40"/>
  <c r="G7" i="40"/>
  <c r="D7" i="40"/>
  <c r="C7" i="40"/>
  <c r="B7" i="40"/>
  <c r="E7" i="40"/>
  <c r="H7" i="40"/>
  <c r="K7" i="40"/>
  <c r="G6" i="40"/>
  <c r="D6" i="40"/>
  <c r="C6" i="40"/>
  <c r="B6" i="40"/>
  <c r="E6" i="40"/>
  <c r="H6" i="40"/>
  <c r="K6" i="40"/>
  <c r="G5" i="40"/>
  <c r="D5" i="40"/>
  <c r="C5" i="40"/>
  <c r="B5" i="40"/>
  <c r="E5" i="40"/>
  <c r="H5" i="40"/>
  <c r="K5" i="40"/>
  <c r="G4" i="40"/>
  <c r="D4" i="40"/>
  <c r="C4" i="40"/>
  <c r="B4" i="40"/>
  <c r="E4" i="40"/>
  <c r="H4" i="40"/>
  <c r="K4" i="40"/>
  <c r="G3" i="40"/>
  <c r="D3" i="40"/>
  <c r="C3" i="40"/>
  <c r="B3" i="40"/>
  <c r="E3" i="40"/>
  <c r="H3" i="40"/>
  <c r="K3" i="40"/>
  <c r="G2" i="40"/>
  <c r="E2" i="40"/>
  <c r="H2" i="40"/>
  <c r="K2" i="40"/>
  <c r="G16" i="39"/>
  <c r="D16" i="39"/>
  <c r="C16" i="39"/>
  <c r="B16" i="39"/>
  <c r="E16" i="39"/>
  <c r="H16" i="39"/>
  <c r="K16" i="39"/>
  <c r="G15" i="39"/>
  <c r="D15" i="39"/>
  <c r="C15" i="39"/>
  <c r="B15" i="39"/>
  <c r="E15" i="39"/>
  <c r="H15" i="39"/>
  <c r="K15" i="39"/>
  <c r="G14" i="39"/>
  <c r="D14" i="39"/>
  <c r="C14" i="39"/>
  <c r="B14" i="39"/>
  <c r="E14" i="39"/>
  <c r="H14" i="39"/>
  <c r="K14" i="39"/>
  <c r="G13" i="39"/>
  <c r="D13" i="39"/>
  <c r="C13" i="39"/>
  <c r="B13" i="39"/>
  <c r="E13" i="39"/>
  <c r="H13" i="39"/>
  <c r="K13" i="39"/>
  <c r="G12" i="39"/>
  <c r="D12" i="39"/>
  <c r="C12" i="39"/>
  <c r="B12" i="39"/>
  <c r="E12" i="39"/>
  <c r="H12" i="39"/>
  <c r="K12" i="39"/>
  <c r="G11" i="39"/>
  <c r="D11" i="39"/>
  <c r="C11" i="39"/>
  <c r="B11" i="39"/>
  <c r="E11" i="39"/>
  <c r="H11" i="39"/>
  <c r="K11" i="39"/>
  <c r="G10" i="39"/>
  <c r="D10" i="39"/>
  <c r="C10" i="39"/>
  <c r="B10" i="39"/>
  <c r="E10" i="39"/>
  <c r="H10" i="39"/>
  <c r="K10" i="39"/>
  <c r="G9" i="39"/>
  <c r="D9" i="39"/>
  <c r="C9" i="39"/>
  <c r="B9" i="39"/>
  <c r="E9" i="39"/>
  <c r="H9" i="39"/>
  <c r="K9" i="39"/>
  <c r="G8" i="39"/>
  <c r="D8" i="39"/>
  <c r="C8" i="39"/>
  <c r="B8" i="39"/>
  <c r="E8" i="39"/>
  <c r="H8" i="39"/>
  <c r="K8" i="39"/>
  <c r="G7" i="39"/>
  <c r="D7" i="39"/>
  <c r="C7" i="39"/>
  <c r="B7" i="39"/>
  <c r="E7" i="39"/>
  <c r="H7" i="39"/>
  <c r="K7" i="39"/>
  <c r="G6" i="39"/>
  <c r="D6" i="39"/>
  <c r="C6" i="39"/>
  <c r="B6" i="39"/>
  <c r="E6" i="39"/>
  <c r="H6" i="39"/>
  <c r="K6" i="39"/>
  <c r="G5" i="39"/>
  <c r="D5" i="39"/>
  <c r="C5" i="39"/>
  <c r="B5" i="39"/>
  <c r="E5" i="39"/>
  <c r="H5" i="39"/>
  <c r="K5" i="39"/>
  <c r="G4" i="39"/>
  <c r="D4" i="39"/>
  <c r="C4" i="39"/>
  <c r="B4" i="39"/>
  <c r="E4" i="39"/>
  <c r="H4" i="39"/>
  <c r="K4" i="39"/>
  <c r="G3" i="39"/>
  <c r="D3" i="39"/>
  <c r="C3" i="39"/>
  <c r="B3" i="39"/>
  <c r="E3" i="39"/>
  <c r="H3" i="39"/>
  <c r="K3" i="39"/>
  <c r="G2" i="39"/>
  <c r="E2" i="39"/>
  <c r="H2" i="39"/>
  <c r="K2" i="39"/>
  <c r="F16" i="38"/>
  <c r="G16" i="38"/>
  <c r="D16" i="38"/>
  <c r="C16" i="38"/>
  <c r="B16" i="38"/>
  <c r="E16" i="38"/>
  <c r="H16" i="38"/>
  <c r="K16" i="38"/>
  <c r="F15" i="38"/>
  <c r="G15" i="38"/>
  <c r="D15" i="38"/>
  <c r="C15" i="38"/>
  <c r="B15" i="38"/>
  <c r="E15" i="38"/>
  <c r="H15" i="38"/>
  <c r="K15" i="38"/>
  <c r="F14" i="38"/>
  <c r="G14" i="38"/>
  <c r="D14" i="38"/>
  <c r="C14" i="38"/>
  <c r="B14" i="38"/>
  <c r="E14" i="38"/>
  <c r="H14" i="38"/>
  <c r="K14" i="38"/>
  <c r="F13" i="38"/>
  <c r="G13" i="38"/>
  <c r="D13" i="38"/>
  <c r="C13" i="38"/>
  <c r="B13" i="38"/>
  <c r="E13" i="38"/>
  <c r="H13" i="38"/>
  <c r="K13" i="38"/>
  <c r="F12" i="38"/>
  <c r="G12" i="38"/>
  <c r="D12" i="38"/>
  <c r="C12" i="38"/>
  <c r="B12" i="38"/>
  <c r="E12" i="38"/>
  <c r="H12" i="38"/>
  <c r="K12" i="38"/>
  <c r="F11" i="38"/>
  <c r="G11" i="38"/>
  <c r="D11" i="38"/>
  <c r="C11" i="38"/>
  <c r="B11" i="38"/>
  <c r="E11" i="38"/>
  <c r="H11" i="38"/>
  <c r="K11" i="38"/>
  <c r="F10" i="38"/>
  <c r="G10" i="38"/>
  <c r="D10" i="38"/>
  <c r="C10" i="38"/>
  <c r="B10" i="38"/>
  <c r="E10" i="38"/>
  <c r="H10" i="38"/>
  <c r="K10" i="38"/>
  <c r="F9" i="38"/>
  <c r="G9" i="38"/>
  <c r="D9" i="38"/>
  <c r="C9" i="38"/>
  <c r="B9" i="38"/>
  <c r="E9" i="38"/>
  <c r="H9" i="38"/>
  <c r="K9" i="38"/>
  <c r="F8" i="38"/>
  <c r="G8" i="38"/>
  <c r="D8" i="38"/>
  <c r="C8" i="38"/>
  <c r="B8" i="38"/>
  <c r="E8" i="38"/>
  <c r="H8" i="38"/>
  <c r="K8" i="38"/>
  <c r="F7" i="38"/>
  <c r="G7" i="38"/>
  <c r="D7" i="38"/>
  <c r="C7" i="38"/>
  <c r="B7" i="38"/>
  <c r="E7" i="38"/>
  <c r="H7" i="38"/>
  <c r="K7" i="38"/>
  <c r="F6" i="38"/>
  <c r="G6" i="38"/>
  <c r="D6" i="38"/>
  <c r="C6" i="38"/>
  <c r="B6" i="38"/>
  <c r="E6" i="38"/>
  <c r="H6" i="38"/>
  <c r="K6" i="38"/>
  <c r="F5" i="38"/>
  <c r="G5" i="38"/>
  <c r="D5" i="38"/>
  <c r="C5" i="38"/>
  <c r="B5" i="38"/>
  <c r="E5" i="38"/>
  <c r="H5" i="38"/>
  <c r="K5" i="38"/>
  <c r="F4" i="38"/>
  <c r="G4" i="38"/>
  <c r="D4" i="38"/>
  <c r="C4" i="38"/>
  <c r="B4" i="38"/>
  <c r="E4" i="38"/>
  <c r="H4" i="38"/>
  <c r="K4" i="38"/>
  <c r="F3" i="38"/>
  <c r="G3" i="38"/>
  <c r="D3" i="38"/>
  <c r="C3" i="38"/>
  <c r="B3" i="38"/>
  <c r="E3" i="38"/>
  <c r="H3" i="38"/>
  <c r="K3" i="38"/>
  <c r="F2" i="38"/>
  <c r="G2" i="38"/>
  <c r="E2" i="38"/>
  <c r="H2" i="38"/>
  <c r="K2" i="38"/>
  <c r="G15" i="32"/>
  <c r="D15" i="32"/>
  <c r="C15" i="32"/>
  <c r="B15" i="32"/>
  <c r="E15" i="32"/>
  <c r="H15" i="32"/>
  <c r="K15" i="32"/>
  <c r="G14" i="32"/>
  <c r="D14" i="32"/>
  <c r="C14" i="32"/>
  <c r="B14" i="32"/>
  <c r="E14" i="32"/>
  <c r="H14" i="32"/>
  <c r="K14" i="32"/>
  <c r="G13" i="32"/>
  <c r="D13" i="32"/>
  <c r="C13" i="32"/>
  <c r="B13" i="32"/>
  <c r="E13" i="32"/>
  <c r="H13" i="32"/>
  <c r="K13" i="32"/>
  <c r="G12" i="32"/>
  <c r="D12" i="32"/>
  <c r="C12" i="32"/>
  <c r="B12" i="32"/>
  <c r="E12" i="32"/>
  <c r="H12" i="32"/>
  <c r="K12" i="32"/>
  <c r="G11" i="32"/>
  <c r="D11" i="32"/>
  <c r="C11" i="32"/>
  <c r="B11" i="32"/>
  <c r="E11" i="32"/>
  <c r="H11" i="32"/>
  <c r="K11" i="32"/>
  <c r="G10" i="32"/>
  <c r="D10" i="32"/>
  <c r="C10" i="32"/>
  <c r="B10" i="32"/>
  <c r="E10" i="32"/>
  <c r="H10" i="32"/>
  <c r="K10" i="32"/>
  <c r="G9" i="32"/>
  <c r="D9" i="32"/>
  <c r="C9" i="32"/>
  <c r="B9" i="32"/>
  <c r="E9" i="32"/>
  <c r="H9" i="32"/>
  <c r="K9" i="32"/>
  <c r="G8" i="32"/>
  <c r="D8" i="32"/>
  <c r="C8" i="32"/>
  <c r="B8" i="32"/>
  <c r="E8" i="32"/>
  <c r="H8" i="32"/>
  <c r="K8" i="32"/>
  <c r="G7" i="32"/>
  <c r="D7" i="32"/>
  <c r="C7" i="32"/>
  <c r="B7" i="32"/>
  <c r="E7" i="32"/>
  <c r="H7" i="32"/>
  <c r="K7" i="32"/>
  <c r="G6" i="32"/>
  <c r="D6" i="32"/>
  <c r="C6" i="32"/>
  <c r="B6" i="32"/>
  <c r="E6" i="32"/>
  <c r="H6" i="32"/>
  <c r="K6" i="32"/>
  <c r="G5" i="32"/>
  <c r="D5" i="32"/>
  <c r="C5" i="32"/>
  <c r="B5" i="32"/>
  <c r="E5" i="32"/>
  <c r="H5" i="32"/>
  <c r="K5" i="32"/>
  <c r="G4" i="32"/>
  <c r="D4" i="32"/>
  <c r="C4" i="32"/>
  <c r="B4" i="32"/>
  <c r="E4" i="32"/>
  <c r="H4" i="32"/>
  <c r="K4" i="32"/>
  <c r="G3" i="32"/>
  <c r="D3" i="32"/>
  <c r="C3" i="32"/>
  <c r="B3" i="32"/>
  <c r="E3" i="32"/>
  <c r="H3" i="32"/>
  <c r="K3" i="32"/>
  <c r="G2" i="32"/>
  <c r="E2" i="32"/>
  <c r="H2" i="32"/>
  <c r="K2" i="32"/>
  <c r="G20" i="31"/>
  <c r="D20" i="31"/>
  <c r="C20" i="31"/>
  <c r="B20" i="31"/>
  <c r="E20" i="31"/>
  <c r="H20" i="31"/>
  <c r="K20" i="31"/>
  <c r="G19" i="31"/>
  <c r="D19" i="31"/>
  <c r="C19" i="31"/>
  <c r="B19" i="31"/>
  <c r="E19" i="31"/>
  <c r="H19" i="31"/>
  <c r="K19" i="31"/>
  <c r="G18" i="31"/>
  <c r="D18" i="31"/>
  <c r="C18" i="31"/>
  <c r="B18" i="31"/>
  <c r="E18" i="31"/>
  <c r="H18" i="31"/>
  <c r="K18" i="31"/>
  <c r="G17" i="31"/>
  <c r="D17" i="31"/>
  <c r="C17" i="31"/>
  <c r="B17" i="31"/>
  <c r="E17" i="31"/>
  <c r="H17" i="31"/>
  <c r="K17" i="31"/>
  <c r="G16" i="31"/>
  <c r="D16" i="31"/>
  <c r="C16" i="31"/>
  <c r="B16" i="31"/>
  <c r="E16" i="31"/>
  <c r="H16" i="31"/>
  <c r="K16" i="31"/>
  <c r="G15" i="31"/>
  <c r="D15" i="31"/>
  <c r="C15" i="31"/>
  <c r="B15" i="31"/>
  <c r="E15" i="31"/>
  <c r="H15" i="31"/>
  <c r="K15" i="31"/>
  <c r="G14" i="31"/>
  <c r="D14" i="31"/>
  <c r="C14" i="31"/>
  <c r="B14" i="31"/>
  <c r="E14" i="31"/>
  <c r="H14" i="31"/>
  <c r="K14" i="31"/>
  <c r="G13" i="31"/>
  <c r="D13" i="31"/>
  <c r="C13" i="31"/>
  <c r="B13" i="31"/>
  <c r="E13" i="31"/>
  <c r="H13" i="31"/>
  <c r="K13" i="31"/>
  <c r="G12" i="31"/>
  <c r="D12" i="31"/>
  <c r="C12" i="31"/>
  <c r="B12" i="31"/>
  <c r="E12" i="31"/>
  <c r="H12" i="31"/>
  <c r="K12" i="31"/>
  <c r="G11" i="31"/>
  <c r="D11" i="31"/>
  <c r="C11" i="31"/>
  <c r="B11" i="31"/>
  <c r="E11" i="31"/>
  <c r="H11" i="31"/>
  <c r="K11" i="31"/>
  <c r="G10" i="31"/>
  <c r="D10" i="31"/>
  <c r="C10" i="31"/>
  <c r="B10" i="31"/>
  <c r="E10" i="31"/>
  <c r="H10" i="31"/>
  <c r="K10" i="31"/>
  <c r="G9" i="31"/>
  <c r="D9" i="31"/>
  <c r="C9" i="31"/>
  <c r="B9" i="31"/>
  <c r="E9" i="31"/>
  <c r="H9" i="31"/>
  <c r="K9" i="31"/>
  <c r="G8" i="31"/>
  <c r="D8" i="31"/>
  <c r="C8" i="31"/>
  <c r="B8" i="31"/>
  <c r="E8" i="31"/>
  <c r="H8" i="31"/>
  <c r="K8" i="31"/>
  <c r="G7" i="31"/>
  <c r="D7" i="31"/>
  <c r="C7" i="31"/>
  <c r="B7" i="31"/>
  <c r="E7" i="31"/>
  <c r="H7" i="31"/>
  <c r="K7" i="31"/>
  <c r="G6" i="31"/>
  <c r="D6" i="31"/>
  <c r="C6" i="31"/>
  <c r="B6" i="31"/>
  <c r="E6" i="31"/>
  <c r="H6" i="31"/>
  <c r="K6" i="31"/>
  <c r="G5" i="31"/>
  <c r="D5" i="31"/>
  <c r="C5" i="31"/>
  <c r="B5" i="31"/>
  <c r="E5" i="31"/>
  <c r="H5" i="31"/>
  <c r="K5" i="31"/>
  <c r="G4" i="31"/>
  <c r="D4" i="31"/>
  <c r="C4" i="31"/>
  <c r="B4" i="31"/>
  <c r="E4" i="31"/>
  <c r="H4" i="31"/>
  <c r="K4" i="31"/>
  <c r="G3" i="31"/>
  <c r="D3" i="31"/>
  <c r="C3" i="31"/>
  <c r="B3" i="31"/>
  <c r="E3" i="31"/>
  <c r="H3" i="31"/>
  <c r="K3" i="31"/>
  <c r="G2" i="31"/>
  <c r="E2" i="31"/>
  <c r="H2" i="31"/>
  <c r="K2" i="31"/>
  <c r="G19" i="30"/>
  <c r="D19" i="30"/>
  <c r="C19" i="30"/>
  <c r="B19" i="30"/>
  <c r="E19" i="30"/>
  <c r="H19" i="30"/>
  <c r="K19" i="30"/>
  <c r="G18" i="30"/>
  <c r="D18" i="30"/>
  <c r="C18" i="30"/>
  <c r="B18" i="30"/>
  <c r="E18" i="30"/>
  <c r="H18" i="30"/>
  <c r="K18" i="30"/>
  <c r="G17" i="30"/>
  <c r="D17" i="30"/>
  <c r="C17" i="30"/>
  <c r="B17" i="30"/>
  <c r="E17" i="30"/>
  <c r="H17" i="30"/>
  <c r="K17" i="30"/>
  <c r="G16" i="30"/>
  <c r="D16" i="30"/>
  <c r="C16" i="30"/>
  <c r="B16" i="30"/>
  <c r="E16" i="30"/>
  <c r="H16" i="30"/>
  <c r="K16" i="30"/>
  <c r="G15" i="30"/>
  <c r="D15" i="30"/>
  <c r="C15" i="30"/>
  <c r="B15" i="30"/>
  <c r="E15" i="30"/>
  <c r="H15" i="30"/>
  <c r="K15" i="30"/>
  <c r="G14" i="30"/>
  <c r="D14" i="30"/>
  <c r="C14" i="30"/>
  <c r="B14" i="30"/>
  <c r="E14" i="30"/>
  <c r="H14" i="30"/>
  <c r="K14" i="30"/>
  <c r="G13" i="30"/>
  <c r="D13" i="30"/>
  <c r="C13" i="30"/>
  <c r="B13" i="30"/>
  <c r="E13" i="30"/>
  <c r="H13" i="30"/>
  <c r="K13" i="30"/>
  <c r="G12" i="30"/>
  <c r="D12" i="30"/>
  <c r="C12" i="30"/>
  <c r="B12" i="30"/>
  <c r="E12" i="30"/>
  <c r="H12" i="30"/>
  <c r="K12" i="30"/>
  <c r="G11" i="30"/>
  <c r="D11" i="30"/>
  <c r="C11" i="30"/>
  <c r="B11" i="30"/>
  <c r="E11" i="30"/>
  <c r="H11" i="30"/>
  <c r="K11" i="30"/>
  <c r="G10" i="30"/>
  <c r="D10" i="30"/>
  <c r="C10" i="30"/>
  <c r="B10" i="30"/>
  <c r="E10" i="30"/>
  <c r="H10" i="30"/>
  <c r="K10" i="30"/>
  <c r="G9" i="30"/>
  <c r="D9" i="30"/>
  <c r="C9" i="30"/>
  <c r="B9" i="30"/>
  <c r="E9" i="30"/>
  <c r="H9" i="30"/>
  <c r="K9" i="30"/>
  <c r="G8" i="30"/>
  <c r="D8" i="30"/>
  <c r="C8" i="30"/>
  <c r="B8" i="30"/>
  <c r="E8" i="30"/>
  <c r="H8" i="30"/>
  <c r="K8" i="30"/>
  <c r="G7" i="30"/>
  <c r="D7" i="30"/>
  <c r="C7" i="30"/>
  <c r="B7" i="30"/>
  <c r="E7" i="30"/>
  <c r="H7" i="30"/>
  <c r="K7" i="30"/>
  <c r="G6" i="30"/>
  <c r="D6" i="30"/>
  <c r="C6" i="30"/>
  <c r="B6" i="30"/>
  <c r="E6" i="30"/>
  <c r="H6" i="30"/>
  <c r="K6" i="30"/>
  <c r="G5" i="30"/>
  <c r="D5" i="30"/>
  <c r="C5" i="30"/>
  <c r="B5" i="30"/>
  <c r="E5" i="30"/>
  <c r="H5" i="30"/>
  <c r="K5" i="30"/>
  <c r="G4" i="30"/>
  <c r="D4" i="30"/>
  <c r="C4" i="30"/>
  <c r="B4" i="30"/>
  <c r="E4" i="30"/>
  <c r="H4" i="30"/>
  <c r="K4" i="30"/>
  <c r="G3" i="30"/>
  <c r="D3" i="30"/>
  <c r="C3" i="30"/>
  <c r="B3" i="30"/>
  <c r="E3" i="30"/>
  <c r="H3" i="30"/>
  <c r="K3" i="30"/>
  <c r="G2" i="30"/>
  <c r="E2" i="30"/>
  <c r="H2" i="30"/>
  <c r="K2" i="30"/>
  <c r="G18" i="29"/>
  <c r="D18" i="29"/>
  <c r="C18" i="29"/>
  <c r="B18" i="29"/>
  <c r="E18" i="29"/>
  <c r="H18" i="29"/>
  <c r="K18" i="29"/>
  <c r="G17" i="29"/>
  <c r="D17" i="29"/>
  <c r="C17" i="29"/>
  <c r="B17" i="29"/>
  <c r="E17" i="29"/>
  <c r="H17" i="29"/>
  <c r="K17" i="29"/>
  <c r="G16" i="29"/>
  <c r="D16" i="29"/>
  <c r="C16" i="29"/>
  <c r="B16" i="29"/>
  <c r="E16" i="29"/>
  <c r="H16" i="29"/>
  <c r="K16" i="29"/>
  <c r="G15" i="29"/>
  <c r="D15" i="29"/>
  <c r="C15" i="29"/>
  <c r="B15" i="29"/>
  <c r="E15" i="29"/>
  <c r="H15" i="29"/>
  <c r="K15" i="29"/>
  <c r="G14" i="29"/>
  <c r="D14" i="29"/>
  <c r="C14" i="29"/>
  <c r="B14" i="29"/>
  <c r="E14" i="29"/>
  <c r="H14" i="29"/>
  <c r="K14" i="29"/>
  <c r="G13" i="29"/>
  <c r="D13" i="29"/>
  <c r="C13" i="29"/>
  <c r="B13" i="29"/>
  <c r="E13" i="29"/>
  <c r="H13" i="29"/>
  <c r="K13" i="29"/>
  <c r="G12" i="29"/>
  <c r="D12" i="29"/>
  <c r="C12" i="29"/>
  <c r="B12" i="29"/>
  <c r="E12" i="29"/>
  <c r="H12" i="29"/>
  <c r="K12" i="29"/>
  <c r="G11" i="29"/>
  <c r="D11" i="29"/>
  <c r="C11" i="29"/>
  <c r="B11" i="29"/>
  <c r="E11" i="29"/>
  <c r="H11" i="29"/>
  <c r="K11" i="29"/>
  <c r="G10" i="29"/>
  <c r="D10" i="29"/>
  <c r="C10" i="29"/>
  <c r="B10" i="29"/>
  <c r="E10" i="29"/>
  <c r="H10" i="29"/>
  <c r="K10" i="29"/>
  <c r="G9" i="29"/>
  <c r="D9" i="29"/>
  <c r="C9" i="29"/>
  <c r="B9" i="29"/>
  <c r="E9" i="29"/>
  <c r="H9" i="29"/>
  <c r="K9" i="29"/>
  <c r="G8" i="29"/>
  <c r="D8" i="29"/>
  <c r="C8" i="29"/>
  <c r="B8" i="29"/>
  <c r="E8" i="29"/>
  <c r="H8" i="29"/>
  <c r="K8" i="29"/>
  <c r="G7" i="29"/>
  <c r="D7" i="29"/>
  <c r="C7" i="29"/>
  <c r="B7" i="29"/>
  <c r="E7" i="29"/>
  <c r="H7" i="29"/>
  <c r="K7" i="29"/>
  <c r="G6" i="29"/>
  <c r="D6" i="29"/>
  <c r="C6" i="29"/>
  <c r="B6" i="29"/>
  <c r="E6" i="29"/>
  <c r="H6" i="29"/>
  <c r="K6" i="29"/>
  <c r="G5" i="29"/>
  <c r="E5" i="29"/>
  <c r="H5" i="29"/>
  <c r="K5" i="29"/>
  <c r="G4" i="29"/>
  <c r="D4" i="29"/>
  <c r="C4" i="29"/>
  <c r="B4" i="29"/>
  <c r="E4" i="29"/>
  <c r="H4" i="29"/>
  <c r="K4" i="29"/>
  <c r="G3" i="29"/>
  <c r="D3" i="29"/>
  <c r="C3" i="29"/>
  <c r="B3" i="29"/>
  <c r="E3" i="29"/>
  <c r="H3" i="29"/>
  <c r="K3" i="29"/>
  <c r="G2" i="29"/>
  <c r="E2" i="29"/>
  <c r="H2" i="29"/>
  <c r="K2" i="29"/>
  <c r="G20" i="28"/>
  <c r="D20" i="28"/>
  <c r="C20" i="28"/>
  <c r="B20" i="28"/>
  <c r="E20" i="28"/>
  <c r="H20" i="28"/>
  <c r="K20" i="28"/>
  <c r="G19" i="28"/>
  <c r="D19" i="28"/>
  <c r="C19" i="28"/>
  <c r="B19" i="28"/>
  <c r="E19" i="28"/>
  <c r="H19" i="28"/>
  <c r="K19" i="28"/>
  <c r="G18" i="28"/>
  <c r="D18" i="28"/>
  <c r="C18" i="28"/>
  <c r="B18" i="28"/>
  <c r="E18" i="28"/>
  <c r="H18" i="28"/>
  <c r="K18" i="28"/>
  <c r="G17" i="28"/>
  <c r="D17" i="28"/>
  <c r="C17" i="28"/>
  <c r="B17" i="28"/>
  <c r="E17" i="28"/>
  <c r="H17" i="28"/>
  <c r="K17" i="28"/>
  <c r="G16" i="28"/>
  <c r="D16" i="28"/>
  <c r="C16" i="28"/>
  <c r="B16" i="28"/>
  <c r="E16" i="28"/>
  <c r="H16" i="28"/>
  <c r="K16" i="28"/>
  <c r="G15" i="28"/>
  <c r="D15" i="28"/>
  <c r="C15" i="28"/>
  <c r="B15" i="28"/>
  <c r="E15" i="28"/>
  <c r="H15" i="28"/>
  <c r="K15" i="28"/>
  <c r="G14" i="28"/>
  <c r="D14" i="28"/>
  <c r="C14" i="28"/>
  <c r="B14" i="28"/>
  <c r="E14" i="28"/>
  <c r="H14" i="28"/>
  <c r="K14" i="28"/>
  <c r="G13" i="28"/>
  <c r="D13" i="28"/>
  <c r="C13" i="28"/>
  <c r="B13" i="28"/>
  <c r="E13" i="28"/>
  <c r="H13" i="28"/>
  <c r="K13" i="28"/>
  <c r="G12" i="28"/>
  <c r="D12" i="28"/>
  <c r="C12" i="28"/>
  <c r="B12" i="28"/>
  <c r="E12" i="28"/>
  <c r="H12" i="28"/>
  <c r="K12" i="28"/>
  <c r="G11" i="28"/>
  <c r="D11" i="28"/>
  <c r="C11" i="28"/>
  <c r="B11" i="28"/>
  <c r="E11" i="28"/>
  <c r="H11" i="28"/>
  <c r="K11" i="28"/>
  <c r="G10" i="28"/>
  <c r="D10" i="28"/>
  <c r="C10" i="28"/>
  <c r="B10" i="28"/>
  <c r="E10" i="28"/>
  <c r="H10" i="28"/>
  <c r="K10" i="28"/>
  <c r="G9" i="28"/>
  <c r="D9" i="28"/>
  <c r="C9" i="28"/>
  <c r="B9" i="28"/>
  <c r="E9" i="28"/>
  <c r="H9" i="28"/>
  <c r="K9" i="28"/>
  <c r="G8" i="28"/>
  <c r="D8" i="28"/>
  <c r="C8" i="28"/>
  <c r="B8" i="28"/>
  <c r="E8" i="28"/>
  <c r="H8" i="28"/>
  <c r="K8" i="28"/>
  <c r="G7" i="28"/>
  <c r="D7" i="28"/>
  <c r="C7" i="28"/>
  <c r="B7" i="28"/>
  <c r="E7" i="28"/>
  <c r="H7" i="28"/>
  <c r="K7" i="28"/>
  <c r="G6" i="28"/>
  <c r="D6" i="28"/>
  <c r="C6" i="28"/>
  <c r="B6" i="28"/>
  <c r="E6" i="28"/>
  <c r="H6" i="28"/>
  <c r="K6" i="28"/>
  <c r="G5" i="28"/>
  <c r="D5" i="28"/>
  <c r="C5" i="28"/>
  <c r="B5" i="28"/>
  <c r="E5" i="28"/>
  <c r="H5" i="28"/>
  <c r="K5" i="28"/>
  <c r="G4" i="28"/>
  <c r="D4" i="28"/>
  <c r="C4" i="28"/>
  <c r="B4" i="28"/>
  <c r="E4" i="28"/>
  <c r="H4" i="28"/>
  <c r="K4" i="28"/>
  <c r="G3" i="28"/>
  <c r="D3" i="28"/>
  <c r="C3" i="28"/>
  <c r="B3" i="28"/>
  <c r="E3" i="28"/>
  <c r="H3" i="28"/>
  <c r="K3" i="28"/>
  <c r="G2" i="28"/>
  <c r="E2" i="28"/>
  <c r="H2" i="28"/>
  <c r="K2" i="28"/>
  <c r="F18" i="27"/>
  <c r="G18" i="27"/>
  <c r="D18" i="27"/>
  <c r="C18" i="27"/>
  <c r="B18" i="27"/>
  <c r="E18" i="27"/>
  <c r="H18" i="27"/>
  <c r="K18" i="27"/>
  <c r="F17" i="27"/>
  <c r="G17" i="27"/>
  <c r="D17" i="27"/>
  <c r="C17" i="27"/>
  <c r="B17" i="27"/>
  <c r="E17" i="27"/>
  <c r="H17" i="27"/>
  <c r="K17" i="27"/>
  <c r="F16" i="27"/>
  <c r="G16" i="27"/>
  <c r="D16" i="27"/>
  <c r="C16" i="27"/>
  <c r="B16" i="27"/>
  <c r="E16" i="27"/>
  <c r="H16" i="27"/>
  <c r="K16" i="27"/>
  <c r="F15" i="27"/>
  <c r="G15" i="27"/>
  <c r="D15" i="27"/>
  <c r="C15" i="27"/>
  <c r="B15" i="27"/>
  <c r="E15" i="27"/>
  <c r="H15" i="27"/>
  <c r="K15" i="27"/>
  <c r="F14" i="27"/>
  <c r="G14" i="27"/>
  <c r="D14" i="27"/>
  <c r="C14" i="27"/>
  <c r="B14" i="27"/>
  <c r="E14" i="27"/>
  <c r="H14" i="27"/>
  <c r="K14" i="27"/>
  <c r="F13" i="27"/>
  <c r="G13" i="27"/>
  <c r="D13" i="27"/>
  <c r="C13" i="27"/>
  <c r="B13" i="27"/>
  <c r="E13" i="27"/>
  <c r="H13" i="27"/>
  <c r="K13" i="27"/>
  <c r="F12" i="27"/>
  <c r="G12" i="27"/>
  <c r="D12" i="27"/>
  <c r="C12" i="27"/>
  <c r="B12" i="27"/>
  <c r="E12" i="27"/>
  <c r="H12" i="27"/>
  <c r="K12" i="27"/>
  <c r="F11" i="27"/>
  <c r="G11" i="27"/>
  <c r="D11" i="27"/>
  <c r="C11" i="27"/>
  <c r="B11" i="27"/>
  <c r="E11" i="27"/>
  <c r="H11" i="27"/>
  <c r="K11" i="27"/>
  <c r="F10" i="27"/>
  <c r="G10" i="27"/>
  <c r="D10" i="27"/>
  <c r="C10" i="27"/>
  <c r="B10" i="27"/>
  <c r="E10" i="27"/>
  <c r="H10" i="27"/>
  <c r="K10" i="27"/>
  <c r="F9" i="27"/>
  <c r="G9" i="27"/>
  <c r="D9" i="27"/>
  <c r="C9" i="27"/>
  <c r="B9" i="27"/>
  <c r="E9" i="27"/>
  <c r="H9" i="27"/>
  <c r="K9" i="27"/>
  <c r="F8" i="27"/>
  <c r="G8" i="27"/>
  <c r="D8" i="27"/>
  <c r="C8" i="27"/>
  <c r="B8" i="27"/>
  <c r="E8" i="27"/>
  <c r="H8" i="27"/>
  <c r="K8" i="27"/>
  <c r="F7" i="27"/>
  <c r="G7" i="27"/>
  <c r="D7" i="27"/>
  <c r="C7" i="27"/>
  <c r="B7" i="27"/>
  <c r="E7" i="27"/>
  <c r="H7" i="27"/>
  <c r="K7" i="27"/>
  <c r="F6" i="27"/>
  <c r="G6" i="27"/>
  <c r="D6" i="27"/>
  <c r="C6" i="27"/>
  <c r="B6" i="27"/>
  <c r="E6" i="27"/>
  <c r="H6" i="27"/>
  <c r="K6" i="27"/>
  <c r="F5" i="27"/>
  <c r="G5" i="27"/>
  <c r="D5" i="27"/>
  <c r="C5" i="27"/>
  <c r="B5" i="27"/>
  <c r="E5" i="27"/>
  <c r="H5" i="27"/>
  <c r="K5" i="27"/>
  <c r="F4" i="27"/>
  <c r="G4" i="27"/>
  <c r="D4" i="27"/>
  <c r="C4" i="27"/>
  <c r="B4" i="27"/>
  <c r="E4" i="27"/>
  <c r="H4" i="27"/>
  <c r="K4" i="27"/>
  <c r="F3" i="27"/>
  <c r="G3" i="27"/>
  <c r="D3" i="27"/>
  <c r="C3" i="27"/>
  <c r="B3" i="27"/>
  <c r="E3" i="27"/>
  <c r="H3" i="27"/>
  <c r="K3" i="27"/>
  <c r="F2" i="27"/>
  <c r="G2" i="27"/>
  <c r="E2" i="27"/>
  <c r="H2" i="27"/>
  <c r="K2" i="27"/>
  <c r="G20" i="26"/>
  <c r="D20" i="26"/>
  <c r="C20" i="26"/>
  <c r="B20" i="26"/>
  <c r="E20" i="26"/>
  <c r="H20" i="26"/>
  <c r="K20" i="26"/>
  <c r="G19" i="26"/>
  <c r="D19" i="26"/>
  <c r="C19" i="26"/>
  <c r="B19" i="26"/>
  <c r="E19" i="26"/>
  <c r="H19" i="26"/>
  <c r="K19" i="26"/>
  <c r="G18" i="26"/>
  <c r="D18" i="26"/>
  <c r="C18" i="26"/>
  <c r="B18" i="26"/>
  <c r="E18" i="26"/>
  <c r="H18" i="26"/>
  <c r="K18" i="26"/>
  <c r="G17" i="26"/>
  <c r="D17" i="26"/>
  <c r="C17" i="26"/>
  <c r="B17" i="26"/>
  <c r="E17" i="26"/>
  <c r="H17" i="26"/>
  <c r="K17" i="26"/>
  <c r="G16" i="26"/>
  <c r="D16" i="26"/>
  <c r="C16" i="26"/>
  <c r="B16" i="26"/>
  <c r="E16" i="26"/>
  <c r="H16" i="26"/>
  <c r="K16" i="26"/>
  <c r="G15" i="26"/>
  <c r="D15" i="26"/>
  <c r="C15" i="26"/>
  <c r="B15" i="26"/>
  <c r="E15" i="26"/>
  <c r="H15" i="26"/>
  <c r="K15" i="26"/>
  <c r="G14" i="26"/>
  <c r="D14" i="26"/>
  <c r="C14" i="26"/>
  <c r="B14" i="26"/>
  <c r="E14" i="26"/>
  <c r="H14" i="26"/>
  <c r="K14" i="26"/>
  <c r="G13" i="26"/>
  <c r="D13" i="26"/>
  <c r="C13" i="26"/>
  <c r="B13" i="26"/>
  <c r="E13" i="26"/>
  <c r="H13" i="26"/>
  <c r="K13" i="26"/>
  <c r="G12" i="26"/>
  <c r="D12" i="26"/>
  <c r="C12" i="26"/>
  <c r="B12" i="26"/>
  <c r="E12" i="26"/>
  <c r="H12" i="26"/>
  <c r="K12" i="26"/>
  <c r="G11" i="26"/>
  <c r="D11" i="26"/>
  <c r="C11" i="26"/>
  <c r="B11" i="26"/>
  <c r="E11" i="26"/>
  <c r="H11" i="26"/>
  <c r="K11" i="26"/>
  <c r="G10" i="26"/>
  <c r="D10" i="26"/>
  <c r="C10" i="26"/>
  <c r="B10" i="26"/>
  <c r="E10" i="26"/>
  <c r="H10" i="26"/>
  <c r="K10" i="26"/>
  <c r="G9" i="26"/>
  <c r="D9" i="26"/>
  <c r="C9" i="26"/>
  <c r="B9" i="26"/>
  <c r="E9" i="26"/>
  <c r="H9" i="26"/>
  <c r="K9" i="26"/>
  <c r="G8" i="26"/>
  <c r="D8" i="26"/>
  <c r="C8" i="26"/>
  <c r="B8" i="26"/>
  <c r="E8" i="26"/>
  <c r="H8" i="26"/>
  <c r="K8" i="26"/>
  <c r="G7" i="26"/>
  <c r="D7" i="26"/>
  <c r="C7" i="26"/>
  <c r="B7" i="26"/>
  <c r="E7" i="26"/>
  <c r="H7" i="26"/>
  <c r="K7" i="26"/>
  <c r="G6" i="26"/>
  <c r="D6" i="26"/>
  <c r="C6" i="26"/>
  <c r="B6" i="26"/>
  <c r="E6" i="26"/>
  <c r="H6" i="26"/>
  <c r="K6" i="26"/>
  <c r="G5" i="26"/>
  <c r="D5" i="26"/>
  <c r="C5" i="26"/>
  <c r="B5" i="26"/>
  <c r="E5" i="26"/>
  <c r="H5" i="26"/>
  <c r="K5" i="26"/>
  <c r="G4" i="26"/>
  <c r="D4" i="26"/>
  <c r="C4" i="26"/>
  <c r="B4" i="26"/>
  <c r="E4" i="26"/>
  <c r="H4" i="26"/>
  <c r="K4" i="26"/>
  <c r="G3" i="26"/>
  <c r="D3" i="26"/>
  <c r="C3" i="26"/>
  <c r="B3" i="26"/>
  <c r="E3" i="26"/>
  <c r="H3" i="26"/>
  <c r="K3" i="26"/>
  <c r="G2" i="26"/>
  <c r="E2" i="26"/>
  <c r="H2" i="26"/>
  <c r="K2" i="26"/>
  <c r="G20" i="25"/>
  <c r="D20" i="25"/>
  <c r="C20" i="25"/>
  <c r="B20" i="25"/>
  <c r="E20" i="25"/>
  <c r="H20" i="25"/>
  <c r="K20" i="25"/>
  <c r="G19" i="25"/>
  <c r="D19" i="25"/>
  <c r="C19" i="25"/>
  <c r="B19" i="25"/>
  <c r="E19" i="25"/>
  <c r="H19" i="25"/>
  <c r="K19" i="25"/>
  <c r="G18" i="25"/>
  <c r="D18" i="25"/>
  <c r="C18" i="25"/>
  <c r="B18" i="25"/>
  <c r="E18" i="25"/>
  <c r="H18" i="25"/>
  <c r="K18" i="25"/>
  <c r="G17" i="25"/>
  <c r="D17" i="25"/>
  <c r="C17" i="25"/>
  <c r="B17" i="25"/>
  <c r="E17" i="25"/>
  <c r="H17" i="25"/>
  <c r="K17" i="25"/>
  <c r="G16" i="25"/>
  <c r="D16" i="25"/>
  <c r="C16" i="25"/>
  <c r="B16" i="25"/>
  <c r="E16" i="25"/>
  <c r="H16" i="25"/>
  <c r="K16" i="25"/>
  <c r="G15" i="25"/>
  <c r="D15" i="25"/>
  <c r="C15" i="25"/>
  <c r="B15" i="25"/>
  <c r="E15" i="25"/>
  <c r="H15" i="25"/>
  <c r="K15" i="25"/>
  <c r="G14" i="25"/>
  <c r="D14" i="25"/>
  <c r="C14" i="25"/>
  <c r="B14" i="25"/>
  <c r="E14" i="25"/>
  <c r="H14" i="25"/>
  <c r="K14" i="25"/>
  <c r="G13" i="25"/>
  <c r="D13" i="25"/>
  <c r="C13" i="25"/>
  <c r="B13" i="25"/>
  <c r="E13" i="25"/>
  <c r="H13" i="25"/>
  <c r="K13" i="25"/>
  <c r="G12" i="25"/>
  <c r="D12" i="25"/>
  <c r="C12" i="25"/>
  <c r="B12" i="25"/>
  <c r="E12" i="25"/>
  <c r="H12" i="25"/>
  <c r="K12" i="25"/>
  <c r="G11" i="25"/>
  <c r="D11" i="25"/>
  <c r="C11" i="25"/>
  <c r="B11" i="25"/>
  <c r="E11" i="25"/>
  <c r="H11" i="25"/>
  <c r="K11" i="25"/>
  <c r="G10" i="25"/>
  <c r="D10" i="25"/>
  <c r="C10" i="25"/>
  <c r="B10" i="25"/>
  <c r="E10" i="25"/>
  <c r="H10" i="25"/>
  <c r="K10" i="25"/>
  <c r="G9" i="25"/>
  <c r="D9" i="25"/>
  <c r="C9" i="25"/>
  <c r="B9" i="25"/>
  <c r="E9" i="25"/>
  <c r="H9" i="25"/>
  <c r="K9" i="25"/>
  <c r="G8" i="25"/>
  <c r="D8" i="25"/>
  <c r="C8" i="25"/>
  <c r="B8" i="25"/>
  <c r="E8" i="25"/>
  <c r="H8" i="25"/>
  <c r="K8" i="25"/>
  <c r="G7" i="25"/>
  <c r="D7" i="25"/>
  <c r="C7" i="25"/>
  <c r="B7" i="25"/>
  <c r="E7" i="25"/>
  <c r="H7" i="25"/>
  <c r="K7" i="25"/>
  <c r="G6" i="25"/>
  <c r="D6" i="25"/>
  <c r="C6" i="25"/>
  <c r="B6" i="25"/>
  <c r="E6" i="25"/>
  <c r="H6" i="25"/>
  <c r="K6" i="25"/>
  <c r="G5" i="25"/>
  <c r="D5" i="25"/>
  <c r="C5" i="25"/>
  <c r="B5" i="25"/>
  <c r="E5" i="25"/>
  <c r="H5" i="25"/>
  <c r="K5" i="25"/>
  <c r="G4" i="25"/>
  <c r="D4" i="25"/>
  <c r="C4" i="25"/>
  <c r="B4" i="25"/>
  <c r="E4" i="25"/>
  <c r="H4" i="25"/>
  <c r="K4" i="25"/>
  <c r="G3" i="25"/>
  <c r="D3" i="25"/>
  <c r="C3" i="25"/>
  <c r="B3" i="25"/>
  <c r="E3" i="25"/>
  <c r="H3" i="25"/>
  <c r="K3" i="25"/>
  <c r="G2" i="25"/>
  <c r="E2" i="25"/>
  <c r="H2" i="25"/>
  <c r="K2" i="25"/>
  <c r="F17" i="24"/>
  <c r="G17" i="24"/>
  <c r="D17" i="24"/>
  <c r="C17" i="24"/>
  <c r="B17" i="24"/>
  <c r="E17" i="24"/>
  <c r="H17" i="24"/>
  <c r="K17" i="24"/>
  <c r="F16" i="24"/>
  <c r="G16" i="24"/>
  <c r="D16" i="24"/>
  <c r="C16" i="24"/>
  <c r="B16" i="24"/>
  <c r="E16" i="24"/>
  <c r="H16" i="24"/>
  <c r="K16" i="24"/>
  <c r="F15" i="24"/>
  <c r="G15" i="24"/>
  <c r="D15" i="24"/>
  <c r="C15" i="24"/>
  <c r="B15" i="24"/>
  <c r="E15" i="24"/>
  <c r="H15" i="24"/>
  <c r="K15" i="24"/>
  <c r="F14" i="24"/>
  <c r="G14" i="24"/>
  <c r="D14" i="24"/>
  <c r="C14" i="24"/>
  <c r="B14" i="24"/>
  <c r="E14" i="24"/>
  <c r="H14" i="24"/>
  <c r="K14" i="24"/>
  <c r="F13" i="24"/>
  <c r="G13" i="24"/>
  <c r="D13" i="24"/>
  <c r="C13" i="24"/>
  <c r="B13" i="24"/>
  <c r="E13" i="24"/>
  <c r="H13" i="24"/>
  <c r="K13" i="24"/>
  <c r="F12" i="24"/>
  <c r="G12" i="24"/>
  <c r="D12" i="24"/>
  <c r="C12" i="24"/>
  <c r="B12" i="24"/>
  <c r="E12" i="24"/>
  <c r="H12" i="24"/>
  <c r="K12" i="24"/>
  <c r="F11" i="24"/>
  <c r="G11" i="24"/>
  <c r="D11" i="24"/>
  <c r="C11" i="24"/>
  <c r="B11" i="24"/>
  <c r="E11" i="24"/>
  <c r="H11" i="24"/>
  <c r="K11" i="24"/>
  <c r="F10" i="24"/>
  <c r="G10" i="24"/>
  <c r="D10" i="24"/>
  <c r="C10" i="24"/>
  <c r="B10" i="24"/>
  <c r="E10" i="24"/>
  <c r="H10" i="24"/>
  <c r="K10" i="24"/>
  <c r="F9" i="24"/>
  <c r="G9" i="24"/>
  <c r="D9" i="24"/>
  <c r="C9" i="24"/>
  <c r="B9" i="24"/>
  <c r="E9" i="24"/>
  <c r="H9" i="24"/>
  <c r="K9" i="24"/>
  <c r="F8" i="24"/>
  <c r="G8" i="24"/>
  <c r="D8" i="24"/>
  <c r="C8" i="24"/>
  <c r="B8" i="24"/>
  <c r="E8" i="24"/>
  <c r="H8" i="24"/>
  <c r="K8" i="24"/>
  <c r="F7" i="24"/>
  <c r="G7" i="24"/>
  <c r="D7" i="24"/>
  <c r="C7" i="24"/>
  <c r="B7" i="24"/>
  <c r="E7" i="24"/>
  <c r="H7" i="24"/>
  <c r="K7" i="24"/>
  <c r="F6" i="24"/>
  <c r="G6" i="24"/>
  <c r="D6" i="24"/>
  <c r="C6" i="24"/>
  <c r="B6" i="24"/>
  <c r="E6" i="24"/>
  <c r="H6" i="24"/>
  <c r="K6" i="24"/>
  <c r="F5" i="24"/>
  <c r="G5" i="24"/>
  <c r="D5" i="24"/>
  <c r="C5" i="24"/>
  <c r="B5" i="24"/>
  <c r="E5" i="24"/>
  <c r="H5" i="24"/>
  <c r="K5" i="24"/>
  <c r="F4" i="24"/>
  <c r="G4" i="24"/>
  <c r="D4" i="24"/>
  <c r="C4" i="24"/>
  <c r="B4" i="24"/>
  <c r="E4" i="24"/>
  <c r="H4" i="24"/>
  <c r="K4" i="24"/>
  <c r="F3" i="24"/>
  <c r="G3" i="24"/>
  <c r="D3" i="24"/>
  <c r="C3" i="24"/>
  <c r="B3" i="24"/>
  <c r="E3" i="24"/>
  <c r="H3" i="24"/>
  <c r="K3" i="24"/>
  <c r="F2" i="24"/>
  <c r="G2" i="24"/>
  <c r="E2" i="24"/>
  <c r="H2" i="24"/>
  <c r="K2" i="24"/>
  <c r="I20" i="23"/>
  <c r="F20" i="23"/>
  <c r="G20" i="23"/>
  <c r="D20" i="23"/>
  <c r="C20" i="23"/>
  <c r="B20" i="23"/>
  <c r="E20" i="23"/>
  <c r="H20" i="23"/>
  <c r="K20" i="23" s="1"/>
  <c r="I19" i="23"/>
  <c r="F19" i="23"/>
  <c r="G19" i="23"/>
  <c r="D19" i="23"/>
  <c r="C19" i="23"/>
  <c r="B19" i="23"/>
  <c r="E19" i="23"/>
  <c r="H19" i="23"/>
  <c r="K19" i="23" s="1"/>
  <c r="I18" i="23"/>
  <c r="F18" i="23"/>
  <c r="G18" i="23"/>
  <c r="D18" i="23"/>
  <c r="C18" i="23"/>
  <c r="B18" i="23"/>
  <c r="E18" i="23"/>
  <c r="H18" i="23"/>
  <c r="K18" i="23" s="1"/>
  <c r="I17" i="23"/>
  <c r="F17" i="23"/>
  <c r="G17" i="23"/>
  <c r="D17" i="23"/>
  <c r="C17" i="23"/>
  <c r="B17" i="23"/>
  <c r="E17" i="23"/>
  <c r="H17" i="23"/>
  <c r="K17" i="23" s="1"/>
  <c r="I16" i="23"/>
  <c r="F16" i="23"/>
  <c r="G16" i="23"/>
  <c r="D16" i="23"/>
  <c r="C16" i="23"/>
  <c r="B16" i="23"/>
  <c r="E16" i="23"/>
  <c r="H16" i="23"/>
  <c r="K16" i="23" s="1"/>
  <c r="I15" i="23"/>
  <c r="F15" i="23"/>
  <c r="G15" i="23"/>
  <c r="D15" i="23"/>
  <c r="C15" i="23"/>
  <c r="B15" i="23"/>
  <c r="E15" i="23"/>
  <c r="H15" i="23"/>
  <c r="K15" i="23" s="1"/>
  <c r="I14" i="23"/>
  <c r="F14" i="23"/>
  <c r="G14" i="23"/>
  <c r="D14" i="23"/>
  <c r="C14" i="23"/>
  <c r="B14" i="23"/>
  <c r="E14" i="23"/>
  <c r="H14" i="23"/>
  <c r="K14" i="23" s="1"/>
  <c r="I13" i="23"/>
  <c r="F13" i="23"/>
  <c r="G13" i="23"/>
  <c r="D13" i="23"/>
  <c r="C13" i="23"/>
  <c r="B13" i="23"/>
  <c r="E13" i="23"/>
  <c r="H13" i="23"/>
  <c r="K13" i="23" s="1"/>
  <c r="I12" i="23"/>
  <c r="F12" i="23"/>
  <c r="G12" i="23"/>
  <c r="D12" i="23"/>
  <c r="C12" i="23"/>
  <c r="B12" i="23"/>
  <c r="E12" i="23"/>
  <c r="H12" i="23"/>
  <c r="K12" i="23" s="1"/>
  <c r="I11" i="23"/>
  <c r="F11" i="23"/>
  <c r="G11" i="23"/>
  <c r="D11" i="23"/>
  <c r="C11" i="23"/>
  <c r="B11" i="23"/>
  <c r="E11" i="23"/>
  <c r="H11" i="23"/>
  <c r="K11" i="23" s="1"/>
  <c r="I10" i="23"/>
  <c r="F10" i="23"/>
  <c r="G10" i="23"/>
  <c r="D10" i="23"/>
  <c r="C10" i="23"/>
  <c r="B10" i="23"/>
  <c r="E10" i="23"/>
  <c r="H10" i="23"/>
  <c r="K10" i="23" s="1"/>
  <c r="I9" i="23"/>
  <c r="F9" i="23"/>
  <c r="G9" i="23"/>
  <c r="D9" i="23"/>
  <c r="C9" i="23"/>
  <c r="B9" i="23"/>
  <c r="E9" i="23"/>
  <c r="H9" i="23"/>
  <c r="K9" i="23" s="1"/>
  <c r="I8" i="23"/>
  <c r="F8" i="23"/>
  <c r="G8" i="23"/>
  <c r="D8" i="23"/>
  <c r="C8" i="23"/>
  <c r="B8" i="23"/>
  <c r="E8" i="23"/>
  <c r="H8" i="23"/>
  <c r="K8" i="23" s="1"/>
  <c r="I7" i="23"/>
  <c r="F7" i="23"/>
  <c r="G7" i="23"/>
  <c r="D7" i="23"/>
  <c r="C7" i="23"/>
  <c r="B7" i="23"/>
  <c r="E7" i="23"/>
  <c r="H7" i="23"/>
  <c r="K7" i="23" s="1"/>
  <c r="I6" i="23"/>
  <c r="F6" i="23"/>
  <c r="G6" i="23"/>
  <c r="D6" i="23"/>
  <c r="C6" i="23"/>
  <c r="B6" i="23"/>
  <c r="E6" i="23"/>
  <c r="H6" i="23"/>
  <c r="K6" i="23" s="1"/>
  <c r="I5" i="23"/>
  <c r="F5" i="23"/>
  <c r="G5" i="23"/>
  <c r="D5" i="23"/>
  <c r="C5" i="23"/>
  <c r="B5" i="23"/>
  <c r="E5" i="23"/>
  <c r="H5" i="23"/>
  <c r="K5" i="23" s="1"/>
  <c r="I4" i="23"/>
  <c r="F4" i="23"/>
  <c r="G4" i="23"/>
  <c r="D4" i="23"/>
  <c r="C4" i="23"/>
  <c r="B4" i="23"/>
  <c r="E4" i="23"/>
  <c r="H4" i="23"/>
  <c r="K4" i="23" s="1"/>
  <c r="I3" i="23"/>
  <c r="F3" i="23"/>
  <c r="G3" i="23"/>
  <c r="D3" i="23"/>
  <c r="C3" i="23"/>
  <c r="B3" i="23"/>
  <c r="E3" i="23"/>
  <c r="H3" i="23"/>
  <c r="K3" i="23" s="1"/>
  <c r="I2" i="23"/>
  <c r="F2" i="23"/>
  <c r="G2" i="23"/>
  <c r="E2" i="23"/>
  <c r="H2" i="23"/>
  <c r="G18" i="22"/>
  <c r="D18" i="22"/>
  <c r="C18" i="22"/>
  <c r="B18" i="22"/>
  <c r="E18" i="22"/>
  <c r="H18" i="22"/>
  <c r="K18" i="22"/>
  <c r="G17" i="22"/>
  <c r="D17" i="22"/>
  <c r="C17" i="22"/>
  <c r="B17" i="22"/>
  <c r="E17" i="22"/>
  <c r="H17" i="22"/>
  <c r="K17" i="22"/>
  <c r="G16" i="22"/>
  <c r="D16" i="22"/>
  <c r="C16" i="22"/>
  <c r="B16" i="22"/>
  <c r="E16" i="22"/>
  <c r="H16" i="22"/>
  <c r="K16" i="22"/>
  <c r="G15" i="22"/>
  <c r="D15" i="22"/>
  <c r="C15" i="22"/>
  <c r="B15" i="22"/>
  <c r="E15" i="22"/>
  <c r="H15" i="22"/>
  <c r="K15" i="22"/>
  <c r="G14" i="22"/>
  <c r="D14" i="22"/>
  <c r="C14" i="22"/>
  <c r="B14" i="22"/>
  <c r="E14" i="22"/>
  <c r="H14" i="22"/>
  <c r="K14" i="22"/>
  <c r="G13" i="22"/>
  <c r="D13" i="22"/>
  <c r="C13" i="22"/>
  <c r="B13" i="22"/>
  <c r="E13" i="22"/>
  <c r="H13" i="22"/>
  <c r="K13" i="22"/>
  <c r="G12" i="22"/>
  <c r="D12" i="22"/>
  <c r="C12" i="22"/>
  <c r="B12" i="22"/>
  <c r="E12" i="22"/>
  <c r="H12" i="22"/>
  <c r="K12" i="22"/>
  <c r="G11" i="22"/>
  <c r="D11" i="22"/>
  <c r="C11" i="22"/>
  <c r="B11" i="22"/>
  <c r="E11" i="22"/>
  <c r="H11" i="22"/>
  <c r="K11" i="22"/>
  <c r="G10" i="22"/>
  <c r="D10" i="22"/>
  <c r="C10" i="22"/>
  <c r="B10" i="22"/>
  <c r="E10" i="22"/>
  <c r="H10" i="22"/>
  <c r="K10" i="22"/>
  <c r="G9" i="22"/>
  <c r="D9" i="22"/>
  <c r="C9" i="22"/>
  <c r="B9" i="22"/>
  <c r="E9" i="22"/>
  <c r="H9" i="22"/>
  <c r="K9" i="22"/>
  <c r="G8" i="22"/>
  <c r="D8" i="22"/>
  <c r="C8" i="22"/>
  <c r="B8" i="22"/>
  <c r="E8" i="22"/>
  <c r="H8" i="22"/>
  <c r="K8" i="22"/>
  <c r="G7" i="22"/>
  <c r="D7" i="22"/>
  <c r="C7" i="22"/>
  <c r="B7" i="22"/>
  <c r="E7" i="22"/>
  <c r="H7" i="22"/>
  <c r="K7" i="22"/>
  <c r="G6" i="22"/>
  <c r="D6" i="22"/>
  <c r="C6" i="22"/>
  <c r="B6" i="22"/>
  <c r="E6" i="22"/>
  <c r="H6" i="22"/>
  <c r="K6" i="22"/>
  <c r="G5" i="22"/>
  <c r="D5" i="22"/>
  <c r="C5" i="22"/>
  <c r="B5" i="22"/>
  <c r="E5" i="22"/>
  <c r="H5" i="22"/>
  <c r="K5" i="22"/>
  <c r="G4" i="22"/>
  <c r="D4" i="22"/>
  <c r="C4" i="22"/>
  <c r="B4" i="22"/>
  <c r="E4" i="22"/>
  <c r="H4" i="22"/>
  <c r="K4" i="22"/>
  <c r="G3" i="22"/>
  <c r="D3" i="22"/>
  <c r="C3" i="22"/>
  <c r="B3" i="22"/>
  <c r="E3" i="22"/>
  <c r="H3" i="22"/>
  <c r="K3" i="22" s="1"/>
  <c r="G2" i="22"/>
  <c r="E2" i="22"/>
  <c r="H2" i="22"/>
  <c r="K2" i="22"/>
  <c r="F25" i="21"/>
  <c r="G25" i="21"/>
  <c r="D25" i="21"/>
  <c r="C25" i="21"/>
  <c r="B25" i="21"/>
  <c r="E25" i="21"/>
  <c r="H25" i="21"/>
  <c r="K25" i="21"/>
  <c r="F24" i="21"/>
  <c r="G24" i="21"/>
  <c r="D24" i="21"/>
  <c r="C24" i="21"/>
  <c r="B24" i="21"/>
  <c r="E24" i="21"/>
  <c r="H24" i="21"/>
  <c r="K24" i="21"/>
  <c r="F23" i="21"/>
  <c r="G23" i="21"/>
  <c r="D23" i="21"/>
  <c r="C23" i="21"/>
  <c r="B23" i="21"/>
  <c r="E23" i="21"/>
  <c r="H23" i="21"/>
  <c r="K23" i="21"/>
  <c r="F22" i="21"/>
  <c r="G22" i="21"/>
  <c r="D22" i="21"/>
  <c r="C22" i="21"/>
  <c r="B22" i="21"/>
  <c r="E22" i="21"/>
  <c r="H22" i="21"/>
  <c r="K22" i="21"/>
  <c r="F21" i="21"/>
  <c r="G21" i="21"/>
  <c r="D21" i="21"/>
  <c r="C21" i="21"/>
  <c r="B21" i="21"/>
  <c r="E21" i="21"/>
  <c r="H21" i="21"/>
  <c r="K21" i="21"/>
  <c r="F20" i="21"/>
  <c r="G20" i="21"/>
  <c r="D20" i="21"/>
  <c r="C20" i="21"/>
  <c r="B20" i="21"/>
  <c r="E20" i="21"/>
  <c r="H20" i="21"/>
  <c r="K20" i="21"/>
  <c r="F19" i="21"/>
  <c r="G19" i="21"/>
  <c r="D19" i="21"/>
  <c r="C19" i="21"/>
  <c r="B19" i="21"/>
  <c r="E19" i="21"/>
  <c r="H19" i="21"/>
  <c r="K19" i="21"/>
  <c r="F18" i="21"/>
  <c r="G18" i="21"/>
  <c r="D18" i="21"/>
  <c r="C18" i="21"/>
  <c r="B18" i="21"/>
  <c r="E18" i="21"/>
  <c r="H18" i="21"/>
  <c r="K18" i="21"/>
  <c r="F17" i="21"/>
  <c r="G17" i="21"/>
  <c r="D17" i="21"/>
  <c r="C17" i="21"/>
  <c r="B17" i="21"/>
  <c r="E17" i="21"/>
  <c r="H17" i="21"/>
  <c r="K17" i="21"/>
  <c r="F16" i="21"/>
  <c r="G16" i="21"/>
  <c r="D16" i="21"/>
  <c r="C16" i="21"/>
  <c r="B16" i="21"/>
  <c r="E16" i="21"/>
  <c r="H16" i="21"/>
  <c r="K16" i="21"/>
  <c r="F15" i="21"/>
  <c r="G15" i="21"/>
  <c r="D15" i="21"/>
  <c r="C15" i="21"/>
  <c r="B15" i="21"/>
  <c r="E15" i="21"/>
  <c r="H15" i="21"/>
  <c r="K15" i="21"/>
  <c r="F14" i="21"/>
  <c r="G14" i="21"/>
  <c r="D14" i="21"/>
  <c r="C14" i="21"/>
  <c r="B14" i="21"/>
  <c r="E14" i="21"/>
  <c r="H14" i="21"/>
  <c r="K14" i="21"/>
  <c r="F13" i="21"/>
  <c r="G13" i="21"/>
  <c r="D13" i="21"/>
  <c r="C13" i="21"/>
  <c r="B13" i="21"/>
  <c r="E13" i="21"/>
  <c r="H13" i="21"/>
  <c r="K13" i="21"/>
  <c r="F12" i="21"/>
  <c r="G12" i="21"/>
  <c r="D12" i="21"/>
  <c r="C12" i="21"/>
  <c r="B12" i="21"/>
  <c r="E12" i="21"/>
  <c r="H12" i="21"/>
  <c r="K12" i="21"/>
  <c r="F11" i="21"/>
  <c r="G11" i="21"/>
  <c r="D11" i="21"/>
  <c r="C11" i="21"/>
  <c r="B11" i="21"/>
  <c r="E11" i="21"/>
  <c r="H11" i="21"/>
  <c r="K11" i="21"/>
  <c r="F10" i="21"/>
  <c r="G10" i="21"/>
  <c r="D10" i="21"/>
  <c r="C10" i="21"/>
  <c r="B10" i="21"/>
  <c r="E10" i="21"/>
  <c r="H10" i="21"/>
  <c r="K10" i="21"/>
  <c r="F9" i="21"/>
  <c r="G9" i="21"/>
  <c r="D9" i="21"/>
  <c r="C9" i="21"/>
  <c r="B9" i="21"/>
  <c r="E9" i="21"/>
  <c r="H9" i="21"/>
  <c r="K9" i="21"/>
  <c r="F8" i="21"/>
  <c r="G8" i="21"/>
  <c r="D8" i="21"/>
  <c r="C8" i="21"/>
  <c r="B8" i="21"/>
  <c r="E8" i="21"/>
  <c r="H8" i="21"/>
  <c r="K8" i="21"/>
  <c r="F7" i="21"/>
  <c r="G7" i="21"/>
  <c r="D7" i="21"/>
  <c r="C7" i="21"/>
  <c r="B7" i="21"/>
  <c r="E7" i="21"/>
  <c r="H7" i="21"/>
  <c r="K7" i="21"/>
  <c r="F6" i="21"/>
  <c r="G6" i="21"/>
  <c r="D6" i="21"/>
  <c r="C6" i="21"/>
  <c r="B6" i="21"/>
  <c r="E6" i="21"/>
  <c r="H6" i="21"/>
  <c r="K6" i="21"/>
  <c r="F5" i="21"/>
  <c r="G5" i="21"/>
  <c r="D5" i="21"/>
  <c r="C5" i="21"/>
  <c r="B5" i="21"/>
  <c r="E5" i="21"/>
  <c r="H5" i="21"/>
  <c r="K5" i="21"/>
  <c r="F4" i="21"/>
  <c r="G4" i="21"/>
  <c r="D4" i="21"/>
  <c r="C4" i="21"/>
  <c r="B4" i="21"/>
  <c r="E4" i="21"/>
  <c r="H4" i="21"/>
  <c r="K4" i="21"/>
  <c r="F3" i="21"/>
  <c r="G3" i="21"/>
  <c r="D3" i="21"/>
  <c r="C3" i="21"/>
  <c r="B3" i="21"/>
  <c r="E3" i="21"/>
  <c r="H3" i="21"/>
  <c r="K3" i="21"/>
  <c r="F2" i="21"/>
  <c r="G2" i="21"/>
  <c r="E2" i="21"/>
  <c r="H2" i="21"/>
  <c r="K2" i="21"/>
  <c r="G27" i="20"/>
  <c r="D27" i="20"/>
  <c r="C27" i="20"/>
  <c r="B27" i="20"/>
  <c r="E27" i="20"/>
  <c r="H27" i="20"/>
  <c r="K27" i="20"/>
  <c r="G26" i="20"/>
  <c r="D26" i="20"/>
  <c r="C26" i="20"/>
  <c r="B26" i="20"/>
  <c r="E26" i="20"/>
  <c r="H26" i="20"/>
  <c r="K26" i="20"/>
  <c r="G25" i="20"/>
  <c r="D25" i="20"/>
  <c r="C25" i="20"/>
  <c r="B25" i="20"/>
  <c r="E25" i="20"/>
  <c r="H25" i="20"/>
  <c r="K25" i="20"/>
  <c r="G24" i="20"/>
  <c r="D24" i="20"/>
  <c r="C24" i="20"/>
  <c r="B24" i="20"/>
  <c r="E24" i="20"/>
  <c r="H24" i="20"/>
  <c r="K24" i="20"/>
  <c r="G23" i="20"/>
  <c r="D23" i="20"/>
  <c r="C23" i="20"/>
  <c r="B23" i="20"/>
  <c r="E23" i="20"/>
  <c r="H23" i="20"/>
  <c r="K23" i="20"/>
  <c r="G22" i="20"/>
  <c r="D22" i="20"/>
  <c r="C22" i="20"/>
  <c r="B22" i="20"/>
  <c r="E22" i="20"/>
  <c r="H22" i="20"/>
  <c r="K22" i="20"/>
  <c r="G21" i="20"/>
  <c r="D21" i="20"/>
  <c r="C21" i="20"/>
  <c r="B21" i="20"/>
  <c r="E21" i="20"/>
  <c r="H21" i="20"/>
  <c r="K21" i="20"/>
  <c r="G20" i="20"/>
  <c r="D20" i="20"/>
  <c r="C20" i="20"/>
  <c r="B20" i="20"/>
  <c r="E20" i="20"/>
  <c r="H20" i="20"/>
  <c r="K20" i="20"/>
  <c r="G19" i="20"/>
  <c r="D19" i="20"/>
  <c r="C19" i="20"/>
  <c r="B19" i="20"/>
  <c r="E19" i="20"/>
  <c r="H19" i="20"/>
  <c r="K19" i="20"/>
  <c r="G18" i="20"/>
  <c r="D18" i="20"/>
  <c r="C18" i="20"/>
  <c r="B18" i="20"/>
  <c r="E18" i="20"/>
  <c r="H18" i="20"/>
  <c r="K18" i="20"/>
  <c r="G17" i="20"/>
  <c r="D17" i="20"/>
  <c r="C17" i="20"/>
  <c r="B17" i="20"/>
  <c r="E17" i="20"/>
  <c r="H17" i="20"/>
  <c r="K17" i="20"/>
  <c r="G16" i="20"/>
  <c r="D16" i="20"/>
  <c r="C16" i="20"/>
  <c r="B16" i="20"/>
  <c r="E16" i="20"/>
  <c r="H16" i="20"/>
  <c r="K16" i="20"/>
  <c r="G15" i="20"/>
  <c r="D15" i="20"/>
  <c r="C15" i="20"/>
  <c r="B15" i="20"/>
  <c r="E15" i="20"/>
  <c r="H15" i="20"/>
  <c r="K15" i="20"/>
  <c r="G14" i="20"/>
  <c r="D14" i="20"/>
  <c r="C14" i="20"/>
  <c r="B14" i="20"/>
  <c r="E14" i="20"/>
  <c r="H14" i="20"/>
  <c r="K14" i="20"/>
  <c r="G13" i="20"/>
  <c r="D13" i="20"/>
  <c r="C13" i="20"/>
  <c r="B13" i="20"/>
  <c r="E13" i="20"/>
  <c r="H13" i="20"/>
  <c r="K13" i="20"/>
  <c r="G12" i="20"/>
  <c r="D12" i="20"/>
  <c r="C12" i="20"/>
  <c r="B12" i="20"/>
  <c r="E12" i="20"/>
  <c r="H12" i="20"/>
  <c r="K12" i="20"/>
  <c r="G11" i="20"/>
  <c r="D11" i="20"/>
  <c r="C11" i="20"/>
  <c r="B11" i="20"/>
  <c r="E11" i="20"/>
  <c r="H11" i="20"/>
  <c r="K11" i="20"/>
  <c r="G10" i="20"/>
  <c r="D10" i="20"/>
  <c r="C10" i="20"/>
  <c r="B10" i="20"/>
  <c r="E10" i="20"/>
  <c r="H10" i="20"/>
  <c r="K10" i="20"/>
  <c r="G9" i="20"/>
  <c r="D9" i="20"/>
  <c r="C9" i="20"/>
  <c r="B9" i="20"/>
  <c r="E9" i="20"/>
  <c r="H9" i="20"/>
  <c r="K9" i="20"/>
  <c r="G8" i="20"/>
  <c r="D8" i="20"/>
  <c r="C8" i="20"/>
  <c r="B8" i="20"/>
  <c r="E8" i="20"/>
  <c r="H8" i="20"/>
  <c r="K8" i="20"/>
  <c r="G7" i="20"/>
  <c r="D7" i="20"/>
  <c r="C7" i="20"/>
  <c r="B7" i="20"/>
  <c r="E7" i="20"/>
  <c r="H7" i="20"/>
  <c r="K7" i="20"/>
  <c r="G6" i="20"/>
  <c r="D6" i="20"/>
  <c r="C6" i="20"/>
  <c r="B6" i="20"/>
  <c r="E6" i="20"/>
  <c r="H6" i="20"/>
  <c r="K6" i="20"/>
  <c r="G5" i="20"/>
  <c r="D5" i="20"/>
  <c r="C5" i="20"/>
  <c r="B5" i="20"/>
  <c r="E5" i="20"/>
  <c r="H5" i="20"/>
  <c r="K5" i="20"/>
  <c r="G4" i="20"/>
  <c r="D4" i="20"/>
  <c r="C4" i="20"/>
  <c r="B4" i="20"/>
  <c r="E4" i="20"/>
  <c r="H4" i="20"/>
  <c r="K4" i="20"/>
  <c r="G3" i="20"/>
  <c r="D3" i="20"/>
  <c r="C3" i="20"/>
  <c r="B3" i="20"/>
  <c r="E3" i="20"/>
  <c r="H3" i="20"/>
  <c r="K3" i="20"/>
  <c r="G2" i="20"/>
  <c r="E2" i="20"/>
  <c r="H2" i="20"/>
  <c r="K2" i="20"/>
  <c r="G25" i="19"/>
  <c r="D25" i="19"/>
  <c r="C25" i="19"/>
  <c r="B25" i="19"/>
  <c r="E25" i="19"/>
  <c r="H25" i="19"/>
  <c r="K25" i="19"/>
  <c r="G24" i="19"/>
  <c r="D24" i="19"/>
  <c r="C24" i="19"/>
  <c r="B24" i="19"/>
  <c r="E24" i="19"/>
  <c r="H24" i="19"/>
  <c r="K24" i="19"/>
  <c r="G23" i="19"/>
  <c r="D23" i="19"/>
  <c r="C23" i="19"/>
  <c r="B23" i="19"/>
  <c r="E23" i="19"/>
  <c r="H23" i="19"/>
  <c r="K23" i="19"/>
  <c r="G22" i="19"/>
  <c r="D22" i="19"/>
  <c r="C22" i="19"/>
  <c r="B22" i="19"/>
  <c r="E22" i="19"/>
  <c r="H22" i="19"/>
  <c r="K22" i="19"/>
  <c r="G21" i="19"/>
  <c r="D21" i="19"/>
  <c r="C21" i="19"/>
  <c r="B21" i="19"/>
  <c r="E21" i="19"/>
  <c r="H21" i="19"/>
  <c r="K21" i="19"/>
  <c r="G20" i="19"/>
  <c r="D20" i="19"/>
  <c r="C20" i="19"/>
  <c r="B20" i="19"/>
  <c r="E20" i="19"/>
  <c r="H20" i="19"/>
  <c r="K20" i="19"/>
  <c r="G19" i="19"/>
  <c r="D19" i="19"/>
  <c r="C19" i="19"/>
  <c r="B19" i="19"/>
  <c r="E19" i="19"/>
  <c r="H19" i="19"/>
  <c r="K19" i="19"/>
  <c r="G18" i="19"/>
  <c r="D18" i="19"/>
  <c r="C18" i="19"/>
  <c r="B18" i="19"/>
  <c r="E18" i="19"/>
  <c r="H18" i="19"/>
  <c r="K18" i="19"/>
  <c r="G17" i="19"/>
  <c r="D17" i="19"/>
  <c r="C17" i="19"/>
  <c r="B17" i="19"/>
  <c r="E17" i="19"/>
  <c r="H17" i="19"/>
  <c r="K17" i="19"/>
  <c r="G16" i="19"/>
  <c r="D16" i="19"/>
  <c r="C16" i="19"/>
  <c r="B16" i="19"/>
  <c r="E16" i="19"/>
  <c r="H16" i="19"/>
  <c r="K16" i="19"/>
  <c r="G15" i="19"/>
  <c r="D15" i="19"/>
  <c r="C15" i="19"/>
  <c r="B15" i="19"/>
  <c r="E15" i="19"/>
  <c r="H15" i="19"/>
  <c r="K15" i="19"/>
  <c r="G14" i="19"/>
  <c r="D14" i="19"/>
  <c r="C14" i="19"/>
  <c r="B14" i="19"/>
  <c r="E14" i="19"/>
  <c r="H14" i="19"/>
  <c r="K14" i="19"/>
  <c r="G13" i="19"/>
  <c r="D13" i="19"/>
  <c r="C13" i="19"/>
  <c r="B13" i="19"/>
  <c r="E13" i="19"/>
  <c r="H13" i="19"/>
  <c r="K13" i="19"/>
  <c r="G12" i="19"/>
  <c r="D12" i="19"/>
  <c r="C12" i="19"/>
  <c r="B12" i="19"/>
  <c r="E12" i="19"/>
  <c r="H12" i="19"/>
  <c r="K12" i="19"/>
  <c r="G11" i="19"/>
  <c r="D11" i="19"/>
  <c r="C11" i="19"/>
  <c r="B11" i="19"/>
  <c r="E11" i="19"/>
  <c r="H11" i="19"/>
  <c r="K11" i="19"/>
  <c r="G10" i="19"/>
  <c r="D10" i="19"/>
  <c r="C10" i="19"/>
  <c r="B10" i="19"/>
  <c r="E10" i="19"/>
  <c r="H10" i="19"/>
  <c r="K10" i="19"/>
  <c r="G9" i="19"/>
  <c r="D9" i="19"/>
  <c r="C9" i="19"/>
  <c r="B9" i="19"/>
  <c r="E9" i="19"/>
  <c r="H9" i="19"/>
  <c r="K9" i="19"/>
  <c r="G8" i="19"/>
  <c r="D8" i="19"/>
  <c r="C8" i="19"/>
  <c r="B8" i="19"/>
  <c r="E8" i="19"/>
  <c r="H8" i="19"/>
  <c r="K8" i="19"/>
  <c r="G7" i="19"/>
  <c r="D7" i="19"/>
  <c r="C7" i="19"/>
  <c r="B7" i="19"/>
  <c r="E7" i="19"/>
  <c r="H7" i="19"/>
  <c r="K7" i="19"/>
  <c r="G6" i="19"/>
  <c r="D6" i="19"/>
  <c r="C6" i="19"/>
  <c r="B6" i="19"/>
  <c r="E6" i="19"/>
  <c r="H6" i="19"/>
  <c r="K6" i="19"/>
  <c r="G5" i="19"/>
  <c r="D5" i="19"/>
  <c r="C5" i="19"/>
  <c r="B5" i="19"/>
  <c r="E5" i="19"/>
  <c r="H5" i="19"/>
  <c r="K5" i="19"/>
  <c r="G4" i="19"/>
  <c r="D4" i="19"/>
  <c r="C4" i="19"/>
  <c r="B4" i="19"/>
  <c r="E4" i="19"/>
  <c r="H4" i="19"/>
  <c r="K4" i="19"/>
  <c r="G3" i="19"/>
  <c r="D3" i="19"/>
  <c r="C3" i="19"/>
  <c r="B3" i="19"/>
  <c r="E3" i="19"/>
  <c r="H3" i="19"/>
  <c r="K3" i="19"/>
  <c r="G2" i="19"/>
  <c r="H2" i="19"/>
  <c r="K2" i="19"/>
  <c r="G14" i="18"/>
  <c r="D14" i="18"/>
  <c r="C14" i="18"/>
  <c r="B14" i="18"/>
  <c r="E14" i="18"/>
  <c r="H14" i="18"/>
  <c r="K14" i="18"/>
  <c r="G13" i="18"/>
  <c r="D13" i="18"/>
  <c r="C13" i="18"/>
  <c r="B13" i="18"/>
  <c r="G12" i="18"/>
  <c r="D12" i="18"/>
  <c r="E13" i="18"/>
  <c r="H13" i="18"/>
  <c r="K13" i="18"/>
  <c r="C12" i="18"/>
  <c r="B12" i="18"/>
  <c r="E12" i="18"/>
  <c r="H12" i="18"/>
  <c r="K12" i="18"/>
  <c r="G11" i="18"/>
  <c r="D11" i="18"/>
  <c r="C11" i="18"/>
  <c r="B11" i="18"/>
  <c r="E11" i="18"/>
  <c r="H11" i="18"/>
  <c r="K11" i="18"/>
  <c r="G10" i="18"/>
  <c r="D10" i="18"/>
  <c r="C10" i="18"/>
  <c r="B10" i="18"/>
  <c r="E10" i="18"/>
  <c r="H10" i="18"/>
  <c r="K10" i="18"/>
  <c r="G9" i="18"/>
  <c r="D9" i="18"/>
  <c r="C9" i="18"/>
  <c r="B9" i="18"/>
  <c r="E9" i="18"/>
  <c r="H9" i="18"/>
  <c r="K9" i="18"/>
  <c r="G8" i="18"/>
  <c r="D8" i="18"/>
  <c r="C8" i="18"/>
  <c r="B8" i="18"/>
  <c r="E8" i="18"/>
  <c r="H8" i="18"/>
  <c r="K8" i="18"/>
  <c r="G7" i="18"/>
  <c r="D7" i="18"/>
  <c r="C7" i="18"/>
  <c r="B7" i="18"/>
  <c r="E7" i="18"/>
  <c r="H7" i="18"/>
  <c r="K7" i="18"/>
  <c r="G6" i="18"/>
  <c r="D6" i="18"/>
  <c r="C6" i="18"/>
  <c r="B6" i="18"/>
  <c r="E6" i="18"/>
  <c r="H6" i="18"/>
  <c r="K6" i="18"/>
  <c r="G5" i="18"/>
  <c r="D5" i="18"/>
  <c r="C5" i="18"/>
  <c r="B5" i="18"/>
  <c r="E5" i="18"/>
  <c r="H5" i="18"/>
  <c r="K5" i="18"/>
  <c r="G4" i="18"/>
  <c r="D4" i="18"/>
  <c r="C4" i="18"/>
  <c r="B4" i="18"/>
  <c r="E4" i="18"/>
  <c r="H4" i="18"/>
  <c r="K4" i="18"/>
  <c r="G3" i="18"/>
  <c r="D3" i="18"/>
  <c r="C3" i="18"/>
  <c r="B3" i="18"/>
  <c r="E3" i="18"/>
  <c r="H3" i="18"/>
  <c r="K3" i="18"/>
  <c r="G2" i="18"/>
  <c r="E2" i="18"/>
  <c r="H2" i="18"/>
  <c r="K2" i="18"/>
  <c r="F20" i="17"/>
  <c r="G20" i="17"/>
  <c r="D20" i="17"/>
  <c r="C20" i="17"/>
  <c r="B20" i="17"/>
  <c r="E20" i="17"/>
  <c r="H20" i="17"/>
  <c r="K20" i="17"/>
  <c r="F19" i="17"/>
  <c r="G19" i="17"/>
  <c r="D19" i="17"/>
  <c r="C19" i="17"/>
  <c r="B19" i="17"/>
  <c r="E19" i="17"/>
  <c r="H19" i="17"/>
  <c r="K19" i="17"/>
  <c r="F18" i="17"/>
  <c r="G18" i="17"/>
  <c r="D18" i="17"/>
  <c r="C18" i="17"/>
  <c r="B18" i="17"/>
  <c r="E18" i="17"/>
  <c r="H18" i="17"/>
  <c r="K18" i="17"/>
  <c r="F17" i="17"/>
  <c r="G17" i="17"/>
  <c r="D17" i="17"/>
  <c r="C17" i="17"/>
  <c r="B17" i="17"/>
  <c r="E17" i="17"/>
  <c r="H17" i="17"/>
  <c r="K17" i="17"/>
  <c r="F16" i="17"/>
  <c r="G16" i="17"/>
  <c r="D16" i="17"/>
  <c r="C16" i="17"/>
  <c r="B16" i="17"/>
  <c r="E16" i="17"/>
  <c r="H16" i="17"/>
  <c r="K16" i="17"/>
  <c r="F15" i="17"/>
  <c r="G15" i="17"/>
  <c r="D15" i="17"/>
  <c r="C15" i="17"/>
  <c r="B15" i="17"/>
  <c r="E15" i="17"/>
  <c r="H15" i="17"/>
  <c r="K15" i="17"/>
  <c r="F14" i="17"/>
  <c r="G14" i="17"/>
  <c r="D14" i="17"/>
  <c r="C14" i="17"/>
  <c r="B14" i="17"/>
  <c r="E14" i="17"/>
  <c r="H14" i="17"/>
  <c r="K14" i="17"/>
  <c r="F13" i="17"/>
  <c r="G13" i="17"/>
  <c r="D13" i="17"/>
  <c r="C13" i="17"/>
  <c r="B13" i="17"/>
  <c r="E13" i="17"/>
  <c r="H13" i="17"/>
  <c r="K13" i="17"/>
  <c r="F12" i="17"/>
  <c r="G12" i="17"/>
  <c r="D12" i="17"/>
  <c r="C12" i="17"/>
  <c r="B12" i="17"/>
  <c r="E12" i="17"/>
  <c r="H12" i="17"/>
  <c r="K12" i="17"/>
  <c r="F11" i="17"/>
  <c r="G11" i="17"/>
  <c r="D11" i="17"/>
  <c r="C11" i="17"/>
  <c r="B11" i="17"/>
  <c r="E11" i="17"/>
  <c r="H11" i="17"/>
  <c r="K11" i="17"/>
  <c r="F10" i="17"/>
  <c r="G10" i="17"/>
  <c r="D10" i="17"/>
  <c r="C10" i="17"/>
  <c r="B10" i="17"/>
  <c r="E10" i="17"/>
  <c r="H10" i="17"/>
  <c r="K10" i="17"/>
  <c r="F9" i="17"/>
  <c r="G9" i="17"/>
  <c r="D9" i="17"/>
  <c r="C9" i="17"/>
  <c r="B9" i="17"/>
  <c r="E9" i="17"/>
  <c r="H9" i="17"/>
  <c r="K9" i="17"/>
  <c r="F8" i="17"/>
  <c r="G8" i="17"/>
  <c r="D8" i="17"/>
  <c r="C8" i="17"/>
  <c r="B8" i="17"/>
  <c r="E8" i="17"/>
  <c r="H8" i="17"/>
  <c r="K8" i="17"/>
  <c r="F7" i="17"/>
  <c r="G7" i="17"/>
  <c r="D7" i="17"/>
  <c r="C7" i="17"/>
  <c r="B7" i="17"/>
  <c r="E7" i="17"/>
  <c r="H7" i="17"/>
  <c r="K7" i="17"/>
  <c r="F6" i="17"/>
  <c r="G6" i="17"/>
  <c r="D6" i="17"/>
  <c r="C6" i="17"/>
  <c r="B6" i="17"/>
  <c r="E6" i="17"/>
  <c r="H6" i="17"/>
  <c r="K6" i="17"/>
  <c r="F5" i="17"/>
  <c r="G5" i="17"/>
  <c r="D5" i="17"/>
  <c r="C5" i="17"/>
  <c r="B5" i="17"/>
  <c r="E5" i="17"/>
  <c r="H5" i="17"/>
  <c r="K5" i="17"/>
  <c r="F4" i="17"/>
  <c r="G4" i="17"/>
  <c r="D4" i="17"/>
  <c r="C4" i="17"/>
  <c r="B4" i="17"/>
  <c r="E4" i="17"/>
  <c r="H4" i="17"/>
  <c r="K4" i="17"/>
  <c r="F3" i="17"/>
  <c r="G3" i="17"/>
  <c r="D3" i="17"/>
  <c r="C3" i="17"/>
  <c r="B3" i="17"/>
  <c r="E3" i="17"/>
  <c r="H3" i="17"/>
  <c r="K3" i="17"/>
  <c r="F2" i="17"/>
  <c r="G2" i="17"/>
  <c r="E2" i="17"/>
  <c r="H2" i="17"/>
  <c r="K2" i="17"/>
  <c r="G22" i="16"/>
  <c r="D22" i="16"/>
  <c r="C22" i="16"/>
  <c r="B22" i="16"/>
  <c r="E22" i="16"/>
  <c r="H22" i="16"/>
  <c r="K22" i="16"/>
  <c r="G21" i="16"/>
  <c r="D21" i="16"/>
  <c r="C21" i="16"/>
  <c r="B21" i="16"/>
  <c r="E21" i="16"/>
  <c r="H21" i="16"/>
  <c r="K21" i="16"/>
  <c r="G20" i="16"/>
  <c r="D20" i="16"/>
  <c r="C20" i="16"/>
  <c r="B20" i="16"/>
  <c r="E20" i="16"/>
  <c r="H20" i="16"/>
  <c r="K20" i="16"/>
  <c r="G19" i="16"/>
  <c r="D19" i="16"/>
  <c r="C19" i="16"/>
  <c r="B19" i="16"/>
  <c r="E19" i="16"/>
  <c r="H19" i="16"/>
  <c r="K19" i="16"/>
  <c r="G18" i="16"/>
  <c r="D18" i="16"/>
  <c r="C18" i="16"/>
  <c r="B18" i="16"/>
  <c r="E18" i="16"/>
  <c r="H18" i="16"/>
  <c r="K18" i="16"/>
  <c r="G17" i="16"/>
  <c r="D17" i="16"/>
  <c r="C17" i="16"/>
  <c r="B17" i="16"/>
  <c r="E17" i="16"/>
  <c r="H17" i="16"/>
  <c r="K17" i="16"/>
  <c r="G16" i="16"/>
  <c r="D16" i="16"/>
  <c r="C16" i="16"/>
  <c r="B16" i="16"/>
  <c r="E16" i="16"/>
  <c r="H16" i="16"/>
  <c r="K16" i="16"/>
  <c r="G15" i="16"/>
  <c r="D15" i="16"/>
  <c r="C15" i="16"/>
  <c r="B15" i="16"/>
  <c r="E15" i="16"/>
  <c r="H15" i="16"/>
  <c r="K15" i="16"/>
  <c r="G14" i="16"/>
  <c r="D14" i="16"/>
  <c r="C14" i="16"/>
  <c r="B14" i="16"/>
  <c r="E14" i="16"/>
  <c r="H14" i="16"/>
  <c r="K14" i="16"/>
  <c r="G13" i="16"/>
  <c r="D13" i="16"/>
  <c r="C13" i="16"/>
  <c r="B13" i="16"/>
  <c r="E13" i="16"/>
  <c r="H13" i="16"/>
  <c r="K13" i="16"/>
  <c r="G12" i="16"/>
  <c r="D12" i="16"/>
  <c r="C12" i="16"/>
  <c r="B12" i="16"/>
  <c r="E12" i="16"/>
  <c r="H12" i="16"/>
  <c r="K12" i="16"/>
  <c r="G11" i="16"/>
  <c r="D11" i="16"/>
  <c r="C11" i="16"/>
  <c r="B11" i="16"/>
  <c r="E11" i="16"/>
  <c r="H11" i="16"/>
  <c r="K11" i="16"/>
  <c r="G10" i="16"/>
  <c r="D10" i="16"/>
  <c r="C10" i="16"/>
  <c r="B10" i="16"/>
  <c r="E10" i="16"/>
  <c r="H10" i="16"/>
  <c r="K10" i="16"/>
  <c r="G9" i="16"/>
  <c r="D9" i="16"/>
  <c r="C9" i="16"/>
  <c r="B9" i="16"/>
  <c r="E9" i="16"/>
  <c r="H9" i="16"/>
  <c r="K9" i="16"/>
  <c r="G8" i="16"/>
  <c r="D8" i="16"/>
  <c r="C8" i="16"/>
  <c r="B8" i="16"/>
  <c r="E8" i="16"/>
  <c r="H8" i="16"/>
  <c r="K8" i="16"/>
  <c r="G7" i="16"/>
  <c r="D7" i="16"/>
  <c r="C7" i="16"/>
  <c r="B7" i="16"/>
  <c r="E7" i="16"/>
  <c r="H7" i="16"/>
  <c r="K7" i="16"/>
  <c r="G6" i="16"/>
  <c r="D6" i="16"/>
  <c r="C6" i="16"/>
  <c r="B6" i="16"/>
  <c r="E6" i="16"/>
  <c r="H6" i="16"/>
  <c r="K6" i="16"/>
  <c r="G5" i="16"/>
  <c r="D5" i="16"/>
  <c r="C5" i="16"/>
  <c r="B5" i="16"/>
  <c r="E5" i="16"/>
  <c r="H5" i="16"/>
  <c r="K5" i="16"/>
  <c r="G4" i="16"/>
  <c r="D4" i="16"/>
  <c r="C4" i="16"/>
  <c r="B4" i="16"/>
  <c r="E4" i="16"/>
  <c r="H4" i="16"/>
  <c r="K4" i="16"/>
  <c r="G3" i="16"/>
  <c r="D3" i="16"/>
  <c r="C3" i="16"/>
  <c r="B3" i="16"/>
  <c r="E3" i="16"/>
  <c r="H3" i="16"/>
  <c r="K3" i="16"/>
  <c r="G2" i="16"/>
  <c r="E2" i="16"/>
  <c r="H2" i="16"/>
  <c r="K2" i="16"/>
  <c r="F21" i="15"/>
  <c r="G21" i="15"/>
  <c r="D21" i="15"/>
  <c r="C21" i="15"/>
  <c r="B21" i="15"/>
  <c r="E21" i="15"/>
  <c r="H21" i="15"/>
  <c r="K21" i="15"/>
  <c r="F20" i="15"/>
  <c r="G20" i="15"/>
  <c r="D20" i="15"/>
  <c r="C20" i="15"/>
  <c r="B20" i="15"/>
  <c r="E20" i="15"/>
  <c r="H20" i="15"/>
  <c r="K20" i="15"/>
  <c r="F19" i="15"/>
  <c r="G19" i="15"/>
  <c r="D19" i="15"/>
  <c r="C19" i="15"/>
  <c r="B19" i="15"/>
  <c r="E19" i="15"/>
  <c r="H19" i="15"/>
  <c r="K19" i="15"/>
  <c r="F18" i="15"/>
  <c r="G18" i="15"/>
  <c r="D18" i="15"/>
  <c r="C18" i="15"/>
  <c r="B18" i="15"/>
  <c r="E18" i="15"/>
  <c r="H18" i="15"/>
  <c r="K18" i="15"/>
  <c r="F17" i="15"/>
  <c r="G17" i="15"/>
  <c r="D17" i="15"/>
  <c r="C17" i="15"/>
  <c r="B17" i="15"/>
  <c r="E17" i="15"/>
  <c r="H17" i="15"/>
  <c r="K17" i="15"/>
  <c r="F16" i="15"/>
  <c r="G16" i="15"/>
  <c r="D16" i="15"/>
  <c r="C16" i="15"/>
  <c r="B16" i="15"/>
  <c r="E16" i="15"/>
  <c r="H16" i="15"/>
  <c r="K16" i="15"/>
  <c r="F15" i="15"/>
  <c r="G15" i="15"/>
  <c r="D15" i="15"/>
  <c r="C15" i="15"/>
  <c r="B15" i="15"/>
  <c r="E15" i="15"/>
  <c r="H15" i="15"/>
  <c r="K15" i="15"/>
  <c r="F14" i="15"/>
  <c r="G14" i="15"/>
  <c r="D14" i="15"/>
  <c r="C14" i="15"/>
  <c r="B14" i="15"/>
  <c r="E14" i="15"/>
  <c r="H14" i="15"/>
  <c r="K14" i="15"/>
  <c r="F13" i="15"/>
  <c r="G13" i="15"/>
  <c r="D13" i="15"/>
  <c r="C13" i="15"/>
  <c r="B13" i="15"/>
  <c r="E13" i="15"/>
  <c r="H13" i="15"/>
  <c r="K13" i="15"/>
  <c r="F12" i="15"/>
  <c r="G12" i="15"/>
  <c r="D12" i="15"/>
  <c r="C12" i="15"/>
  <c r="B12" i="15"/>
  <c r="E12" i="15"/>
  <c r="H12" i="15"/>
  <c r="K12" i="15"/>
  <c r="F11" i="15"/>
  <c r="G11" i="15"/>
  <c r="D11" i="15"/>
  <c r="C11" i="15"/>
  <c r="B11" i="15"/>
  <c r="E11" i="15"/>
  <c r="H11" i="15"/>
  <c r="K11" i="15"/>
  <c r="F10" i="15"/>
  <c r="G10" i="15"/>
  <c r="D10" i="15"/>
  <c r="C10" i="15"/>
  <c r="B10" i="15"/>
  <c r="E10" i="15"/>
  <c r="H10" i="15"/>
  <c r="K10" i="15"/>
  <c r="F9" i="15"/>
  <c r="G9" i="15"/>
  <c r="D9" i="15"/>
  <c r="C9" i="15"/>
  <c r="B9" i="15"/>
  <c r="E9" i="15"/>
  <c r="H9" i="15"/>
  <c r="K9" i="15"/>
  <c r="F8" i="15"/>
  <c r="G8" i="15"/>
  <c r="D8" i="15"/>
  <c r="C8" i="15"/>
  <c r="B8" i="15"/>
  <c r="E8" i="15"/>
  <c r="H8" i="15"/>
  <c r="K8" i="15"/>
  <c r="F7" i="15"/>
  <c r="G7" i="15"/>
  <c r="D7" i="15"/>
  <c r="C7" i="15"/>
  <c r="B7" i="15"/>
  <c r="E7" i="15"/>
  <c r="H7" i="15"/>
  <c r="K7" i="15"/>
  <c r="F6" i="15"/>
  <c r="G6" i="15"/>
  <c r="D6" i="15"/>
  <c r="C6" i="15"/>
  <c r="B6" i="15"/>
  <c r="E6" i="15"/>
  <c r="H6" i="15"/>
  <c r="K6" i="15"/>
  <c r="F5" i="15"/>
  <c r="G5" i="15"/>
  <c r="D5" i="15"/>
  <c r="C5" i="15"/>
  <c r="B5" i="15"/>
  <c r="E5" i="15"/>
  <c r="H5" i="15"/>
  <c r="K5" i="15"/>
  <c r="F4" i="15"/>
  <c r="G4" i="15"/>
  <c r="D4" i="15"/>
  <c r="C4" i="15"/>
  <c r="B4" i="15"/>
  <c r="E4" i="15"/>
  <c r="H4" i="15"/>
  <c r="K4" i="15"/>
  <c r="F3" i="15"/>
  <c r="G3" i="15"/>
  <c r="D3" i="15"/>
  <c r="C3" i="15"/>
  <c r="B3" i="15"/>
  <c r="E3" i="15"/>
  <c r="H3" i="15"/>
  <c r="K3" i="15"/>
  <c r="F2" i="15"/>
  <c r="G2" i="15"/>
  <c r="E2" i="15"/>
  <c r="H2" i="15"/>
  <c r="K2" i="15"/>
  <c r="G21" i="14"/>
  <c r="D21" i="14"/>
  <c r="C21" i="14"/>
  <c r="B21" i="14"/>
  <c r="E21" i="14"/>
  <c r="H21" i="14"/>
  <c r="K21" i="14"/>
  <c r="G20" i="14"/>
  <c r="D20" i="14"/>
  <c r="C20" i="14"/>
  <c r="B20" i="14"/>
  <c r="E20" i="14"/>
  <c r="H20" i="14"/>
  <c r="K20" i="14"/>
  <c r="G19" i="14"/>
  <c r="D19" i="14"/>
  <c r="C19" i="14"/>
  <c r="B19" i="14"/>
  <c r="E19" i="14"/>
  <c r="H19" i="14"/>
  <c r="K19" i="14"/>
  <c r="G18" i="14"/>
  <c r="D18" i="14"/>
  <c r="C18" i="14"/>
  <c r="B18" i="14"/>
  <c r="E18" i="14"/>
  <c r="H18" i="14"/>
  <c r="K18" i="14"/>
  <c r="G17" i="14"/>
  <c r="D17" i="14"/>
  <c r="C17" i="14"/>
  <c r="B17" i="14"/>
  <c r="E17" i="14"/>
  <c r="H17" i="14"/>
  <c r="K17" i="14"/>
  <c r="G16" i="14"/>
  <c r="D16" i="14"/>
  <c r="C16" i="14"/>
  <c r="B16" i="14"/>
  <c r="E16" i="14"/>
  <c r="H16" i="14"/>
  <c r="K16" i="14"/>
  <c r="G15" i="14"/>
  <c r="D15" i="14"/>
  <c r="C15" i="14"/>
  <c r="B15" i="14"/>
  <c r="E15" i="14"/>
  <c r="H15" i="14"/>
  <c r="K15" i="14"/>
  <c r="G14" i="14"/>
  <c r="D14" i="14"/>
  <c r="C14" i="14"/>
  <c r="B14" i="14"/>
  <c r="E14" i="14"/>
  <c r="H14" i="14"/>
  <c r="K14" i="14"/>
  <c r="G13" i="14"/>
  <c r="D13" i="14"/>
  <c r="C13" i="14"/>
  <c r="B13" i="14"/>
  <c r="E13" i="14"/>
  <c r="H13" i="14"/>
  <c r="K13" i="14"/>
  <c r="G12" i="14"/>
  <c r="D12" i="14"/>
  <c r="C12" i="14"/>
  <c r="B12" i="14"/>
  <c r="E12" i="14"/>
  <c r="H12" i="14"/>
  <c r="K12" i="14"/>
  <c r="G11" i="14"/>
  <c r="D11" i="14"/>
  <c r="C11" i="14"/>
  <c r="B11" i="14"/>
  <c r="E11" i="14"/>
  <c r="H11" i="14"/>
  <c r="K11" i="14"/>
  <c r="G10" i="14"/>
  <c r="D10" i="14"/>
  <c r="C10" i="14"/>
  <c r="B10" i="14"/>
  <c r="E10" i="14"/>
  <c r="H10" i="14"/>
  <c r="K10" i="14"/>
  <c r="G9" i="14"/>
  <c r="D9" i="14"/>
  <c r="C9" i="14"/>
  <c r="B9" i="14"/>
  <c r="E9" i="14"/>
  <c r="H9" i="14"/>
  <c r="K9" i="14"/>
  <c r="G8" i="14"/>
  <c r="D8" i="14"/>
  <c r="C8" i="14"/>
  <c r="B8" i="14"/>
  <c r="E8" i="14"/>
  <c r="H8" i="14"/>
  <c r="K8" i="14"/>
  <c r="G7" i="14"/>
  <c r="D7" i="14"/>
  <c r="C7" i="14"/>
  <c r="B7" i="14"/>
  <c r="E7" i="14"/>
  <c r="H7" i="14"/>
  <c r="K7" i="14"/>
  <c r="G6" i="14"/>
  <c r="D6" i="14"/>
  <c r="C6" i="14"/>
  <c r="B6" i="14"/>
  <c r="E6" i="14"/>
  <c r="H6" i="14"/>
  <c r="K6" i="14"/>
  <c r="G5" i="14"/>
  <c r="D5" i="14"/>
  <c r="C5" i="14"/>
  <c r="B5" i="14"/>
  <c r="E5" i="14"/>
  <c r="H5" i="14"/>
  <c r="K5" i="14"/>
  <c r="G4" i="14"/>
  <c r="D4" i="14"/>
  <c r="C4" i="14"/>
  <c r="B4" i="14"/>
  <c r="E4" i="14"/>
  <c r="H4" i="14"/>
  <c r="K4" i="14"/>
  <c r="G3" i="14"/>
  <c r="D3" i="14"/>
  <c r="C3" i="14"/>
  <c r="B3" i="14"/>
  <c r="E3" i="14"/>
  <c r="H3" i="14"/>
  <c r="K3" i="14"/>
  <c r="K2" i="14"/>
  <c r="G2" i="14"/>
  <c r="G17" i="13"/>
  <c r="D17" i="13"/>
  <c r="C17" i="13"/>
  <c r="B17" i="13"/>
  <c r="E17" i="13"/>
  <c r="H17" i="13"/>
  <c r="K17" i="13"/>
  <c r="G16" i="13"/>
  <c r="D16" i="13"/>
  <c r="C16" i="13"/>
  <c r="B16" i="13"/>
  <c r="E16" i="13"/>
  <c r="H16" i="13"/>
  <c r="K16" i="13"/>
  <c r="G15" i="13"/>
  <c r="D15" i="13"/>
  <c r="C15" i="13"/>
  <c r="B15" i="13"/>
  <c r="E15" i="13"/>
  <c r="H15" i="13"/>
  <c r="K15" i="13"/>
  <c r="G14" i="13"/>
  <c r="D14" i="13"/>
  <c r="C14" i="13"/>
  <c r="B14" i="13"/>
  <c r="E14" i="13"/>
  <c r="H14" i="13"/>
  <c r="K14" i="13"/>
  <c r="G13" i="13"/>
  <c r="D13" i="13"/>
  <c r="C13" i="13"/>
  <c r="B13" i="13"/>
  <c r="E13" i="13"/>
  <c r="H13" i="13"/>
  <c r="K13" i="13"/>
  <c r="G12" i="13"/>
  <c r="D12" i="13"/>
  <c r="C12" i="13"/>
  <c r="B12" i="13"/>
  <c r="E12" i="13"/>
  <c r="H12" i="13"/>
  <c r="K12" i="13"/>
  <c r="G11" i="13"/>
  <c r="D11" i="13"/>
  <c r="C11" i="13"/>
  <c r="B11" i="13"/>
  <c r="E11" i="13"/>
  <c r="H11" i="13"/>
  <c r="K11" i="13"/>
  <c r="G10" i="13"/>
  <c r="D10" i="13"/>
  <c r="C10" i="13"/>
  <c r="B10" i="13"/>
  <c r="E10" i="13"/>
  <c r="H10" i="13"/>
  <c r="K10" i="13"/>
  <c r="G9" i="13"/>
  <c r="D9" i="13"/>
  <c r="C9" i="13"/>
  <c r="B9" i="13"/>
  <c r="E9" i="13"/>
  <c r="H9" i="13"/>
  <c r="K9" i="13"/>
  <c r="G8" i="13"/>
  <c r="D8" i="13"/>
  <c r="C8" i="13"/>
  <c r="B8" i="13"/>
  <c r="E8" i="13"/>
  <c r="H8" i="13"/>
  <c r="K8" i="13"/>
  <c r="G7" i="13"/>
  <c r="D7" i="13"/>
  <c r="C7" i="13"/>
  <c r="B7" i="13"/>
  <c r="E7" i="13"/>
  <c r="H7" i="13"/>
  <c r="K7" i="13"/>
  <c r="G6" i="13"/>
  <c r="D6" i="13"/>
  <c r="C6" i="13"/>
  <c r="B6" i="13"/>
  <c r="E6" i="13"/>
  <c r="H6" i="13"/>
  <c r="K6" i="13"/>
  <c r="G5" i="13"/>
  <c r="D5" i="13"/>
  <c r="C5" i="13"/>
  <c r="B5" i="13"/>
  <c r="E5" i="13"/>
  <c r="H5" i="13"/>
  <c r="K5" i="13"/>
  <c r="G4" i="13"/>
  <c r="D4" i="13"/>
  <c r="C4" i="13"/>
  <c r="B4" i="13"/>
  <c r="E4" i="13"/>
  <c r="H4" i="13"/>
  <c r="K4" i="13"/>
  <c r="G3" i="13"/>
  <c r="D3" i="13"/>
  <c r="C3" i="13"/>
  <c r="B3" i="13"/>
  <c r="E3" i="13"/>
  <c r="H3" i="13"/>
  <c r="K3" i="13"/>
  <c r="G2" i="13"/>
  <c r="E2" i="13"/>
  <c r="H2" i="13"/>
  <c r="K2" i="13"/>
  <c r="G14" i="12"/>
  <c r="D14" i="12"/>
  <c r="C14" i="12"/>
  <c r="B14" i="12"/>
  <c r="E14" i="12"/>
  <c r="H14" i="12"/>
  <c r="K14" i="12"/>
  <c r="G13" i="12"/>
  <c r="D13" i="12"/>
  <c r="C13" i="12"/>
  <c r="B13" i="12"/>
  <c r="E13" i="12"/>
  <c r="H13" i="12"/>
  <c r="K13" i="12"/>
  <c r="G12" i="12"/>
  <c r="D12" i="12"/>
  <c r="C12" i="12"/>
  <c r="B12" i="12"/>
  <c r="E12" i="12"/>
  <c r="H12" i="12"/>
  <c r="K12" i="12"/>
  <c r="G11" i="12"/>
  <c r="D11" i="12"/>
  <c r="C11" i="12"/>
  <c r="B11" i="12"/>
  <c r="E11" i="12"/>
  <c r="H11" i="12"/>
  <c r="K11" i="12"/>
  <c r="G10" i="12"/>
  <c r="D10" i="12"/>
  <c r="C10" i="12"/>
  <c r="B10" i="12"/>
  <c r="E10" i="12"/>
  <c r="H10" i="12"/>
  <c r="K10" i="12"/>
  <c r="G9" i="12"/>
  <c r="D9" i="12"/>
  <c r="C9" i="12"/>
  <c r="B9" i="12"/>
  <c r="E9" i="12"/>
  <c r="H9" i="12"/>
  <c r="K9" i="12"/>
  <c r="G8" i="12"/>
  <c r="D8" i="12"/>
  <c r="C8" i="12"/>
  <c r="B8" i="12"/>
  <c r="E8" i="12"/>
  <c r="H8" i="12"/>
  <c r="K8" i="12"/>
  <c r="G7" i="12"/>
  <c r="D7" i="12"/>
  <c r="C7" i="12"/>
  <c r="B7" i="12"/>
  <c r="E7" i="12"/>
  <c r="H7" i="12"/>
  <c r="K7" i="12"/>
  <c r="G6" i="12"/>
  <c r="D6" i="12"/>
  <c r="C6" i="12"/>
  <c r="B6" i="12"/>
  <c r="E6" i="12"/>
  <c r="H6" i="12"/>
  <c r="K6" i="12"/>
  <c r="G5" i="12"/>
  <c r="D5" i="12"/>
  <c r="C5" i="12"/>
  <c r="B5" i="12"/>
  <c r="E5" i="12"/>
  <c r="H5" i="12"/>
  <c r="K5" i="12"/>
  <c r="G4" i="12"/>
  <c r="D4" i="12"/>
  <c r="C4" i="12"/>
  <c r="B4" i="12"/>
  <c r="E4" i="12"/>
  <c r="H4" i="12"/>
  <c r="K4" i="12"/>
  <c r="G3" i="12"/>
  <c r="D3" i="12"/>
  <c r="C3" i="12"/>
  <c r="B3" i="12"/>
  <c r="E3" i="12"/>
  <c r="H3" i="12"/>
  <c r="K3" i="12"/>
  <c r="G2" i="12"/>
  <c r="H2" i="12"/>
  <c r="K2" i="12"/>
  <c r="G20" i="10"/>
  <c r="D20" i="10"/>
  <c r="C20" i="10"/>
  <c r="B20" i="10"/>
  <c r="E20" i="10"/>
  <c r="H20" i="10"/>
  <c r="K20" i="10"/>
  <c r="G19" i="10"/>
  <c r="D19" i="10"/>
  <c r="C19" i="10"/>
  <c r="B19" i="10"/>
  <c r="E19" i="10"/>
  <c r="H19" i="10"/>
  <c r="K19" i="10"/>
  <c r="G18" i="10"/>
  <c r="D18" i="10"/>
  <c r="C18" i="10"/>
  <c r="B18" i="10"/>
  <c r="E18" i="10"/>
  <c r="H18" i="10"/>
  <c r="K18" i="10"/>
  <c r="G17" i="10"/>
  <c r="D17" i="10"/>
  <c r="C17" i="10"/>
  <c r="B17" i="10"/>
  <c r="E17" i="10"/>
  <c r="H17" i="10"/>
  <c r="K17" i="10"/>
  <c r="G16" i="10"/>
  <c r="D16" i="10"/>
  <c r="C16" i="10"/>
  <c r="B16" i="10"/>
  <c r="E16" i="10"/>
  <c r="H16" i="10"/>
  <c r="K16" i="10"/>
  <c r="G15" i="10"/>
  <c r="D15" i="10"/>
  <c r="C15" i="10"/>
  <c r="B15" i="10"/>
  <c r="E15" i="10"/>
  <c r="H15" i="10"/>
  <c r="K15" i="10"/>
  <c r="G14" i="10"/>
  <c r="D14" i="10"/>
  <c r="C14" i="10"/>
  <c r="B14" i="10"/>
  <c r="E14" i="10"/>
  <c r="H14" i="10"/>
  <c r="K14" i="10"/>
  <c r="G13" i="10"/>
  <c r="D13" i="10"/>
  <c r="C13" i="10"/>
  <c r="B13" i="10"/>
  <c r="E13" i="10"/>
  <c r="H13" i="10"/>
  <c r="K13" i="10"/>
  <c r="G12" i="10"/>
  <c r="D12" i="10"/>
  <c r="C12" i="10"/>
  <c r="B12" i="10"/>
  <c r="E12" i="10"/>
  <c r="H12" i="10"/>
  <c r="K12" i="10"/>
  <c r="G11" i="10"/>
  <c r="D11" i="10"/>
  <c r="C11" i="10"/>
  <c r="B11" i="10"/>
  <c r="E11" i="10"/>
  <c r="H11" i="10"/>
  <c r="K11" i="10"/>
  <c r="G10" i="10"/>
  <c r="D10" i="10"/>
  <c r="C10" i="10"/>
  <c r="B10" i="10"/>
  <c r="E10" i="10"/>
  <c r="H10" i="10"/>
  <c r="K10" i="10"/>
  <c r="G9" i="10"/>
  <c r="D9" i="10"/>
  <c r="C9" i="10"/>
  <c r="B9" i="10"/>
  <c r="E9" i="10"/>
  <c r="H9" i="10"/>
  <c r="K9" i="10"/>
  <c r="G8" i="10"/>
  <c r="D8" i="10"/>
  <c r="C8" i="10"/>
  <c r="B8" i="10"/>
  <c r="E8" i="10"/>
  <c r="H8" i="10"/>
  <c r="K8" i="10"/>
  <c r="G7" i="10"/>
  <c r="D7" i="10"/>
  <c r="C7" i="10"/>
  <c r="B7" i="10"/>
  <c r="E7" i="10"/>
  <c r="H7" i="10"/>
  <c r="K7" i="10"/>
  <c r="G6" i="10"/>
  <c r="D6" i="10"/>
  <c r="C6" i="10"/>
  <c r="B6" i="10"/>
  <c r="E6" i="10"/>
  <c r="H6" i="10"/>
  <c r="K6" i="10"/>
  <c r="G5" i="10"/>
  <c r="D5" i="10"/>
  <c r="C5" i="10"/>
  <c r="B5" i="10"/>
  <c r="E5" i="10"/>
  <c r="H5" i="10"/>
  <c r="K5" i="10"/>
  <c r="G4" i="10"/>
  <c r="D4" i="10"/>
  <c r="C4" i="10"/>
  <c r="B4" i="10"/>
  <c r="E4" i="10"/>
  <c r="H4" i="10"/>
  <c r="K4" i="10"/>
  <c r="G3" i="10"/>
  <c r="D3" i="10"/>
  <c r="C3" i="10"/>
  <c r="B3" i="10"/>
  <c r="E3" i="10"/>
  <c r="H3" i="10"/>
  <c r="K3" i="10"/>
  <c r="G2" i="10"/>
  <c r="E2" i="10"/>
  <c r="H2" i="10"/>
  <c r="K2" i="10"/>
  <c r="F22" i="9"/>
  <c r="G22" i="9"/>
  <c r="D22" i="9"/>
  <c r="C22" i="9"/>
  <c r="B22" i="9"/>
  <c r="E22" i="9"/>
  <c r="H22" i="9"/>
  <c r="K22" i="9"/>
  <c r="F21" i="9"/>
  <c r="G21" i="9"/>
  <c r="D21" i="9"/>
  <c r="C21" i="9"/>
  <c r="B21" i="9"/>
  <c r="E21" i="9"/>
  <c r="H21" i="9"/>
  <c r="K21" i="9"/>
  <c r="F20" i="9"/>
  <c r="G20" i="9"/>
  <c r="D20" i="9"/>
  <c r="C20" i="9"/>
  <c r="B20" i="9"/>
  <c r="E20" i="9"/>
  <c r="H20" i="9"/>
  <c r="K20" i="9"/>
  <c r="F19" i="9"/>
  <c r="G19" i="9"/>
  <c r="D19" i="9"/>
  <c r="C19" i="9"/>
  <c r="B19" i="9"/>
  <c r="E19" i="9"/>
  <c r="H19" i="9"/>
  <c r="K19" i="9"/>
  <c r="F18" i="9"/>
  <c r="G18" i="9"/>
  <c r="D18" i="9"/>
  <c r="C18" i="9"/>
  <c r="B18" i="9"/>
  <c r="E18" i="9"/>
  <c r="H18" i="9"/>
  <c r="K18" i="9"/>
  <c r="F17" i="9"/>
  <c r="G17" i="9"/>
  <c r="D17" i="9"/>
  <c r="C17" i="9"/>
  <c r="B17" i="9"/>
  <c r="E17" i="9"/>
  <c r="H17" i="9"/>
  <c r="K17" i="9"/>
  <c r="F16" i="9"/>
  <c r="G16" i="9"/>
  <c r="D16" i="9"/>
  <c r="C16" i="9"/>
  <c r="B16" i="9"/>
  <c r="E16" i="9"/>
  <c r="H16" i="9"/>
  <c r="K16" i="9"/>
  <c r="F15" i="9"/>
  <c r="G15" i="9"/>
  <c r="D15" i="9"/>
  <c r="C15" i="9"/>
  <c r="B15" i="9"/>
  <c r="E15" i="9"/>
  <c r="H15" i="9"/>
  <c r="K15" i="9"/>
  <c r="F14" i="9"/>
  <c r="G14" i="9"/>
  <c r="D14" i="9"/>
  <c r="C14" i="9"/>
  <c r="B14" i="9"/>
  <c r="E14" i="9"/>
  <c r="H14" i="9"/>
  <c r="K14" i="9"/>
  <c r="F13" i="9"/>
  <c r="G13" i="9"/>
  <c r="D13" i="9"/>
  <c r="C13" i="9"/>
  <c r="B13" i="9"/>
  <c r="E13" i="9"/>
  <c r="H13" i="9"/>
  <c r="K13" i="9"/>
  <c r="F12" i="9"/>
  <c r="G12" i="9"/>
  <c r="D12" i="9"/>
  <c r="C12" i="9"/>
  <c r="B12" i="9"/>
  <c r="E12" i="9"/>
  <c r="H12" i="9"/>
  <c r="K12" i="9"/>
  <c r="F11" i="9"/>
  <c r="G11" i="9"/>
  <c r="D11" i="9"/>
  <c r="C11" i="9"/>
  <c r="B11" i="9"/>
  <c r="E11" i="9"/>
  <c r="H11" i="9"/>
  <c r="K11" i="9"/>
  <c r="F10" i="9"/>
  <c r="G10" i="9"/>
  <c r="D10" i="9"/>
  <c r="C10" i="9"/>
  <c r="B10" i="9"/>
  <c r="E10" i="9"/>
  <c r="H10" i="9"/>
  <c r="K10" i="9"/>
  <c r="F9" i="9"/>
  <c r="G9" i="9"/>
  <c r="D9" i="9"/>
  <c r="C9" i="9"/>
  <c r="B9" i="9"/>
  <c r="E9" i="9"/>
  <c r="H9" i="9"/>
  <c r="K9" i="9"/>
  <c r="F8" i="9"/>
  <c r="G8" i="9"/>
  <c r="D8" i="9"/>
  <c r="C8" i="9"/>
  <c r="B8" i="9"/>
  <c r="E8" i="9"/>
  <c r="H8" i="9"/>
  <c r="K8" i="9"/>
  <c r="F7" i="9"/>
  <c r="G7" i="9"/>
  <c r="D7" i="9"/>
  <c r="C7" i="9"/>
  <c r="B7" i="9"/>
  <c r="E7" i="9"/>
  <c r="H7" i="9"/>
  <c r="K7" i="9"/>
  <c r="F6" i="9"/>
  <c r="G6" i="9"/>
  <c r="D6" i="9"/>
  <c r="C6" i="9"/>
  <c r="B6" i="9"/>
  <c r="E6" i="9"/>
  <c r="H6" i="9"/>
  <c r="K6" i="9"/>
  <c r="F5" i="9"/>
  <c r="G5" i="9"/>
  <c r="D5" i="9"/>
  <c r="C5" i="9"/>
  <c r="B5" i="9"/>
  <c r="E5" i="9"/>
  <c r="H5" i="9"/>
  <c r="K5" i="9"/>
  <c r="F4" i="9"/>
  <c r="G4" i="9"/>
  <c r="D4" i="9"/>
  <c r="C4" i="9"/>
  <c r="B4" i="9"/>
  <c r="E4" i="9"/>
  <c r="H4" i="9"/>
  <c r="K4" i="9"/>
  <c r="F3" i="9"/>
  <c r="G3" i="9"/>
  <c r="D3" i="9"/>
  <c r="C3" i="9"/>
  <c r="B3" i="9"/>
  <c r="E3" i="9"/>
  <c r="H3" i="9"/>
  <c r="K3" i="9"/>
  <c r="F2" i="9"/>
  <c r="G2" i="9"/>
  <c r="E2" i="9"/>
  <c r="H2" i="9"/>
  <c r="K2" i="9"/>
  <c r="G21" i="8"/>
  <c r="D21" i="8"/>
  <c r="C21" i="8"/>
  <c r="B21" i="8"/>
  <c r="E21" i="8"/>
  <c r="H21" i="8"/>
  <c r="K21" i="8"/>
  <c r="G20" i="8"/>
  <c r="D20" i="8"/>
  <c r="C20" i="8"/>
  <c r="B20" i="8"/>
  <c r="E20" i="8"/>
  <c r="H20" i="8"/>
  <c r="K20" i="8"/>
  <c r="G19" i="8"/>
  <c r="D19" i="8"/>
  <c r="C19" i="8"/>
  <c r="B19" i="8"/>
  <c r="E19" i="8"/>
  <c r="H19" i="8"/>
  <c r="K19" i="8"/>
  <c r="G18" i="8"/>
  <c r="D18" i="8"/>
  <c r="C18" i="8"/>
  <c r="B18" i="8"/>
  <c r="E18" i="8"/>
  <c r="H18" i="8"/>
  <c r="K18" i="8"/>
  <c r="G17" i="8"/>
  <c r="D17" i="8"/>
  <c r="C17" i="8"/>
  <c r="B17" i="8"/>
  <c r="E17" i="8"/>
  <c r="H17" i="8"/>
  <c r="K17" i="8"/>
  <c r="G16" i="8"/>
  <c r="D16" i="8"/>
  <c r="C16" i="8"/>
  <c r="B16" i="8"/>
  <c r="E16" i="8"/>
  <c r="H16" i="8"/>
  <c r="K16" i="8"/>
  <c r="G15" i="8"/>
  <c r="D15" i="8"/>
  <c r="C15" i="8"/>
  <c r="B15" i="8"/>
  <c r="E15" i="8"/>
  <c r="H15" i="8"/>
  <c r="K15" i="8"/>
  <c r="G14" i="8"/>
  <c r="D14" i="8"/>
  <c r="C14" i="8"/>
  <c r="B14" i="8"/>
  <c r="E14" i="8"/>
  <c r="H14" i="8"/>
  <c r="K14" i="8"/>
  <c r="G13" i="8"/>
  <c r="D13" i="8"/>
  <c r="C13" i="8"/>
  <c r="B13" i="8"/>
  <c r="E13" i="8"/>
  <c r="H13" i="8"/>
  <c r="K13" i="8"/>
  <c r="G12" i="8"/>
  <c r="D12" i="8"/>
  <c r="C12" i="8"/>
  <c r="B12" i="8"/>
  <c r="E12" i="8"/>
  <c r="H12" i="8"/>
  <c r="K12" i="8"/>
  <c r="G11" i="8"/>
  <c r="D11" i="8"/>
  <c r="C11" i="8"/>
  <c r="B11" i="8"/>
  <c r="E11" i="8"/>
  <c r="H11" i="8"/>
  <c r="K11" i="8"/>
  <c r="G10" i="8"/>
  <c r="D10" i="8"/>
  <c r="C10" i="8"/>
  <c r="B10" i="8"/>
  <c r="E10" i="8"/>
  <c r="H10" i="8"/>
  <c r="K10" i="8"/>
  <c r="G9" i="8"/>
  <c r="D9" i="8"/>
  <c r="C9" i="8"/>
  <c r="B9" i="8"/>
  <c r="E9" i="8"/>
  <c r="H9" i="8"/>
  <c r="K9" i="8"/>
  <c r="G8" i="8"/>
  <c r="D8" i="8"/>
  <c r="C8" i="8"/>
  <c r="B8" i="8"/>
  <c r="E8" i="8"/>
  <c r="H8" i="8"/>
  <c r="K8" i="8"/>
  <c r="G7" i="8"/>
  <c r="D7" i="8"/>
  <c r="C7" i="8"/>
  <c r="B7" i="8"/>
  <c r="E7" i="8"/>
  <c r="H7" i="8"/>
  <c r="K7" i="8"/>
  <c r="G6" i="8"/>
  <c r="D6" i="8"/>
  <c r="C6" i="8"/>
  <c r="B6" i="8"/>
  <c r="E6" i="8"/>
  <c r="H6" i="8"/>
  <c r="K6" i="8"/>
  <c r="G5" i="8"/>
  <c r="D5" i="8"/>
  <c r="C5" i="8"/>
  <c r="B5" i="8"/>
  <c r="E5" i="8"/>
  <c r="H5" i="8"/>
  <c r="K5" i="8"/>
  <c r="G4" i="8"/>
  <c r="D4" i="8"/>
  <c r="C4" i="8"/>
  <c r="B4" i="8"/>
  <c r="E4" i="8"/>
  <c r="H4" i="8"/>
  <c r="K4" i="8"/>
  <c r="G3" i="8"/>
  <c r="D3" i="8"/>
  <c r="C3" i="8"/>
  <c r="B3" i="8"/>
  <c r="E3" i="8"/>
  <c r="H3" i="8"/>
  <c r="K3" i="8"/>
  <c r="G2" i="8"/>
  <c r="E2" i="8"/>
  <c r="H2" i="8"/>
  <c r="K2" i="8"/>
  <c r="G20" i="7"/>
  <c r="D20" i="7"/>
  <c r="C20" i="7"/>
  <c r="B20" i="7"/>
  <c r="E20" i="7"/>
  <c r="H20" i="7"/>
  <c r="K20" i="7"/>
  <c r="G19" i="7"/>
  <c r="D19" i="7"/>
  <c r="C19" i="7"/>
  <c r="B19" i="7"/>
  <c r="E19" i="7"/>
  <c r="H19" i="7"/>
  <c r="K19" i="7"/>
  <c r="G18" i="7"/>
  <c r="D18" i="7"/>
  <c r="C18" i="7"/>
  <c r="B18" i="7"/>
  <c r="E18" i="7"/>
  <c r="H18" i="7"/>
  <c r="K18" i="7"/>
  <c r="G17" i="7"/>
  <c r="D17" i="7"/>
  <c r="C17" i="7"/>
  <c r="B17" i="7"/>
  <c r="E17" i="7"/>
  <c r="H17" i="7"/>
  <c r="K17" i="7"/>
  <c r="G16" i="7"/>
  <c r="D16" i="7"/>
  <c r="C16" i="7"/>
  <c r="B16" i="7"/>
  <c r="E16" i="7"/>
  <c r="H16" i="7"/>
  <c r="K16" i="7"/>
  <c r="G15" i="7"/>
  <c r="D15" i="7"/>
  <c r="C15" i="7"/>
  <c r="B15" i="7"/>
  <c r="E15" i="7"/>
  <c r="H15" i="7"/>
  <c r="K15" i="7"/>
  <c r="G14" i="7"/>
  <c r="D14" i="7"/>
  <c r="C14" i="7"/>
  <c r="B14" i="7"/>
  <c r="E14" i="7"/>
  <c r="H14" i="7"/>
  <c r="K14" i="7"/>
  <c r="G13" i="7"/>
  <c r="D13" i="7"/>
  <c r="C13" i="7"/>
  <c r="B13" i="7"/>
  <c r="E13" i="7"/>
  <c r="H13" i="7"/>
  <c r="K13" i="7"/>
  <c r="G12" i="7"/>
  <c r="D12" i="7"/>
  <c r="C12" i="7"/>
  <c r="B12" i="7"/>
  <c r="E12" i="7"/>
  <c r="H12" i="7"/>
  <c r="K12" i="7"/>
  <c r="G11" i="7"/>
  <c r="D11" i="7"/>
  <c r="C11" i="7"/>
  <c r="B11" i="7"/>
  <c r="E11" i="7"/>
  <c r="H11" i="7"/>
  <c r="K11" i="7"/>
  <c r="G10" i="7"/>
  <c r="D10" i="7"/>
  <c r="C10" i="7"/>
  <c r="B10" i="7"/>
  <c r="E10" i="7"/>
  <c r="H10" i="7"/>
  <c r="K10" i="7"/>
  <c r="G9" i="7"/>
  <c r="D9" i="7"/>
  <c r="C9" i="7"/>
  <c r="B9" i="7"/>
  <c r="E9" i="7"/>
  <c r="H9" i="7"/>
  <c r="K9" i="7"/>
  <c r="G8" i="7"/>
  <c r="D8" i="7"/>
  <c r="C8" i="7"/>
  <c r="B8" i="7"/>
  <c r="E8" i="7"/>
  <c r="H8" i="7"/>
  <c r="K8" i="7"/>
  <c r="G7" i="7"/>
  <c r="D7" i="7"/>
  <c r="C7" i="7"/>
  <c r="B7" i="7"/>
  <c r="E7" i="7"/>
  <c r="H7" i="7"/>
  <c r="K7" i="7"/>
  <c r="G6" i="7"/>
  <c r="D6" i="7"/>
  <c r="C6" i="7"/>
  <c r="B6" i="7"/>
  <c r="E6" i="7"/>
  <c r="H6" i="7"/>
  <c r="K6" i="7"/>
  <c r="G5" i="7"/>
  <c r="D5" i="7"/>
  <c r="C5" i="7"/>
  <c r="B5" i="7"/>
  <c r="E5" i="7"/>
  <c r="H5" i="7"/>
  <c r="K5" i="7"/>
  <c r="G4" i="7"/>
  <c r="D4" i="7"/>
  <c r="C4" i="7"/>
  <c r="B4" i="7"/>
  <c r="E4" i="7"/>
  <c r="H4" i="7"/>
  <c r="K4" i="7"/>
  <c r="G3" i="7"/>
  <c r="D3" i="7"/>
  <c r="C3" i="7"/>
  <c r="B3" i="7"/>
  <c r="E3" i="7"/>
  <c r="H3" i="7"/>
  <c r="K3" i="7"/>
  <c r="G2" i="7"/>
  <c r="H2" i="7"/>
  <c r="K2" i="7"/>
  <c r="I18" i="6"/>
  <c r="G18" i="6"/>
  <c r="D18" i="6"/>
  <c r="C18" i="6"/>
  <c r="B18" i="6"/>
  <c r="E18" i="6"/>
  <c r="H18" i="6"/>
  <c r="K18" i="6"/>
  <c r="I17" i="6"/>
  <c r="G17" i="6"/>
  <c r="D17" i="6"/>
  <c r="C17" i="6"/>
  <c r="B17" i="6"/>
  <c r="E17" i="6"/>
  <c r="H17" i="6"/>
  <c r="K17" i="6"/>
  <c r="I16" i="6"/>
  <c r="G16" i="6"/>
  <c r="D16" i="6"/>
  <c r="C16" i="6"/>
  <c r="B16" i="6"/>
  <c r="E16" i="6"/>
  <c r="H16" i="6"/>
  <c r="K16" i="6"/>
  <c r="I15" i="6"/>
  <c r="G15" i="6"/>
  <c r="D15" i="6"/>
  <c r="C15" i="6"/>
  <c r="B15" i="6"/>
  <c r="E15" i="6"/>
  <c r="H15" i="6"/>
  <c r="K15" i="6"/>
  <c r="I14" i="6"/>
  <c r="G14" i="6"/>
  <c r="D14" i="6"/>
  <c r="C14" i="6"/>
  <c r="B14" i="6"/>
  <c r="E14" i="6"/>
  <c r="H14" i="6"/>
  <c r="K14" i="6"/>
  <c r="I13" i="6"/>
  <c r="G13" i="6"/>
  <c r="D13" i="6"/>
  <c r="C13" i="6"/>
  <c r="B13" i="6"/>
  <c r="E13" i="6"/>
  <c r="H13" i="6"/>
  <c r="K13" i="6"/>
  <c r="I12" i="6"/>
  <c r="G12" i="6"/>
  <c r="D12" i="6"/>
  <c r="C12" i="6"/>
  <c r="B12" i="6"/>
  <c r="E12" i="6"/>
  <c r="H12" i="6"/>
  <c r="K12" i="6"/>
  <c r="I11" i="6"/>
  <c r="G11" i="6"/>
  <c r="D11" i="6"/>
  <c r="C11" i="6"/>
  <c r="B11" i="6"/>
  <c r="E11" i="6"/>
  <c r="H11" i="6"/>
  <c r="K11" i="6"/>
  <c r="I10" i="6"/>
  <c r="G10" i="6"/>
  <c r="D10" i="6"/>
  <c r="C10" i="6"/>
  <c r="B10" i="6"/>
  <c r="E10" i="6"/>
  <c r="H10" i="6"/>
  <c r="K10" i="6"/>
  <c r="I9" i="6"/>
  <c r="G9" i="6"/>
  <c r="D9" i="6"/>
  <c r="C9" i="6"/>
  <c r="B9" i="6"/>
  <c r="E9" i="6"/>
  <c r="H9" i="6"/>
  <c r="K9" i="6"/>
  <c r="I8" i="6"/>
  <c r="G8" i="6"/>
  <c r="D8" i="6"/>
  <c r="C8" i="6"/>
  <c r="B8" i="6"/>
  <c r="E8" i="6"/>
  <c r="H8" i="6"/>
  <c r="K8" i="6"/>
  <c r="I7" i="6"/>
  <c r="G7" i="6"/>
  <c r="D7" i="6"/>
  <c r="C7" i="6"/>
  <c r="B7" i="6"/>
  <c r="E7" i="6"/>
  <c r="H7" i="6"/>
  <c r="K7" i="6"/>
  <c r="I6" i="6"/>
  <c r="G6" i="6"/>
  <c r="D6" i="6"/>
  <c r="C6" i="6"/>
  <c r="B6" i="6"/>
  <c r="E6" i="6"/>
  <c r="H6" i="6"/>
  <c r="K6" i="6"/>
  <c r="I5" i="6"/>
  <c r="G5" i="6"/>
  <c r="D5" i="6"/>
  <c r="C5" i="6"/>
  <c r="B5" i="6"/>
  <c r="E5" i="6"/>
  <c r="H5" i="6"/>
  <c r="K5" i="6"/>
  <c r="I4" i="6"/>
  <c r="G4" i="6"/>
  <c r="D4" i="6"/>
  <c r="C4" i="6"/>
  <c r="B4" i="6"/>
  <c r="E4" i="6"/>
  <c r="H4" i="6"/>
  <c r="K4" i="6"/>
  <c r="I3" i="6"/>
  <c r="G3" i="6"/>
  <c r="D3" i="6"/>
  <c r="C3" i="6"/>
  <c r="B3" i="6"/>
  <c r="E3" i="6"/>
  <c r="H3" i="6"/>
  <c r="K3" i="6"/>
  <c r="I2" i="6"/>
  <c r="G2" i="6"/>
  <c r="E2" i="6"/>
  <c r="H2" i="6"/>
  <c r="K2" i="6"/>
  <c r="F15" i="5"/>
  <c r="G15" i="5"/>
  <c r="D15" i="5"/>
  <c r="C15" i="5"/>
  <c r="B15" i="5"/>
  <c r="E15" i="5"/>
  <c r="H15" i="5"/>
  <c r="K15" i="5"/>
  <c r="F14" i="5"/>
  <c r="G14" i="5"/>
  <c r="D14" i="5"/>
  <c r="C14" i="5"/>
  <c r="B14" i="5"/>
  <c r="E14" i="5"/>
  <c r="H14" i="5"/>
  <c r="K14" i="5"/>
  <c r="F13" i="5"/>
  <c r="G13" i="5"/>
  <c r="D13" i="5"/>
  <c r="C13" i="5"/>
  <c r="B13" i="5"/>
  <c r="E13" i="5"/>
  <c r="H13" i="5"/>
  <c r="K13" i="5"/>
  <c r="F12" i="5"/>
  <c r="G12" i="5"/>
  <c r="D12" i="5"/>
  <c r="C12" i="5"/>
  <c r="B12" i="5"/>
  <c r="E12" i="5"/>
  <c r="H12" i="5"/>
  <c r="K12" i="5"/>
  <c r="F11" i="5"/>
  <c r="G11" i="5"/>
  <c r="D11" i="5"/>
  <c r="C11" i="5"/>
  <c r="B11" i="5"/>
  <c r="E11" i="5"/>
  <c r="H11" i="5"/>
  <c r="K11" i="5"/>
  <c r="F10" i="5"/>
  <c r="G10" i="5"/>
  <c r="D10" i="5"/>
  <c r="C10" i="5"/>
  <c r="B10" i="5"/>
  <c r="E10" i="5"/>
  <c r="H10" i="5"/>
  <c r="K10" i="5"/>
  <c r="F9" i="5"/>
  <c r="G9" i="5"/>
  <c r="D9" i="5"/>
  <c r="C9" i="5"/>
  <c r="B9" i="5"/>
  <c r="E9" i="5"/>
  <c r="H9" i="5"/>
  <c r="K9" i="5"/>
  <c r="F8" i="5"/>
  <c r="G8" i="5"/>
  <c r="D8" i="5"/>
  <c r="C8" i="5"/>
  <c r="B8" i="5"/>
  <c r="E8" i="5"/>
  <c r="H8" i="5"/>
  <c r="K8" i="5"/>
  <c r="F7" i="5"/>
  <c r="G7" i="5"/>
  <c r="D7" i="5"/>
  <c r="C7" i="5"/>
  <c r="B7" i="5"/>
  <c r="E7" i="5"/>
  <c r="H7" i="5"/>
  <c r="K7" i="5"/>
  <c r="F6" i="5"/>
  <c r="G6" i="5"/>
  <c r="D6" i="5"/>
  <c r="C6" i="5"/>
  <c r="B6" i="5"/>
  <c r="E6" i="5"/>
  <c r="H6" i="5"/>
  <c r="K6" i="5"/>
  <c r="F5" i="5"/>
  <c r="G5" i="5"/>
  <c r="D5" i="5"/>
  <c r="C5" i="5"/>
  <c r="B5" i="5"/>
  <c r="E5" i="5"/>
  <c r="H5" i="5"/>
  <c r="K5" i="5"/>
  <c r="F4" i="5"/>
  <c r="G4" i="5"/>
  <c r="D4" i="5"/>
  <c r="C4" i="5"/>
  <c r="B4" i="5"/>
  <c r="E4" i="5"/>
  <c r="H4" i="5"/>
  <c r="K4" i="5"/>
  <c r="F3" i="5"/>
  <c r="G3" i="5"/>
  <c r="D3" i="5"/>
  <c r="C3" i="5"/>
  <c r="B3" i="5"/>
  <c r="E3" i="5"/>
  <c r="H3" i="5"/>
  <c r="K3" i="5"/>
  <c r="F2" i="5"/>
  <c r="G2" i="5"/>
  <c r="E2" i="5"/>
  <c r="H2" i="5"/>
  <c r="K2" i="5"/>
  <c r="G18" i="4"/>
  <c r="D18" i="4"/>
  <c r="C18" i="4"/>
  <c r="B18" i="4"/>
  <c r="E18" i="4"/>
  <c r="H18" i="4"/>
  <c r="K18" i="4"/>
  <c r="G17" i="4"/>
  <c r="D17" i="4"/>
  <c r="C17" i="4"/>
  <c r="B17" i="4"/>
  <c r="E17" i="4"/>
  <c r="H17" i="4"/>
  <c r="K17" i="4"/>
  <c r="G16" i="4"/>
  <c r="D16" i="4"/>
  <c r="C16" i="4"/>
  <c r="B16" i="4"/>
  <c r="E16" i="4"/>
  <c r="H16" i="4"/>
  <c r="K16" i="4"/>
  <c r="G15" i="4"/>
  <c r="D15" i="4"/>
  <c r="C15" i="4"/>
  <c r="B15" i="4"/>
  <c r="E15" i="4"/>
  <c r="H15" i="4"/>
  <c r="K15" i="4"/>
  <c r="G14" i="4"/>
  <c r="D14" i="4"/>
  <c r="C14" i="4"/>
  <c r="B14" i="4"/>
  <c r="E14" i="4"/>
  <c r="H14" i="4"/>
  <c r="K14" i="4"/>
  <c r="G13" i="4"/>
  <c r="D13" i="4"/>
  <c r="C13" i="4"/>
  <c r="B13" i="4"/>
  <c r="E13" i="4"/>
  <c r="H13" i="4"/>
  <c r="K13" i="4"/>
  <c r="G12" i="4"/>
  <c r="D12" i="4"/>
  <c r="C12" i="4"/>
  <c r="B12" i="4"/>
  <c r="E12" i="4"/>
  <c r="H12" i="4"/>
  <c r="K12" i="4"/>
  <c r="G11" i="4"/>
  <c r="D11" i="4"/>
  <c r="C11" i="4"/>
  <c r="B11" i="4"/>
  <c r="E11" i="4"/>
  <c r="H11" i="4"/>
  <c r="K11" i="4"/>
  <c r="G10" i="4"/>
  <c r="D10" i="4"/>
  <c r="C10" i="4"/>
  <c r="B10" i="4"/>
  <c r="E10" i="4"/>
  <c r="H10" i="4"/>
  <c r="K10" i="4"/>
  <c r="G9" i="4"/>
  <c r="D9" i="4"/>
  <c r="C9" i="4"/>
  <c r="B9" i="4"/>
  <c r="E9" i="4"/>
  <c r="H9" i="4"/>
  <c r="K9" i="4"/>
  <c r="G8" i="4"/>
  <c r="D8" i="4"/>
  <c r="C8" i="4"/>
  <c r="B8" i="4"/>
  <c r="E8" i="4"/>
  <c r="H8" i="4"/>
  <c r="K8" i="4"/>
  <c r="G7" i="4"/>
  <c r="D7" i="4"/>
  <c r="C7" i="4"/>
  <c r="B7" i="4"/>
  <c r="E7" i="4"/>
  <c r="H7" i="4"/>
  <c r="K7" i="4"/>
  <c r="G6" i="4"/>
  <c r="D6" i="4"/>
  <c r="C6" i="4"/>
  <c r="B6" i="4"/>
  <c r="E6" i="4"/>
  <c r="H6" i="4"/>
  <c r="K6" i="4"/>
  <c r="G5" i="4"/>
  <c r="D5" i="4"/>
  <c r="C5" i="4"/>
  <c r="B5" i="4"/>
  <c r="E5" i="4"/>
  <c r="H5" i="4"/>
  <c r="K5" i="4"/>
  <c r="G4" i="4"/>
  <c r="D4" i="4"/>
  <c r="C4" i="4"/>
  <c r="B4" i="4"/>
  <c r="E4" i="4"/>
  <c r="H4" i="4"/>
  <c r="K4" i="4"/>
  <c r="G3" i="4"/>
  <c r="D3" i="4"/>
  <c r="C3" i="4"/>
  <c r="B3" i="4"/>
  <c r="E3" i="4"/>
  <c r="H3" i="4"/>
  <c r="K3" i="4"/>
  <c r="G2" i="4"/>
  <c r="E2" i="4"/>
  <c r="H2" i="4"/>
  <c r="K2" i="4"/>
  <c r="F21" i="3"/>
  <c r="G21" i="3"/>
  <c r="D21" i="3"/>
  <c r="C21" i="3"/>
  <c r="B21" i="3"/>
  <c r="E21" i="3"/>
  <c r="H21" i="3"/>
  <c r="K21" i="3"/>
  <c r="F20" i="3"/>
  <c r="G20" i="3"/>
  <c r="D20" i="3"/>
  <c r="C20" i="3"/>
  <c r="B20" i="3"/>
  <c r="E20" i="3"/>
  <c r="H20" i="3"/>
  <c r="K20" i="3"/>
  <c r="F19" i="3"/>
  <c r="G19" i="3"/>
  <c r="D19" i="3"/>
  <c r="C19" i="3"/>
  <c r="B19" i="3"/>
  <c r="E19" i="3"/>
  <c r="H19" i="3"/>
  <c r="K19" i="3"/>
  <c r="F18" i="3"/>
  <c r="G18" i="3"/>
  <c r="D18" i="3"/>
  <c r="C18" i="3"/>
  <c r="B18" i="3"/>
  <c r="E18" i="3"/>
  <c r="H18" i="3"/>
  <c r="K18" i="3"/>
  <c r="F17" i="3"/>
  <c r="G17" i="3"/>
  <c r="D17" i="3"/>
  <c r="C17" i="3"/>
  <c r="B17" i="3"/>
  <c r="E17" i="3"/>
  <c r="H17" i="3"/>
  <c r="K17" i="3"/>
  <c r="F16" i="3"/>
  <c r="G16" i="3"/>
  <c r="D16" i="3"/>
  <c r="C16" i="3"/>
  <c r="B16" i="3"/>
  <c r="E16" i="3"/>
  <c r="H16" i="3"/>
  <c r="K16" i="3"/>
  <c r="F15" i="3"/>
  <c r="G15" i="3"/>
  <c r="D15" i="3"/>
  <c r="C15" i="3"/>
  <c r="B15" i="3"/>
  <c r="E15" i="3"/>
  <c r="H15" i="3"/>
  <c r="K15" i="3"/>
  <c r="F14" i="3"/>
  <c r="G14" i="3"/>
  <c r="D14" i="3"/>
  <c r="C14" i="3"/>
  <c r="B14" i="3"/>
  <c r="E14" i="3"/>
  <c r="H14" i="3"/>
  <c r="K14" i="3"/>
  <c r="F13" i="3"/>
  <c r="G13" i="3"/>
  <c r="D13" i="3"/>
  <c r="C13" i="3"/>
  <c r="B13" i="3"/>
  <c r="E13" i="3"/>
  <c r="H13" i="3"/>
  <c r="K13" i="3"/>
  <c r="F12" i="3"/>
  <c r="G12" i="3"/>
  <c r="D12" i="3"/>
  <c r="C12" i="3"/>
  <c r="B12" i="3"/>
  <c r="E12" i="3"/>
  <c r="H12" i="3"/>
  <c r="K12" i="3"/>
  <c r="F11" i="3"/>
  <c r="G11" i="3"/>
  <c r="D11" i="3"/>
  <c r="C11" i="3"/>
  <c r="B11" i="3"/>
  <c r="E11" i="3"/>
  <c r="H11" i="3"/>
  <c r="K11" i="3"/>
  <c r="F10" i="3"/>
  <c r="G10" i="3"/>
  <c r="D10" i="3"/>
  <c r="C10" i="3"/>
  <c r="B10" i="3"/>
  <c r="E10" i="3"/>
  <c r="H10" i="3"/>
  <c r="K10" i="3"/>
  <c r="F9" i="3"/>
  <c r="G9" i="3"/>
  <c r="D9" i="3"/>
  <c r="C9" i="3"/>
  <c r="B9" i="3"/>
  <c r="E9" i="3"/>
  <c r="H9" i="3"/>
  <c r="K9" i="3"/>
  <c r="F8" i="3"/>
  <c r="G8" i="3"/>
  <c r="D8" i="3"/>
  <c r="C8" i="3"/>
  <c r="B8" i="3"/>
  <c r="E8" i="3"/>
  <c r="H8" i="3"/>
  <c r="K8" i="3"/>
  <c r="F7" i="3"/>
  <c r="G7" i="3"/>
  <c r="D7" i="3"/>
  <c r="C7" i="3"/>
  <c r="B7" i="3"/>
  <c r="E7" i="3"/>
  <c r="H7" i="3"/>
  <c r="K7" i="3"/>
  <c r="F6" i="3"/>
  <c r="G6" i="3"/>
  <c r="D6" i="3"/>
  <c r="C6" i="3"/>
  <c r="B6" i="3"/>
  <c r="E6" i="3"/>
  <c r="H6" i="3"/>
  <c r="K6" i="3"/>
  <c r="F5" i="3"/>
  <c r="G5" i="3"/>
  <c r="D5" i="3"/>
  <c r="C5" i="3"/>
  <c r="B5" i="3"/>
  <c r="E5" i="3"/>
  <c r="H5" i="3"/>
  <c r="K5" i="3"/>
  <c r="F4" i="3"/>
  <c r="G4" i="3"/>
  <c r="D4" i="3"/>
  <c r="C4" i="3"/>
  <c r="B4" i="3"/>
  <c r="E4" i="3"/>
  <c r="H4" i="3"/>
  <c r="K4" i="3"/>
  <c r="F3" i="3"/>
  <c r="G3" i="3"/>
  <c r="D3" i="3"/>
  <c r="C3" i="3"/>
  <c r="B3" i="3"/>
  <c r="E3" i="3"/>
  <c r="H3" i="3"/>
  <c r="K3" i="3"/>
  <c r="F2" i="3"/>
  <c r="G2" i="3"/>
  <c r="E2" i="3"/>
  <c r="H2" i="3"/>
  <c r="K2" i="3"/>
  <c r="G20" i="2"/>
  <c r="D20" i="2"/>
  <c r="C20" i="2"/>
  <c r="B20" i="2"/>
  <c r="E20" i="2"/>
  <c r="H20" i="2"/>
  <c r="K20" i="2"/>
  <c r="G19" i="2"/>
  <c r="D19" i="2"/>
  <c r="C19" i="2"/>
  <c r="B19" i="2"/>
  <c r="E19" i="2"/>
  <c r="H19" i="2"/>
  <c r="K19" i="2"/>
  <c r="G18" i="2"/>
  <c r="D18" i="2"/>
  <c r="C18" i="2"/>
  <c r="B18" i="2"/>
  <c r="E18" i="2"/>
  <c r="H18" i="2"/>
  <c r="K18" i="2"/>
  <c r="G17" i="2"/>
  <c r="D17" i="2"/>
  <c r="C17" i="2"/>
  <c r="B17" i="2"/>
  <c r="E17" i="2"/>
  <c r="H17" i="2"/>
  <c r="K17" i="2"/>
  <c r="G16" i="2"/>
  <c r="D16" i="2"/>
  <c r="C16" i="2"/>
  <c r="B16" i="2"/>
  <c r="E16" i="2"/>
  <c r="H16" i="2"/>
  <c r="K16" i="2"/>
  <c r="G15" i="2"/>
  <c r="D15" i="2"/>
  <c r="C15" i="2"/>
  <c r="B15" i="2"/>
  <c r="E15" i="2"/>
  <c r="H15" i="2"/>
  <c r="K15" i="2"/>
  <c r="G14" i="2"/>
  <c r="D14" i="2"/>
  <c r="C14" i="2"/>
  <c r="B14" i="2"/>
  <c r="E14" i="2"/>
  <c r="H14" i="2"/>
  <c r="K14" i="2"/>
  <c r="G13" i="2"/>
  <c r="D13" i="2"/>
  <c r="C13" i="2"/>
  <c r="B13" i="2"/>
  <c r="E13" i="2"/>
  <c r="H13" i="2"/>
  <c r="K13" i="2"/>
  <c r="G12" i="2"/>
  <c r="D12" i="2"/>
  <c r="C12" i="2"/>
  <c r="B12" i="2"/>
  <c r="E12" i="2"/>
  <c r="H12" i="2"/>
  <c r="K12" i="2"/>
  <c r="G11" i="2"/>
  <c r="D11" i="2"/>
  <c r="C11" i="2"/>
  <c r="B11" i="2"/>
  <c r="E11" i="2"/>
  <c r="H11" i="2"/>
  <c r="K11" i="2"/>
  <c r="G10" i="2"/>
  <c r="D10" i="2"/>
  <c r="C10" i="2"/>
  <c r="B10" i="2"/>
  <c r="E10" i="2"/>
  <c r="H10" i="2"/>
  <c r="K10" i="2"/>
  <c r="G9" i="2"/>
  <c r="D9" i="2"/>
  <c r="C9" i="2"/>
  <c r="B9" i="2"/>
  <c r="E9" i="2"/>
  <c r="H9" i="2"/>
  <c r="K9" i="2"/>
  <c r="G8" i="2"/>
  <c r="D8" i="2"/>
  <c r="C8" i="2"/>
  <c r="B8" i="2"/>
  <c r="E8" i="2"/>
  <c r="H8" i="2"/>
  <c r="K8" i="2"/>
  <c r="G7" i="2"/>
  <c r="D7" i="2"/>
  <c r="C7" i="2"/>
  <c r="B7" i="2"/>
  <c r="E7" i="2"/>
  <c r="H7" i="2"/>
  <c r="K7" i="2"/>
  <c r="G6" i="2"/>
  <c r="D6" i="2"/>
  <c r="C6" i="2"/>
  <c r="B6" i="2"/>
  <c r="E6" i="2"/>
  <c r="H6" i="2"/>
  <c r="K6" i="2"/>
  <c r="G5" i="2"/>
  <c r="D5" i="2"/>
  <c r="C5" i="2"/>
  <c r="B5" i="2"/>
  <c r="E5" i="2"/>
  <c r="H5" i="2"/>
  <c r="K5" i="2"/>
  <c r="G4" i="2"/>
  <c r="D4" i="2"/>
  <c r="C4" i="2"/>
  <c r="B4" i="2"/>
  <c r="E4" i="2"/>
  <c r="H4" i="2"/>
  <c r="K4" i="2"/>
  <c r="G3" i="2"/>
  <c r="D3" i="2"/>
  <c r="C3" i="2"/>
  <c r="B3" i="2"/>
  <c r="E3" i="2"/>
  <c r="H3" i="2"/>
  <c r="K3" i="2"/>
  <c r="G2" i="2"/>
  <c r="E2" i="2"/>
  <c r="H2" i="2"/>
  <c r="K2" i="2"/>
  <c r="H16" i="53" l="1"/>
  <c r="K16" i="53" s="1"/>
  <c r="H10" i="53"/>
  <c r="K10" i="53" s="1"/>
  <c r="H8" i="53"/>
  <c r="K8" i="53" s="1"/>
  <c r="H6" i="53"/>
  <c r="K6" i="53" s="1"/>
</calcChain>
</file>

<file path=xl/sharedStrings.xml><?xml version="1.0" encoding="utf-8"?>
<sst xmlns="http://schemas.openxmlformats.org/spreadsheetml/2006/main" count="549" uniqueCount="50">
  <si>
    <t>This is a supplement containing all pipe measurement data.  Each sheet contains data for an individual pipe measurement. Sheets are labeled by 2 numbers. The first, a number in [0,5], indicates the pipe's length. The second, a number in [1,6], indicates the pipe's diameter. Example: Sheet 12 contains data for a pipe of length 5.2 cm and diameter 0.254 cm. Shown in the green table below are the pipes tested. Sheets labeled "glyc_##" indicate a measurement done with glycerol, rather than with the default water. The numerical code (length, diameter) is identical to that used in the water measurements. The 3 plastic straws are also included and labeled plastic1, plastic2, and bubble_tea.</t>
  </si>
  <si>
    <t>Pipe length (cm)</t>
  </si>
  <si>
    <t>Pipe diameter(cm)</t>
  </si>
  <si>
    <t>∆ h (cm)</t>
  </si>
  <si>
    <t>Q1 (mL/s)</t>
  </si>
  <si>
    <t>Q2 (mL/s)</t>
  </si>
  <si>
    <t>Q3 (mL/s)</t>
  </si>
  <si>
    <t>average Q (mL/s)</t>
  </si>
  <si>
    <t>diameter (cm)</t>
  </si>
  <si>
    <t>cross section area (cm^2)</t>
  </si>
  <si>
    <t>velocity(cm/s)</t>
  </si>
  <si>
    <t>length (cm)</t>
  </si>
  <si>
    <t>Kine Vis</t>
  </si>
  <si>
    <t>Reynolds</t>
  </si>
  <si>
    <t>Temp:  18.4-19.3 degree Celcius</t>
  </si>
  <si>
    <t>Temp: 18.5 -- 20.0 degree Celcius</t>
  </si>
  <si>
    <t>Temp: 18.5 -- 19.6  degree Celcius</t>
  </si>
  <si>
    <t>Temp: 19.1-19.6 degree Celcius</t>
  </si>
  <si>
    <t>Temp: 18.3-19</t>
  </si>
  <si>
    <t>Temp: 18.5-20.1 degree Celcius</t>
  </si>
  <si>
    <t>Temp 18.6 degree Celcius</t>
  </si>
  <si>
    <t>temp: 18.7-20.3</t>
  </si>
  <si>
    <t>Temp: 18.1-18.7</t>
  </si>
  <si>
    <t>Temp: 19.4-19.8 C</t>
  </si>
  <si>
    <t>average Q (</t>
  </si>
  <si>
    <t>diameter</t>
  </si>
  <si>
    <t>cross section</t>
  </si>
  <si>
    <t>velocity(cm/</t>
  </si>
  <si>
    <t>length (c</t>
  </si>
  <si>
    <t>Temp: 18.1-18.9 degree Celcius</t>
  </si>
  <si>
    <t>Temp: 19.7-19.8 degree Celcius</t>
  </si>
  <si>
    <t>Temp: 18.6 - 18.3</t>
  </si>
  <si>
    <t>Temp: 18.6-18.9</t>
  </si>
  <si>
    <t>temp: 18.9-20.0 degree celcius</t>
  </si>
  <si>
    <t>Temp: 17.9-18.8</t>
  </si>
  <si>
    <t>Temp: 18.2-19.8</t>
  </si>
  <si>
    <t>Temp:  18.3-19.2 degree Celcius</t>
  </si>
  <si>
    <t>Temp: degree Celcius 18.6 - 19.6</t>
  </si>
  <si>
    <t>Temp: 18.7-18.8 degree Celcius</t>
  </si>
  <si>
    <t>Temp: 18.9-20.5</t>
  </si>
  <si>
    <t>Temp: 17.4-18.4 degree Celcius</t>
  </si>
  <si>
    <t>Temp: 16.6-18 degree Celcius</t>
  </si>
  <si>
    <t>Temp: 17.0-18.5 degree Celcius</t>
  </si>
  <si>
    <t>Temp: 16.4-19.1 degree Celcius</t>
  </si>
  <si>
    <t>Temp: 18.5-19.8 degree Celcius</t>
  </si>
  <si>
    <t>Temp: 16.5-17.4 degree Celcius</t>
  </si>
  <si>
    <t>Temp: 25.1</t>
  </si>
  <si>
    <t>Temp: 18.2-19.0 degree Celcius</t>
  </si>
  <si>
    <t>Temp: 18.1-19.7 degree Celcius</t>
  </si>
  <si>
    <t>Temp: 16.6-17.5 degree Celcius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</si>
</sst>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_ "/>
  </numFmts>
  <fonts count="9">
    <font>
      <sz val="12"/>
      <color theme="1"/>
      <name val="Arial"/>
    </font>
    <font>
      <sz val="12"/>
      <color theme="1"/>
      <name val="Calibri"/>
    </font>
    <font>
      <sz val="12"/>
      <color rgb="FFFF0000"/>
      <name val="Calibri"/>
    </font>
    <font>
      <sz val="12"/>
      <color rgb="FF000000"/>
      <name val="等线"/>
    </font>
    <font>
      <sz val="12"/>
      <color theme="1"/>
      <name val="Arial"/>
    </font>
    <font>
      <u/>
      <sz val="12"/>
      <color theme="10"/>
      <name val="Arial"/>
    </font>
    <font>
      <u/>
      <sz val="12"/>
      <color theme="11"/>
      <name val="Arial"/>
    </font>
    <font>
      <sz val="12"/>
      <color rgb="FF000000"/>
      <name val="Calibri"/>
      <charset val="1"/>
    </font>
    <font>
      <sz val="12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/>
    <xf numFmtId="0" fontId="1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7" fillId="3" borderId="0" xfId="0" applyFont="1" applyFill="1" applyAlignment="1"/>
    <xf numFmtId="0" fontId="0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8" fillId="0" borderId="0" xfId="0" applyFont="1" applyAlignment="1"/>
    <xf numFmtId="0" fontId="7" fillId="0" borderId="0" xfId="0" applyFont="1" applyAlignme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4"/>
  <sheetViews>
    <sheetView workbookViewId="0">
      <selection activeCell="A2" sqref="A2"/>
    </sheetView>
  </sheetViews>
  <sheetFormatPr defaultColWidth="11.33203125" defaultRowHeight="15" customHeight="1"/>
  <cols>
    <col min="1" max="1" width="36.21875" customWidth="1"/>
    <col min="2" max="10" width="6.6640625" customWidth="1"/>
    <col min="11" max="11" width="16.88671875" customWidth="1"/>
    <col min="12" max="26" width="6.6640625" customWidth="1"/>
  </cols>
  <sheetData>
    <row r="1" spans="1:27" ht="261">
      <c r="A1" s="17" t="s">
        <v>0</v>
      </c>
      <c r="B1" s="13"/>
      <c r="C1" s="13"/>
      <c r="D1" s="13"/>
      <c r="E1" s="13"/>
      <c r="F1" s="13"/>
      <c r="G1" s="13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3"/>
    </row>
    <row r="2" spans="1:27" ht="15.75">
      <c r="A2" s="13"/>
      <c r="B2" s="13"/>
      <c r="C2" s="13"/>
      <c r="D2" s="13"/>
      <c r="E2" s="13"/>
      <c r="F2" s="13"/>
      <c r="G2" s="13"/>
      <c r="H2" s="12"/>
      <c r="I2" s="12"/>
      <c r="J2" s="12"/>
      <c r="K2" s="12" t="s">
        <v>1</v>
      </c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3"/>
    </row>
    <row r="3" spans="1:27" ht="15.75">
      <c r="A3" s="13"/>
      <c r="B3" s="13"/>
      <c r="C3" s="13"/>
      <c r="D3" s="13"/>
      <c r="E3" s="13"/>
      <c r="F3" s="13"/>
      <c r="G3" s="13"/>
      <c r="H3" s="12"/>
      <c r="I3" s="12"/>
      <c r="J3" s="12"/>
      <c r="K3" s="12">
        <v>0</v>
      </c>
      <c r="L3" s="12">
        <v>1.95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3"/>
    </row>
    <row r="4" spans="1:27" ht="15.75">
      <c r="A4" s="13"/>
      <c r="B4" s="13"/>
      <c r="C4" s="13"/>
      <c r="D4" s="13"/>
      <c r="E4" s="13"/>
      <c r="F4" s="13"/>
      <c r="G4" s="13"/>
      <c r="H4" s="12"/>
      <c r="I4" s="12"/>
      <c r="J4" s="12"/>
      <c r="K4" s="12">
        <v>1</v>
      </c>
      <c r="L4" s="12">
        <v>5.2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3"/>
    </row>
    <row r="5" spans="1:27" ht="15.75">
      <c r="A5" s="13"/>
      <c r="B5" s="12"/>
      <c r="C5" s="12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12"/>
      <c r="J5" s="12"/>
      <c r="K5" s="12">
        <v>2</v>
      </c>
      <c r="L5" s="12">
        <v>17.899999999999999</v>
      </c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15.75">
      <c r="A6" s="13"/>
      <c r="B6" s="12">
        <v>0</v>
      </c>
      <c r="C6" s="18"/>
      <c r="D6" s="19"/>
      <c r="E6" s="1"/>
      <c r="F6" s="1"/>
      <c r="G6" s="1"/>
      <c r="H6" s="1"/>
      <c r="I6" s="12"/>
      <c r="J6" s="12"/>
      <c r="K6" s="12">
        <v>3</v>
      </c>
      <c r="L6" s="12">
        <v>30.6</v>
      </c>
      <c r="M6" s="13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15.75">
      <c r="A7" s="13"/>
      <c r="B7" s="12">
        <v>1</v>
      </c>
      <c r="C7" s="1"/>
      <c r="D7" s="1"/>
      <c r="E7" s="1"/>
      <c r="F7" s="1"/>
      <c r="G7" s="1"/>
      <c r="H7" s="1"/>
      <c r="I7" s="12"/>
      <c r="J7" s="12"/>
      <c r="K7" s="12">
        <v>4</v>
      </c>
      <c r="L7" s="12">
        <v>61.3</v>
      </c>
      <c r="M7" s="13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15.75">
      <c r="A8" s="13"/>
      <c r="B8" s="12">
        <v>2</v>
      </c>
      <c r="C8" s="1"/>
      <c r="D8" s="1"/>
      <c r="E8" s="1"/>
      <c r="F8" s="1"/>
      <c r="G8" s="1"/>
      <c r="H8" s="1"/>
      <c r="I8" s="12"/>
      <c r="J8" s="12"/>
      <c r="K8" s="12">
        <v>5</v>
      </c>
      <c r="L8" s="12">
        <v>90</v>
      </c>
      <c r="M8" s="13"/>
      <c r="N8" s="12"/>
      <c r="O8" s="12"/>
      <c r="P8" s="12"/>
      <c r="Q8" s="12"/>
      <c r="R8" s="12"/>
      <c r="S8" s="12"/>
      <c r="T8" s="12"/>
      <c r="U8" s="12"/>
      <c r="V8" s="12"/>
      <c r="W8" s="12"/>
      <c r="X8" s="13"/>
      <c r="Y8" s="13"/>
      <c r="Z8" s="13"/>
      <c r="AA8" s="13"/>
    </row>
    <row r="9" spans="1:27" ht="15.75">
      <c r="A9" s="13"/>
      <c r="B9" s="12">
        <v>3</v>
      </c>
      <c r="C9" s="1"/>
      <c r="D9" s="2"/>
      <c r="E9" s="1"/>
      <c r="F9" s="1"/>
      <c r="G9" s="1"/>
      <c r="H9" s="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3"/>
      <c r="Y9" s="13"/>
      <c r="Z9" s="13"/>
      <c r="AA9" s="13"/>
    </row>
    <row r="10" spans="1:27" ht="15.75">
      <c r="A10" s="13"/>
      <c r="B10" s="12">
        <v>4</v>
      </c>
      <c r="C10" s="18"/>
      <c r="D10" s="19"/>
      <c r="E10" s="19"/>
      <c r="F10" s="1"/>
      <c r="G10" s="1"/>
      <c r="H10" s="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3"/>
      <c r="Y10" s="13"/>
      <c r="Z10" s="13"/>
      <c r="AA10" s="13"/>
    </row>
    <row r="11" spans="1:27" ht="15.75">
      <c r="A11" s="13"/>
      <c r="B11" s="12">
        <v>5</v>
      </c>
      <c r="C11" s="19"/>
      <c r="D11" s="19"/>
      <c r="E11" s="19"/>
      <c r="F11" s="1"/>
      <c r="G11" s="1"/>
      <c r="H11" s="1"/>
      <c r="I11" s="12"/>
      <c r="J11" s="12"/>
      <c r="K11" s="12" t="s">
        <v>2</v>
      </c>
      <c r="L11" s="13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3"/>
      <c r="Y11" s="13"/>
      <c r="Z11" s="13"/>
      <c r="AA11" s="13"/>
    </row>
    <row r="12" spans="1:27" ht="15.7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>
        <v>1</v>
      </c>
      <c r="L12" s="12">
        <v>0.14000000000000001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3"/>
    </row>
    <row r="13" spans="1:27" ht="15.7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>
        <v>2</v>
      </c>
      <c r="L13" s="12">
        <v>0.254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3"/>
    </row>
    <row r="14" spans="1:27" ht="15.7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>
        <v>3</v>
      </c>
      <c r="L14" s="12">
        <v>0.38100000000000001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3"/>
    </row>
    <row r="15" spans="1:27" ht="15.75">
      <c r="A15" s="12"/>
      <c r="B15" s="12"/>
      <c r="C15" s="12"/>
      <c r="D15" s="12"/>
      <c r="E15" s="12"/>
      <c r="F15" s="12"/>
      <c r="G15" s="13"/>
      <c r="H15" s="12"/>
      <c r="I15" s="12"/>
      <c r="J15" s="12"/>
      <c r="K15" s="12">
        <v>4</v>
      </c>
      <c r="L15" s="12">
        <v>0.50549999999999995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3"/>
    </row>
    <row r="16" spans="1:27" ht="15.7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>
        <v>5</v>
      </c>
      <c r="L16" s="12">
        <v>0.63754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3"/>
    </row>
    <row r="17" spans="1:26" ht="15.7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>
        <v>6</v>
      </c>
      <c r="L17" s="12">
        <v>0.77470000000000006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.7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.75">
      <c r="A19" s="12"/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5.7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  <row r="1001" spans="1:26" ht="15" customHeight="1">
      <c r="A1001" s="12"/>
      <c r="B1001" s="12"/>
      <c r="C1001" s="12"/>
      <c r="D1001" s="12"/>
      <c r="E1001" s="12"/>
      <c r="F1001" s="12"/>
      <c r="G1001" s="12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ht="15" customHeight="1">
      <c r="A1002" s="12"/>
      <c r="B1002" s="12"/>
      <c r="C1002" s="12"/>
      <c r="D1002" s="12"/>
      <c r="E1002" s="12"/>
      <c r="F1002" s="12"/>
      <c r="G1002" s="12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ht="15" customHeight="1">
      <c r="A1003" s="12"/>
      <c r="B1003" s="12"/>
      <c r="C1003" s="12"/>
      <c r="D1003" s="12"/>
      <c r="E1003" s="12"/>
      <c r="F1003" s="12"/>
      <c r="G1003" s="12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ht="15" customHeight="1">
      <c r="A1004" s="12"/>
      <c r="B1004" s="12"/>
      <c r="C1004" s="12"/>
      <c r="D1004" s="12"/>
      <c r="E1004" s="12"/>
      <c r="F1004" s="12"/>
      <c r="G1004" s="12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</sheetData>
  <mergeCells count="2">
    <mergeCell ref="C6:D6"/>
    <mergeCell ref="C10:E11"/>
  </mergeCells>
  <pageMargins left="0.75" right="0.75" top="1" bottom="1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0"/>
  <sheetViews>
    <sheetView workbookViewId="0">
      <selection activeCell="O15" sqref="O15"/>
    </sheetView>
  </sheetViews>
  <sheetFormatPr defaultColWidth="11.33203125" defaultRowHeight="15" customHeight="1"/>
  <cols>
    <col min="1" max="1" width="6.6640625" customWidth="1"/>
    <col min="2" max="5" width="9.6640625" customWidth="1"/>
    <col min="6" max="6" width="6.6640625" customWidth="1"/>
    <col min="7" max="8" width="9.6640625" customWidth="1"/>
    <col min="9" max="9" width="6.6640625" customWidth="1"/>
    <col min="10" max="10" width="7.33203125" customWidth="1"/>
    <col min="11" max="11" width="9.6640625" customWidth="1"/>
    <col min="12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22</v>
      </c>
    </row>
    <row r="2" spans="1:12">
      <c r="A2" s="3">
        <v>0</v>
      </c>
      <c r="B2" s="13"/>
      <c r="C2" s="13"/>
      <c r="D2" s="13"/>
      <c r="E2" s="3">
        <f t="shared" ref="E2:E20" si="0">(B2+C2+D2)/3</f>
        <v>0</v>
      </c>
      <c r="F2" s="3">
        <v>0.63754</v>
      </c>
      <c r="G2" s="3">
        <f t="shared" ref="G2:G20" si="1">(F2^2)/4*PI()</f>
        <v>0.31923077890621454</v>
      </c>
      <c r="H2" s="3">
        <f t="shared" ref="H2:H20" si="2">E2/G2</f>
        <v>0</v>
      </c>
      <c r="I2" s="3">
        <v>5.2</v>
      </c>
      <c r="J2" s="3">
        <v>1.0427000000000001E-2</v>
      </c>
      <c r="K2" s="3">
        <f t="shared" ref="K2:K20" si="3">H2*F2/J2</f>
        <v>0</v>
      </c>
      <c r="L2" s="13"/>
    </row>
    <row r="3" spans="1:12">
      <c r="A3" s="3">
        <v>1</v>
      </c>
      <c r="B3" s="3">
        <f>600/62.66</f>
        <v>9.5754867539099902</v>
      </c>
      <c r="C3" s="3">
        <f>600/66.89</f>
        <v>8.969950665271341</v>
      </c>
      <c r="D3" s="3">
        <f>600/67.78</f>
        <v>8.8521687813514305</v>
      </c>
      <c r="E3" s="3">
        <f t="shared" si="0"/>
        <v>9.1325354001775878</v>
      </c>
      <c r="F3" s="3">
        <v>0.63754</v>
      </c>
      <c r="G3" s="3">
        <f t="shared" si="1"/>
        <v>0.31923077890621454</v>
      </c>
      <c r="H3" s="3">
        <f t="shared" si="2"/>
        <v>28.607941350356434</v>
      </c>
      <c r="I3" s="3">
        <v>5.2</v>
      </c>
      <c r="J3" s="3">
        <v>1.0427000000000001E-2</v>
      </c>
      <c r="K3" s="3">
        <f t="shared" si="3"/>
        <v>1749.1806779041181</v>
      </c>
      <c r="L3" s="13"/>
    </row>
    <row r="4" spans="1:12">
      <c r="A4" s="3">
        <v>2</v>
      </c>
      <c r="B4" s="3">
        <f>1000/71.39</f>
        <v>14.007564084605686</v>
      </c>
      <c r="C4" s="3">
        <f>1000/74.55</f>
        <v>13.413816230717639</v>
      </c>
      <c r="D4" s="3">
        <f>1000/73.64</f>
        <v>13.579576317218903</v>
      </c>
      <c r="E4" s="3">
        <f t="shared" si="0"/>
        <v>13.666985544180742</v>
      </c>
      <c r="F4" s="3">
        <v>0.63754</v>
      </c>
      <c r="G4" s="3">
        <f t="shared" si="1"/>
        <v>0.31923077890621454</v>
      </c>
      <c r="H4" s="3">
        <f t="shared" si="2"/>
        <v>42.812242575757104</v>
      </c>
      <c r="I4" s="3">
        <v>5.2</v>
      </c>
      <c r="J4" s="3">
        <v>1.0427000000000001E-2</v>
      </c>
      <c r="K4" s="3">
        <f t="shared" si="3"/>
        <v>2617.6769091539445</v>
      </c>
      <c r="L4" s="13"/>
    </row>
    <row r="5" spans="1:12">
      <c r="A5" s="3">
        <v>3</v>
      </c>
      <c r="B5" s="3">
        <f>1000/56.32</f>
        <v>17.755681818181817</v>
      </c>
      <c r="C5" s="3">
        <f>1000/59.15</f>
        <v>16.906170752324599</v>
      </c>
      <c r="D5" s="3">
        <f>1000/58.25</f>
        <v>17.167381974248926</v>
      </c>
      <c r="E5" s="3">
        <f t="shared" si="0"/>
        <v>17.276411514918447</v>
      </c>
      <c r="F5" s="3">
        <v>0.63754</v>
      </c>
      <c r="G5" s="3">
        <f t="shared" si="1"/>
        <v>0.31923077890621454</v>
      </c>
      <c r="H5" s="3">
        <f t="shared" si="2"/>
        <v>54.118877804054137</v>
      </c>
      <c r="I5" s="3">
        <v>5.2</v>
      </c>
      <c r="J5" s="3">
        <v>1.0427000000000001E-2</v>
      </c>
      <c r="K5" s="3">
        <f t="shared" si="3"/>
        <v>3309.0006094942623</v>
      </c>
      <c r="L5" s="13"/>
    </row>
    <row r="6" spans="1:12">
      <c r="A6" s="3">
        <v>3.9</v>
      </c>
      <c r="B6" s="3">
        <f>1000/48.97</f>
        <v>20.420665713702267</v>
      </c>
      <c r="C6" s="3">
        <f>1000/49.3</f>
        <v>20.28397565922921</v>
      </c>
      <c r="D6" s="3">
        <f>1000/51.61</f>
        <v>19.37608990505716</v>
      </c>
      <c r="E6" s="3">
        <f t="shared" si="0"/>
        <v>20.02691042599621</v>
      </c>
      <c r="F6" s="3">
        <v>0.63754</v>
      </c>
      <c r="G6" s="3">
        <f t="shared" si="1"/>
        <v>0.31923077890621454</v>
      </c>
      <c r="H6" s="3">
        <f t="shared" si="2"/>
        <v>62.734898228218249</v>
      </c>
      <c r="I6" s="3">
        <v>5.2</v>
      </c>
      <c r="J6" s="3">
        <v>1.0427000000000001E-2</v>
      </c>
      <c r="K6" s="3">
        <f t="shared" si="3"/>
        <v>3835.811548520021</v>
      </c>
      <c r="L6" s="13"/>
    </row>
    <row r="7" spans="1:12">
      <c r="A7" s="3">
        <v>5</v>
      </c>
      <c r="B7" s="3">
        <f>1000/42.07</f>
        <v>23.769907297361542</v>
      </c>
      <c r="C7" s="3">
        <f>1000/43.33</f>
        <v>23.078698361412417</v>
      </c>
      <c r="D7" s="3">
        <f>1000/44.04</f>
        <v>22.706630336058129</v>
      </c>
      <c r="E7" s="3">
        <f t="shared" si="0"/>
        <v>23.185078664944029</v>
      </c>
      <c r="F7" s="3">
        <v>0.63754</v>
      </c>
      <c r="G7" s="3">
        <f t="shared" si="1"/>
        <v>0.31923077890621454</v>
      </c>
      <c r="H7" s="3">
        <f t="shared" si="2"/>
        <v>72.627955062426722</v>
      </c>
      <c r="I7" s="3">
        <v>5.2</v>
      </c>
      <c r="J7" s="3">
        <v>1.0427000000000001E-2</v>
      </c>
      <c r="K7" s="3">
        <f t="shared" si="3"/>
        <v>4440.7045622422102</v>
      </c>
      <c r="L7" s="13"/>
    </row>
    <row r="8" spans="1:12">
      <c r="A8" s="3">
        <v>6.1</v>
      </c>
      <c r="B8" s="3">
        <f>1000/38.06</f>
        <v>26.274303730951129</v>
      </c>
      <c r="C8" s="3">
        <f>1000/39.76</f>
        <v>25.150905432595575</v>
      </c>
      <c r="D8" s="3">
        <f>1000/40.36</f>
        <v>24.777006937561943</v>
      </c>
      <c r="E8" s="3">
        <f t="shared" si="0"/>
        <v>25.400738700369548</v>
      </c>
      <c r="F8" s="3">
        <v>0.63754</v>
      </c>
      <c r="G8" s="3">
        <f t="shared" si="1"/>
        <v>0.31923077890621454</v>
      </c>
      <c r="H8" s="3">
        <f t="shared" si="2"/>
        <v>79.568576649784518</v>
      </c>
      <c r="I8" s="3">
        <v>5.2</v>
      </c>
      <c r="J8" s="3">
        <v>1.0427000000000001E-2</v>
      </c>
      <c r="K8" s="3">
        <f t="shared" si="3"/>
        <v>4865.0762786327432</v>
      </c>
      <c r="L8" s="13"/>
    </row>
    <row r="9" spans="1:12">
      <c r="A9" s="3">
        <v>7</v>
      </c>
      <c r="B9" s="3">
        <f>1000/35.4</f>
        <v>28.248587570621471</v>
      </c>
      <c r="C9" s="3">
        <f>1000/36.94</f>
        <v>27.070925825663238</v>
      </c>
      <c r="D9" s="3">
        <f>2000/72.34</f>
        <v>27.647221454243848</v>
      </c>
      <c r="E9" s="3">
        <f t="shared" si="0"/>
        <v>27.655578283509517</v>
      </c>
      <c r="F9" s="3">
        <v>0.63754</v>
      </c>
      <c r="G9" s="3">
        <f t="shared" si="1"/>
        <v>0.31923077890621454</v>
      </c>
      <c r="H9" s="3">
        <f t="shared" si="2"/>
        <v>86.631929346744883</v>
      </c>
      <c r="I9" s="3">
        <v>5.2</v>
      </c>
      <c r="J9" s="3">
        <v>1.0427000000000001E-2</v>
      </c>
      <c r="K9" s="3">
        <f t="shared" si="3"/>
        <v>5296.9521660807259</v>
      </c>
      <c r="L9" s="13"/>
    </row>
    <row r="10" spans="1:12">
      <c r="A10" s="3">
        <v>7.9</v>
      </c>
      <c r="B10" s="3">
        <f>1500/50.13</f>
        <v>29.922202274087372</v>
      </c>
      <c r="C10" s="3">
        <f>1500/52.33</f>
        <v>28.664246130326774</v>
      </c>
      <c r="D10" s="3">
        <f>3000/102.46</f>
        <v>29.279718914698421</v>
      </c>
      <c r="E10" s="3">
        <f t="shared" si="0"/>
        <v>29.288722439704188</v>
      </c>
      <c r="F10" s="3">
        <v>0.63754</v>
      </c>
      <c r="G10" s="3">
        <f t="shared" si="1"/>
        <v>0.31923077890621454</v>
      </c>
      <c r="H10" s="3">
        <f t="shared" si="2"/>
        <v>91.747802452058664</v>
      </c>
      <c r="I10" s="3">
        <v>5.2</v>
      </c>
      <c r="J10" s="3">
        <v>1.0427000000000001E-2</v>
      </c>
      <c r="K10" s="3">
        <f t="shared" si="3"/>
        <v>5609.752946704275</v>
      </c>
      <c r="L10" s="13"/>
    </row>
    <row r="11" spans="1:12">
      <c r="A11" s="3">
        <v>9</v>
      </c>
      <c r="B11" s="3">
        <f>1500/47.25</f>
        <v>31.746031746031747</v>
      </c>
      <c r="C11" s="3">
        <f>1500/48.76</f>
        <v>30.762920426579164</v>
      </c>
      <c r="D11" s="3">
        <f>3000/96.01</f>
        <v>31.246745130715549</v>
      </c>
      <c r="E11" s="3">
        <f t="shared" si="0"/>
        <v>31.251899101108819</v>
      </c>
      <c r="F11" s="3">
        <v>0.63754</v>
      </c>
      <c r="G11" s="3">
        <f t="shared" si="1"/>
        <v>0.31923077890621454</v>
      </c>
      <c r="H11" s="3">
        <f t="shared" si="2"/>
        <v>97.897512289346579</v>
      </c>
      <c r="I11" s="3">
        <v>5.2</v>
      </c>
      <c r="J11" s="3">
        <v>1.0427000000000001E-2</v>
      </c>
      <c r="K11" s="3">
        <f t="shared" si="3"/>
        <v>5985.7657988827095</v>
      </c>
      <c r="L11" s="13"/>
    </row>
    <row r="12" spans="1:12">
      <c r="A12" s="3">
        <v>10</v>
      </c>
      <c r="B12" s="3">
        <f>1500/44.62</f>
        <v>33.617212012550425</v>
      </c>
      <c r="C12" s="3">
        <f>1500/45.76</f>
        <v>32.77972027972028</v>
      </c>
      <c r="D12" s="3">
        <f>3000/90.38</f>
        <v>33.193184332816998</v>
      </c>
      <c r="E12" s="3">
        <f t="shared" si="0"/>
        <v>33.196705541695898</v>
      </c>
      <c r="F12" s="3">
        <v>0.63754</v>
      </c>
      <c r="G12" s="3">
        <f t="shared" si="1"/>
        <v>0.31923077890621454</v>
      </c>
      <c r="H12" s="3">
        <f t="shared" si="2"/>
        <v>103.98967685834774</v>
      </c>
      <c r="I12" s="3">
        <v>5.2</v>
      </c>
      <c r="J12" s="3">
        <v>1.0427000000000001E-2</v>
      </c>
      <c r="K12" s="3">
        <f t="shared" si="3"/>
        <v>6358.2601500211958</v>
      </c>
      <c r="L12" s="13"/>
    </row>
    <row r="13" spans="1:12">
      <c r="A13" s="3">
        <v>11</v>
      </c>
      <c r="B13" s="3">
        <f>2000/56.81</f>
        <v>35.205069530012324</v>
      </c>
      <c r="C13" s="3">
        <f>2000/57.84</f>
        <v>34.57814661134163</v>
      </c>
      <c r="D13" s="3">
        <f>4000/114.65</f>
        <v>34.888791975577846</v>
      </c>
      <c r="E13" s="3">
        <f t="shared" si="0"/>
        <v>34.890669372310605</v>
      </c>
      <c r="F13" s="3">
        <v>0.63754</v>
      </c>
      <c r="G13" s="3">
        <f t="shared" si="1"/>
        <v>0.31923077890621454</v>
      </c>
      <c r="H13" s="3">
        <f t="shared" si="2"/>
        <v>109.29606941992579</v>
      </c>
      <c r="I13" s="3">
        <v>5.2</v>
      </c>
      <c r="J13" s="3">
        <v>1.0427000000000001E-2</v>
      </c>
      <c r="K13" s="3">
        <f t="shared" si="3"/>
        <v>6682.7098971880196</v>
      </c>
      <c r="L13" s="13"/>
    </row>
    <row r="14" spans="1:12">
      <c r="A14" s="3">
        <v>13</v>
      </c>
      <c r="B14" s="3">
        <f>2000/52.34</f>
        <v>38.211692777990059</v>
      </c>
      <c r="C14" s="3">
        <f>2000/53.05</f>
        <v>37.700282752120643</v>
      </c>
      <c r="D14" s="3">
        <f>4000/105.39</f>
        <v>37.954265110541797</v>
      </c>
      <c r="E14" s="3">
        <f t="shared" si="0"/>
        <v>37.955413546884166</v>
      </c>
      <c r="F14" s="3">
        <v>0.63754</v>
      </c>
      <c r="G14" s="3">
        <f t="shared" si="1"/>
        <v>0.31923077890621454</v>
      </c>
      <c r="H14" s="3">
        <f t="shared" si="2"/>
        <v>118.89647256737399</v>
      </c>
      <c r="I14" s="3">
        <v>5.2</v>
      </c>
      <c r="J14" s="3">
        <v>1.0427000000000001E-2</v>
      </c>
      <c r="K14" s="3">
        <f t="shared" si="3"/>
        <v>7269.7091321188846</v>
      </c>
      <c r="L14" s="13"/>
    </row>
    <row r="15" spans="1:12">
      <c r="A15" s="3">
        <v>15</v>
      </c>
      <c r="B15" s="3">
        <f>2000/48.69</f>
        <v>41.07619634421853</v>
      </c>
      <c r="C15" s="3">
        <f>2000/49.19</f>
        <v>40.658670461475914</v>
      </c>
      <c r="D15" s="3">
        <f>4000/97.88</f>
        <v>40.866366979975481</v>
      </c>
      <c r="E15" s="3">
        <f t="shared" si="0"/>
        <v>40.867077928556647</v>
      </c>
      <c r="F15" s="3">
        <v>0.63754</v>
      </c>
      <c r="G15" s="3">
        <f t="shared" si="1"/>
        <v>0.31923077890621454</v>
      </c>
      <c r="H15" s="3">
        <f t="shared" si="2"/>
        <v>128.01734866725621</v>
      </c>
      <c r="I15" s="3">
        <v>5.2</v>
      </c>
      <c r="J15" s="3">
        <v>1.0427000000000001E-2</v>
      </c>
      <c r="K15" s="3">
        <f t="shared" si="3"/>
        <v>7827.3885556077994</v>
      </c>
      <c r="L15" s="13"/>
    </row>
    <row r="16" spans="1:12">
      <c r="A16" s="3">
        <v>17</v>
      </c>
      <c r="B16" s="3">
        <f>2000/45.38</f>
        <v>44.072278536800347</v>
      </c>
      <c r="C16" s="3">
        <f>2000/46.43</f>
        <v>43.075597673917727</v>
      </c>
      <c r="D16" s="3">
        <f>4000/91.81</f>
        <v>43.568238753948371</v>
      </c>
      <c r="E16" s="3">
        <f t="shared" si="0"/>
        <v>43.572038321555482</v>
      </c>
      <c r="F16" s="3">
        <v>0.63754</v>
      </c>
      <c r="G16" s="3">
        <f t="shared" si="1"/>
        <v>0.31923077890621454</v>
      </c>
      <c r="H16" s="3">
        <f t="shared" si="2"/>
        <v>136.49071831621953</v>
      </c>
      <c r="I16" s="3">
        <v>5.2</v>
      </c>
      <c r="J16" s="3">
        <v>1.0427000000000001E-2</v>
      </c>
      <c r="K16" s="3">
        <f t="shared" si="3"/>
        <v>8345.4773717581847</v>
      </c>
      <c r="L16" s="13"/>
    </row>
    <row r="17" spans="1:11">
      <c r="A17" s="3">
        <v>19</v>
      </c>
      <c r="B17" s="3">
        <f>2500/54</f>
        <v>46.296296296296298</v>
      </c>
      <c r="C17" s="3">
        <f>2500/54.01</f>
        <v>46.287724495463806</v>
      </c>
      <c r="D17" s="3">
        <f>5000/108.01</f>
        <v>46.29200999907416</v>
      </c>
      <c r="E17" s="3">
        <f t="shared" si="0"/>
        <v>46.292010263611424</v>
      </c>
      <c r="F17" s="3">
        <v>0.63754</v>
      </c>
      <c r="G17" s="3">
        <f t="shared" si="1"/>
        <v>0.31923077890621454</v>
      </c>
      <c r="H17" s="3">
        <f t="shared" si="2"/>
        <v>145.01111209333408</v>
      </c>
      <c r="I17" s="3">
        <v>5.2</v>
      </c>
      <c r="J17" s="3">
        <v>1.0427000000000001E-2</v>
      </c>
      <c r="K17" s="3">
        <f t="shared" si="3"/>
        <v>8866.4413929207058</v>
      </c>
    </row>
    <row r="18" spans="1:11">
      <c r="A18" s="3">
        <v>21</v>
      </c>
      <c r="B18" s="3">
        <f>2500/51.43</f>
        <v>48.609760839976666</v>
      </c>
      <c r="C18" s="3">
        <f>2500/50.59</f>
        <v>49.416880806483491</v>
      </c>
      <c r="D18" s="3">
        <f>5000/102.02</f>
        <v>49.009998039600077</v>
      </c>
      <c r="E18" s="3">
        <f t="shared" si="0"/>
        <v>49.01221322868674</v>
      </c>
      <c r="F18" s="3">
        <v>0.63754</v>
      </c>
      <c r="G18" s="3">
        <f t="shared" si="1"/>
        <v>0.31923077890621454</v>
      </c>
      <c r="H18" s="3">
        <f t="shared" si="2"/>
        <v>153.5322295569934</v>
      </c>
      <c r="I18" s="3">
        <v>5.2</v>
      </c>
      <c r="J18" s="3">
        <v>1.0427000000000001E-2</v>
      </c>
      <c r="K18" s="3">
        <f t="shared" si="3"/>
        <v>9387.4496625842112</v>
      </c>
    </row>
    <row r="19" spans="1:11">
      <c r="A19" s="3">
        <v>23.1</v>
      </c>
      <c r="B19" s="3">
        <f>2500/48.84</f>
        <v>51.187551187551186</v>
      </c>
      <c r="C19" s="3">
        <f>2500/48.18</f>
        <v>51.888750518887505</v>
      </c>
      <c r="D19" s="3">
        <f>5000/97.02</f>
        <v>51.535765821480112</v>
      </c>
      <c r="E19" s="3">
        <f t="shared" si="0"/>
        <v>51.537355842639606</v>
      </c>
      <c r="F19" s="3">
        <v>0.63754</v>
      </c>
      <c r="G19" s="3">
        <f t="shared" si="1"/>
        <v>0.31923077890621454</v>
      </c>
      <c r="H19" s="3">
        <f t="shared" si="2"/>
        <v>161.44231461396944</v>
      </c>
      <c r="I19" s="3">
        <v>5.2</v>
      </c>
      <c r="J19" s="3">
        <v>1.0427000000000001E-2</v>
      </c>
      <c r="K19" s="3">
        <f t="shared" si="3"/>
        <v>9871.0974641785833</v>
      </c>
    </row>
    <row r="20" spans="1:11">
      <c r="A20" s="3">
        <v>25</v>
      </c>
      <c r="B20" s="3">
        <f>2500/47.02</f>
        <v>53.168864313058272</v>
      </c>
      <c r="C20" s="3">
        <f>2500/46.37</f>
        <v>53.914168643519517</v>
      </c>
      <c r="D20" s="3">
        <f>5000/93.39</f>
        <v>53.538922796873329</v>
      </c>
      <c r="E20" s="3">
        <f t="shared" si="0"/>
        <v>53.540651917817037</v>
      </c>
      <c r="F20" s="3">
        <v>0.63754</v>
      </c>
      <c r="G20" s="3">
        <f t="shared" si="1"/>
        <v>0.31923077890621454</v>
      </c>
      <c r="H20" s="3">
        <f t="shared" si="2"/>
        <v>167.71769971950769</v>
      </c>
      <c r="I20" s="3">
        <v>5.2</v>
      </c>
      <c r="J20" s="3">
        <v>1.0427000000000001E-2</v>
      </c>
      <c r="K20" s="3">
        <f t="shared" si="3"/>
        <v>10254.79450265416</v>
      </c>
    </row>
  </sheetData>
  <pageMargins left="0.75" right="0.75" top="1" bottom="1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30"/>
  <sheetViews>
    <sheetView topLeftCell="N4" workbookViewId="0">
      <selection activeCell="AC12" sqref="AC12"/>
    </sheetView>
  </sheetViews>
  <sheetFormatPr defaultColWidth="11.33203125" defaultRowHeight="15" customHeight="1"/>
  <cols>
    <col min="1" max="1" width="6.6640625" customWidth="1"/>
    <col min="2" max="5" width="9.6640625" customWidth="1"/>
    <col min="6" max="6" width="6.6640625" customWidth="1"/>
    <col min="7" max="8" width="9.6640625" customWidth="1"/>
    <col min="9" max="9" width="6.6640625" customWidth="1"/>
    <col min="10" max="10" width="7.33203125" customWidth="1"/>
    <col min="11" max="11" width="9.6640625" customWidth="1"/>
    <col min="12" max="26" width="6.6640625" customWidth="1"/>
  </cols>
  <sheetData>
    <row r="1" spans="1:26" ht="15.95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23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5.95">
      <c r="A2" s="3">
        <v>0</v>
      </c>
      <c r="B2" s="3"/>
      <c r="C2" s="3"/>
      <c r="D2" s="3"/>
      <c r="E2" s="3">
        <v>0</v>
      </c>
      <c r="F2" s="3">
        <f t="shared" ref="F2:F26" si="0">0.7747</f>
        <v>0.77470000000000006</v>
      </c>
      <c r="G2" s="3">
        <f t="shared" ref="G2:G26" si="1">3.14159*(F2/2)^2</f>
        <v>0.47136423428577501</v>
      </c>
      <c r="H2" s="3">
        <f t="shared" ref="H2:H26" si="2">E2/G2</f>
        <v>0</v>
      </c>
      <c r="I2" s="3">
        <v>5.0999999999999996</v>
      </c>
      <c r="J2" s="3">
        <v>1.0182999999999999E-2</v>
      </c>
      <c r="K2" s="3">
        <f t="shared" ref="K2:K26" si="3">H2*F2/J2</f>
        <v>0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.75">
      <c r="A3" s="3">
        <v>1</v>
      </c>
      <c r="B3" s="3">
        <f>500/32.5</f>
        <v>15.384615384615385</v>
      </c>
      <c r="C3" s="3">
        <f>500/36.63</f>
        <v>13.65001365001365</v>
      </c>
      <c r="D3" s="3">
        <f>500/36.73</f>
        <v>13.612850530901172</v>
      </c>
      <c r="E3" s="3">
        <f t="shared" ref="E3:E26" si="4">(B3+C3+D3)/3</f>
        <v>14.215826521843402</v>
      </c>
      <c r="F3" s="3">
        <f t="shared" si="0"/>
        <v>0.77470000000000006</v>
      </c>
      <c r="G3" s="3">
        <f t="shared" si="1"/>
        <v>0.47136423428577501</v>
      </c>
      <c r="H3" s="3">
        <f t="shared" si="2"/>
        <v>30.158899398431537</v>
      </c>
      <c r="I3" s="3">
        <v>5.0999999999999996</v>
      </c>
      <c r="J3" s="3">
        <v>1.0182999999999999E-2</v>
      </c>
      <c r="K3" s="3">
        <f t="shared" si="3"/>
        <v>2294.422013548553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5.95" customHeight="1">
      <c r="A4" s="3">
        <v>2</v>
      </c>
      <c r="B4" s="3">
        <f>500/22.03</f>
        <v>22.696323195642304</v>
      </c>
      <c r="C4" s="3">
        <f>500/24.02</f>
        <v>20.815986677768528</v>
      </c>
      <c r="D4" s="3">
        <f>500/23.63</f>
        <v>21.159542953872197</v>
      </c>
      <c r="E4" s="3">
        <f t="shared" si="4"/>
        <v>21.55728427576101</v>
      </c>
      <c r="F4" s="3">
        <f t="shared" si="0"/>
        <v>0.77470000000000006</v>
      </c>
      <c r="G4" s="3">
        <f t="shared" si="1"/>
        <v>0.47136423428577501</v>
      </c>
      <c r="H4" s="3">
        <f t="shared" si="2"/>
        <v>45.733814124495979</v>
      </c>
      <c r="I4" s="3">
        <v>5.0999999999999996</v>
      </c>
      <c r="J4" s="3">
        <v>1.0182999999999999E-2</v>
      </c>
      <c r="K4" s="3">
        <f t="shared" si="3"/>
        <v>3479.3268979914606</v>
      </c>
      <c r="L4" s="13"/>
      <c r="M4" s="13"/>
      <c r="N4" s="14" t="s">
        <v>3</v>
      </c>
      <c r="O4" s="14" t="s">
        <v>4</v>
      </c>
      <c r="P4" s="14" t="s">
        <v>5</v>
      </c>
      <c r="Q4" s="14" t="s">
        <v>6</v>
      </c>
      <c r="R4" s="14" t="s">
        <v>24</v>
      </c>
      <c r="S4" s="14" t="s">
        <v>25</v>
      </c>
      <c r="T4" s="14" t="s">
        <v>26</v>
      </c>
      <c r="U4" s="14" t="s">
        <v>27</v>
      </c>
      <c r="V4" s="14" t="s">
        <v>28</v>
      </c>
      <c r="W4" s="14" t="s">
        <v>12</v>
      </c>
      <c r="X4" s="14" t="s">
        <v>13</v>
      </c>
      <c r="Y4" s="21" t="s">
        <v>23</v>
      </c>
      <c r="Z4" s="21"/>
    </row>
    <row r="5" spans="1:26" ht="15.95" customHeight="1">
      <c r="A5" s="3">
        <v>3.4</v>
      </c>
      <c r="B5" s="3">
        <f>1000/34.03</f>
        <v>29.385836027034969</v>
      </c>
      <c r="C5" s="3">
        <f>1000/35.23</f>
        <v>28.384899233607722</v>
      </c>
      <c r="D5" s="3">
        <f>1000/35.25</f>
        <v>28.368794326241133</v>
      </c>
      <c r="E5" s="3">
        <f t="shared" si="4"/>
        <v>28.713176528961274</v>
      </c>
      <c r="F5" s="3">
        <f t="shared" si="0"/>
        <v>0.77470000000000006</v>
      </c>
      <c r="G5" s="3">
        <f t="shared" si="1"/>
        <v>0.47136423428577501</v>
      </c>
      <c r="H5" s="3">
        <f t="shared" si="2"/>
        <v>60.915051334915823</v>
      </c>
      <c r="I5" s="3">
        <v>5.0999999999999996</v>
      </c>
      <c r="J5" s="3">
        <v>1.0182999999999999E-2</v>
      </c>
      <c r="K5" s="3">
        <f t="shared" si="3"/>
        <v>4634.2816723126089</v>
      </c>
      <c r="L5" s="13"/>
      <c r="M5" s="13"/>
      <c r="N5" s="14">
        <v>0</v>
      </c>
      <c r="O5" s="14"/>
      <c r="P5" s="14"/>
      <c r="Q5" s="14"/>
      <c r="R5" s="14">
        <v>0</v>
      </c>
      <c r="S5" s="14">
        <v>0.77470000000000006</v>
      </c>
      <c r="T5" s="14">
        <v>0.47136423</v>
      </c>
      <c r="U5" s="14">
        <v>0</v>
      </c>
      <c r="V5" s="14">
        <v>5.0999999999999996</v>
      </c>
      <c r="W5" s="14">
        <v>1.018E-2</v>
      </c>
      <c r="X5" s="14">
        <v>0</v>
      </c>
      <c r="Y5" s="21"/>
      <c r="Z5" s="21"/>
    </row>
    <row r="6" spans="1:26" ht="15.75">
      <c r="A6" s="3">
        <v>4</v>
      </c>
      <c r="B6" s="3">
        <f>1000/30.85</f>
        <v>32.414910858995135</v>
      </c>
      <c r="C6" s="3">
        <f>1000/31.69</f>
        <v>31.555695803092458</v>
      </c>
      <c r="D6" s="3">
        <f>1000/30.46</f>
        <v>32.829940906106366</v>
      </c>
      <c r="E6" s="3">
        <f t="shared" si="4"/>
        <v>32.266849189397988</v>
      </c>
      <c r="F6" s="3">
        <f t="shared" si="0"/>
        <v>0.77470000000000006</v>
      </c>
      <c r="G6" s="3">
        <f t="shared" si="1"/>
        <v>0.47136423428577501</v>
      </c>
      <c r="H6" s="3">
        <f t="shared" si="2"/>
        <v>68.454173741649427</v>
      </c>
      <c r="I6" s="3">
        <v>5.0999999999999996</v>
      </c>
      <c r="J6" s="3">
        <v>1.0182999999999999E-2</v>
      </c>
      <c r="K6" s="3">
        <f t="shared" si="3"/>
        <v>5207.8413431852914</v>
      </c>
      <c r="L6" s="13"/>
      <c r="M6" s="13"/>
      <c r="N6" s="14">
        <v>1</v>
      </c>
      <c r="O6" s="14">
        <v>15.384615399999999</v>
      </c>
      <c r="P6" s="14">
        <v>13.650013700000001</v>
      </c>
      <c r="Q6" s="14">
        <v>13.6128505</v>
      </c>
      <c r="R6" s="14">
        <v>14.2158265</v>
      </c>
      <c r="S6" s="14">
        <v>0.77470000000000006</v>
      </c>
      <c r="T6" s="14">
        <v>0.47136423</v>
      </c>
      <c r="U6" s="14">
        <v>30.158899399999999</v>
      </c>
      <c r="V6" s="14">
        <v>5.0999999999999996</v>
      </c>
      <c r="W6" s="14">
        <v>1.018E-2</v>
      </c>
      <c r="X6" s="14">
        <v>2294.4220099999998</v>
      </c>
      <c r="Y6" s="15"/>
      <c r="Z6" s="15"/>
    </row>
    <row r="7" spans="1:26" ht="15.75">
      <c r="A7" s="3">
        <v>5</v>
      </c>
      <c r="B7" s="3">
        <f>1000/28.93</f>
        <v>34.566194262011756</v>
      </c>
      <c r="C7" s="3">
        <f>1000/28.43</f>
        <v>35.174111853675697</v>
      </c>
      <c r="D7" s="3">
        <f>1000/28.56</f>
        <v>35.0140056022409</v>
      </c>
      <c r="E7" s="3">
        <f t="shared" si="4"/>
        <v>34.918103905976118</v>
      </c>
      <c r="F7" s="3">
        <f t="shared" si="0"/>
        <v>0.77470000000000006</v>
      </c>
      <c r="G7" s="3">
        <f t="shared" si="1"/>
        <v>0.47136423428577501</v>
      </c>
      <c r="H7" s="3">
        <f t="shared" si="2"/>
        <v>74.078814993006546</v>
      </c>
      <c r="I7" s="3">
        <v>5.0999999999999996</v>
      </c>
      <c r="J7" s="3">
        <v>1.0182999999999999E-2</v>
      </c>
      <c r="K7" s="3">
        <f t="shared" si="3"/>
        <v>5635.751544248471</v>
      </c>
      <c r="L7" s="13"/>
      <c r="M7" s="13"/>
      <c r="N7" s="14">
        <v>2</v>
      </c>
      <c r="O7" s="14">
        <v>22.696323199999998</v>
      </c>
      <c r="P7" s="14">
        <v>20.8159867</v>
      </c>
      <c r="Q7" s="14">
        <v>21.159542999999999</v>
      </c>
      <c r="R7" s="14">
        <v>21.557284299999999</v>
      </c>
      <c r="S7" s="14">
        <v>0.77470000000000006</v>
      </c>
      <c r="T7" s="14">
        <v>0.47136423</v>
      </c>
      <c r="U7" s="14">
        <v>45.733814099999996</v>
      </c>
      <c r="V7" s="14">
        <v>5.0999999999999996</v>
      </c>
      <c r="W7" s="14">
        <v>1.018E-2</v>
      </c>
      <c r="X7" s="14">
        <v>3479.3269</v>
      </c>
      <c r="Y7" s="15"/>
      <c r="Z7" s="15"/>
    </row>
    <row r="8" spans="1:26" ht="15.75">
      <c r="A8" s="3">
        <v>6</v>
      </c>
      <c r="B8" s="3">
        <f>1000/24.88</f>
        <v>40.19292604501608</v>
      </c>
      <c r="C8" s="3">
        <f>1000/24.81</f>
        <v>40.306328093510686</v>
      </c>
      <c r="D8" s="3">
        <f>1000/24.38</f>
        <v>41.017227235438888</v>
      </c>
      <c r="E8" s="3">
        <f t="shared" si="4"/>
        <v>40.505493791321889</v>
      </c>
      <c r="F8" s="3">
        <f t="shared" si="0"/>
        <v>0.77470000000000006</v>
      </c>
      <c r="G8" s="3">
        <f t="shared" si="1"/>
        <v>0.47136423428577501</v>
      </c>
      <c r="H8" s="3">
        <f t="shared" si="2"/>
        <v>85.932471844617169</v>
      </c>
      <c r="I8" s="3">
        <v>5.0999999999999996</v>
      </c>
      <c r="J8" s="3">
        <v>1.0182999999999999E-2</v>
      </c>
      <c r="K8" s="3">
        <f t="shared" si="3"/>
        <v>6537.5514031252997</v>
      </c>
      <c r="L8" s="13"/>
      <c r="M8" s="13"/>
      <c r="N8" s="14">
        <v>3.4</v>
      </c>
      <c r="O8" s="14">
        <v>29.385836000000001</v>
      </c>
      <c r="P8" s="14">
        <v>28.3848992</v>
      </c>
      <c r="Q8" s="14">
        <v>28.368794300000001</v>
      </c>
      <c r="R8" s="14">
        <v>28.713176499999999</v>
      </c>
      <c r="S8" s="14">
        <v>0.77470000000000006</v>
      </c>
      <c r="T8" s="14">
        <v>0.47136423</v>
      </c>
      <c r="U8" s="14">
        <v>60.915051300000002</v>
      </c>
      <c r="V8" s="14">
        <v>5.0999999999999996</v>
      </c>
      <c r="W8" s="14">
        <v>1.018E-2</v>
      </c>
      <c r="X8" s="14">
        <v>4634.2816700000003</v>
      </c>
      <c r="Y8" s="15"/>
      <c r="Z8" s="15"/>
    </row>
    <row r="9" spans="1:26" ht="15.75">
      <c r="A9" s="3">
        <v>7</v>
      </c>
      <c r="B9" s="3">
        <f>1000/22.86</f>
        <v>43.744531933508313</v>
      </c>
      <c r="C9" s="3">
        <f>1000/23.82</f>
        <v>41.981528127623847</v>
      </c>
      <c r="D9" s="3">
        <f>1000/22.78</f>
        <v>43.898156277436343</v>
      </c>
      <c r="E9" s="3">
        <f t="shared" si="4"/>
        <v>43.208072112856165</v>
      </c>
      <c r="F9" s="3">
        <f t="shared" si="0"/>
        <v>0.77470000000000006</v>
      </c>
      <c r="G9" s="3">
        <f t="shared" si="1"/>
        <v>0.47136423428577501</v>
      </c>
      <c r="H9" s="3">
        <f t="shared" si="2"/>
        <v>91.66599620848686</v>
      </c>
      <c r="I9" s="3">
        <v>5.0999999999999996</v>
      </c>
      <c r="J9" s="3">
        <v>1.0182999999999999E-2</v>
      </c>
      <c r="K9" s="3">
        <f t="shared" si="3"/>
        <v>6973.7451893071566</v>
      </c>
      <c r="L9" s="13"/>
      <c r="M9" s="13"/>
      <c r="N9" s="14">
        <v>4</v>
      </c>
      <c r="O9" s="14">
        <v>32.414910900000002</v>
      </c>
      <c r="P9" s="14">
        <v>31.555695799999999</v>
      </c>
      <c r="Q9" s="14">
        <v>32.829940899999997</v>
      </c>
      <c r="R9" s="14">
        <v>32.266849200000003</v>
      </c>
      <c r="S9" s="14">
        <v>0.77470000000000006</v>
      </c>
      <c r="T9" s="14">
        <v>0.47136423</v>
      </c>
      <c r="U9" s="14">
        <v>68.454173699999998</v>
      </c>
      <c r="V9" s="14">
        <v>5.0999999999999996</v>
      </c>
      <c r="W9" s="14">
        <v>1.018E-2</v>
      </c>
      <c r="X9" s="14">
        <v>5207.8413399999999</v>
      </c>
      <c r="Y9" s="15"/>
      <c r="Z9" s="15"/>
    </row>
    <row r="10" spans="1:26" ht="15.75">
      <c r="A10" s="3">
        <v>8</v>
      </c>
      <c r="B10" s="3">
        <f>1000/21.53</f>
        <v>46.446818392940081</v>
      </c>
      <c r="C10" s="3">
        <f>1000/21.56</f>
        <v>46.382189239332099</v>
      </c>
      <c r="D10" s="3">
        <f>1000/21.68</f>
        <v>46.125461254612546</v>
      </c>
      <c r="E10" s="3">
        <f t="shared" si="4"/>
        <v>46.318156295628249</v>
      </c>
      <c r="F10" s="3">
        <f t="shared" si="0"/>
        <v>0.77470000000000006</v>
      </c>
      <c r="G10" s="3">
        <f t="shared" si="1"/>
        <v>0.47136423428577501</v>
      </c>
      <c r="H10" s="3">
        <f t="shared" si="2"/>
        <v>98.264044928675773</v>
      </c>
      <c r="I10" s="3">
        <v>5.0999999999999996</v>
      </c>
      <c r="J10" s="3">
        <v>1.0182999999999999E-2</v>
      </c>
      <c r="K10" s="3">
        <f t="shared" si="3"/>
        <v>7475.710066409225</v>
      </c>
      <c r="L10" s="13"/>
      <c r="M10" s="13"/>
      <c r="N10" s="14">
        <v>5</v>
      </c>
      <c r="O10" s="14">
        <v>34.566194299999999</v>
      </c>
      <c r="P10" s="14">
        <v>35.1741119</v>
      </c>
      <c r="Q10" s="14">
        <v>35.014005599999997</v>
      </c>
      <c r="R10" s="14">
        <v>34.918103899999998</v>
      </c>
      <c r="S10" s="14">
        <v>0.77470000000000006</v>
      </c>
      <c r="T10" s="14">
        <v>0.47136423</v>
      </c>
      <c r="U10" s="14">
        <v>74.078815000000006</v>
      </c>
      <c r="V10" s="14">
        <v>5.0999999999999996</v>
      </c>
      <c r="W10" s="14">
        <v>1.018E-2</v>
      </c>
      <c r="X10" s="14">
        <v>5635.7515400000002</v>
      </c>
      <c r="Y10" s="15"/>
      <c r="Z10" s="15"/>
    </row>
    <row r="11" spans="1:26" ht="15.75">
      <c r="A11" s="3">
        <v>9</v>
      </c>
      <c r="B11" s="3">
        <f>1000/21.85</f>
        <v>45.766590389016017</v>
      </c>
      <c r="C11" s="3">
        <f>1000/20.51</f>
        <v>48.756704046806433</v>
      </c>
      <c r="D11" s="3">
        <f>1000/20.6</f>
        <v>48.543689320388346</v>
      </c>
      <c r="E11" s="3">
        <f t="shared" si="4"/>
        <v>47.688994585403599</v>
      </c>
      <c r="F11" s="3">
        <f t="shared" si="0"/>
        <v>0.77470000000000006</v>
      </c>
      <c r="G11" s="3">
        <f t="shared" si="1"/>
        <v>0.47136423428577501</v>
      </c>
      <c r="H11" s="3">
        <f t="shared" si="2"/>
        <v>101.17228062002492</v>
      </c>
      <c r="I11" s="3">
        <v>5.0999999999999996</v>
      </c>
      <c r="J11" s="3">
        <v>1.0182999999999999E-2</v>
      </c>
      <c r="K11" s="3">
        <f t="shared" si="3"/>
        <v>7696.9621718877843</v>
      </c>
      <c r="L11" s="13"/>
      <c r="M11" s="13"/>
      <c r="N11" s="14">
        <v>6</v>
      </c>
      <c r="O11" s="14">
        <v>40.192926</v>
      </c>
      <c r="P11" s="14">
        <v>40.306328100000002</v>
      </c>
      <c r="Q11" s="14">
        <v>41.017227200000001</v>
      </c>
      <c r="R11" s="14">
        <v>40.505493800000004</v>
      </c>
      <c r="S11" s="14">
        <v>0.77470000000000006</v>
      </c>
      <c r="T11" s="14">
        <v>0.47136423</v>
      </c>
      <c r="U11" s="14">
        <v>85.932471800000002</v>
      </c>
      <c r="V11" s="14">
        <v>5.0999999999999996</v>
      </c>
      <c r="W11" s="14">
        <v>1.018E-2</v>
      </c>
      <c r="X11" s="14">
        <v>6537.5514000000003</v>
      </c>
      <c r="Y11" s="15"/>
      <c r="Z11" s="15"/>
    </row>
    <row r="12" spans="1:26" ht="15.75">
      <c r="A12" s="3">
        <v>10</v>
      </c>
      <c r="B12" s="3">
        <f>1500/29.55</f>
        <v>50.761421319796952</v>
      </c>
      <c r="C12" s="3">
        <f>1500/27.48</f>
        <v>54.585152838427945</v>
      </c>
      <c r="D12" s="3">
        <f>1500/30.33</f>
        <v>49.455984174085067</v>
      </c>
      <c r="E12" s="3">
        <f t="shared" si="4"/>
        <v>51.60085277743665</v>
      </c>
      <c r="F12" s="3">
        <f t="shared" si="0"/>
        <v>0.77470000000000006</v>
      </c>
      <c r="G12" s="3">
        <f t="shared" si="1"/>
        <v>0.47136423428577501</v>
      </c>
      <c r="H12" s="3">
        <f t="shared" si="2"/>
        <v>109.47129422244728</v>
      </c>
      <c r="I12" s="3">
        <v>5.0999999999999996</v>
      </c>
      <c r="J12" s="3">
        <v>1.0182999999999999E-2</v>
      </c>
      <c r="K12" s="3">
        <f t="shared" si="3"/>
        <v>8328.3326754522168</v>
      </c>
      <c r="L12" s="13"/>
      <c r="M12" s="13"/>
      <c r="N12" s="14">
        <v>7</v>
      </c>
      <c r="O12" s="14">
        <v>43.744531899999998</v>
      </c>
      <c r="P12" s="14">
        <v>41.981528099999998</v>
      </c>
      <c r="Q12" s="14">
        <v>43.898156299999997</v>
      </c>
      <c r="R12" s="14">
        <v>43.208072100000003</v>
      </c>
      <c r="S12" s="14">
        <v>0.77470000000000006</v>
      </c>
      <c r="T12" s="14">
        <v>0.47136423</v>
      </c>
      <c r="U12" s="14">
        <v>91.665996199999995</v>
      </c>
      <c r="V12" s="14">
        <v>5.0999999999999996</v>
      </c>
      <c r="W12" s="14">
        <v>1.018E-2</v>
      </c>
      <c r="X12" s="14">
        <v>6973.7451899999996</v>
      </c>
      <c r="Y12" s="15"/>
      <c r="Z12" s="15"/>
    </row>
    <row r="13" spans="1:26" ht="15.75">
      <c r="A13" s="3">
        <v>11</v>
      </c>
      <c r="B13" s="3">
        <f>1500/28.74</f>
        <v>52.192066805845513</v>
      </c>
      <c r="C13" s="3">
        <f>1500/27.06</f>
        <v>55.432372505543242</v>
      </c>
      <c r="D13" s="3">
        <f>1500/26.91</f>
        <v>55.741360089186173</v>
      </c>
      <c r="E13" s="3">
        <f t="shared" si="4"/>
        <v>54.455266466858312</v>
      </c>
      <c r="F13" s="3">
        <f t="shared" si="0"/>
        <v>0.77470000000000006</v>
      </c>
      <c r="G13" s="3">
        <f t="shared" si="1"/>
        <v>0.47136423428577501</v>
      </c>
      <c r="H13" s="3">
        <f t="shared" si="2"/>
        <v>115.52693756956452</v>
      </c>
      <c r="I13" s="3">
        <v>5.0999999999999996</v>
      </c>
      <c r="J13" s="3">
        <v>1.0182999999999999E-2</v>
      </c>
      <c r="K13" s="3">
        <f t="shared" si="3"/>
        <v>8789.0325577081076</v>
      </c>
      <c r="L13" s="13"/>
      <c r="M13" s="13"/>
      <c r="N13" s="14">
        <v>8</v>
      </c>
      <c r="O13" s="14">
        <v>46.446818399999998</v>
      </c>
      <c r="P13" s="14">
        <v>46.382189199999999</v>
      </c>
      <c r="Q13" s="14">
        <v>46.125461299999998</v>
      </c>
      <c r="R13" s="14">
        <v>46.318156299999998</v>
      </c>
      <c r="S13" s="14">
        <v>0.77470000000000006</v>
      </c>
      <c r="T13" s="14">
        <v>0.47136423</v>
      </c>
      <c r="U13" s="14">
        <v>98.264044900000002</v>
      </c>
      <c r="V13" s="14">
        <v>5.0999999999999996</v>
      </c>
      <c r="W13" s="14">
        <v>1.018E-2</v>
      </c>
      <c r="X13" s="14">
        <v>7475.7100700000001</v>
      </c>
      <c r="Y13" s="15"/>
      <c r="Z13" s="15"/>
    </row>
    <row r="14" spans="1:26" ht="15.75">
      <c r="A14" s="3">
        <v>12</v>
      </c>
      <c r="B14" s="3">
        <f>1500/27.83</f>
        <v>53.898670499461019</v>
      </c>
      <c r="C14" s="3">
        <f>1500/25</f>
        <v>60</v>
      </c>
      <c r="D14" s="3">
        <f>1500/26.44</f>
        <v>56.732223903177001</v>
      </c>
      <c r="E14" s="3">
        <f t="shared" si="4"/>
        <v>56.876964800879342</v>
      </c>
      <c r="F14" s="3">
        <f t="shared" si="0"/>
        <v>0.77470000000000006</v>
      </c>
      <c r="G14" s="3">
        <f t="shared" si="1"/>
        <v>0.47136423428577501</v>
      </c>
      <c r="H14" s="3">
        <f t="shared" si="2"/>
        <v>120.6645745769426</v>
      </c>
      <c r="I14" s="3">
        <v>5.0999999999999996</v>
      </c>
      <c r="J14" s="3">
        <v>1.0182999999999999E-2</v>
      </c>
      <c r="K14" s="3">
        <f t="shared" si="3"/>
        <v>9179.8925586524056</v>
      </c>
      <c r="L14" s="13"/>
      <c r="M14" s="13"/>
      <c r="N14" s="14">
        <v>9</v>
      </c>
      <c r="O14" s="14">
        <v>45.766590399999998</v>
      </c>
      <c r="P14" s="14">
        <v>48.756703999999999</v>
      </c>
      <c r="Q14" s="14">
        <v>48.543689299999997</v>
      </c>
      <c r="R14" s="14">
        <v>47.688994600000001</v>
      </c>
      <c r="S14" s="14">
        <v>0.77470000000000006</v>
      </c>
      <c r="T14" s="14">
        <v>0.47136423</v>
      </c>
      <c r="U14" s="14">
        <v>101.172281</v>
      </c>
      <c r="V14" s="14">
        <v>5.0999999999999996</v>
      </c>
      <c r="W14" s="14">
        <v>1.018E-2</v>
      </c>
      <c r="X14" s="14">
        <v>7696.9621699999998</v>
      </c>
      <c r="Y14" s="15"/>
      <c r="Z14" s="15"/>
    </row>
    <row r="15" spans="1:26" ht="15.75">
      <c r="A15" s="3">
        <v>13</v>
      </c>
      <c r="B15" s="3">
        <f>2500/41.64</f>
        <v>60.03842459173871</v>
      </c>
      <c r="C15" s="3">
        <f>2000/33.06</f>
        <v>60.496067755595881</v>
      </c>
      <c r="D15" s="3">
        <f>2000/32.71</f>
        <v>61.143381228981958</v>
      </c>
      <c r="E15" s="3">
        <f t="shared" si="4"/>
        <v>60.559291192105519</v>
      </c>
      <c r="F15" s="3">
        <f t="shared" si="0"/>
        <v>0.77470000000000006</v>
      </c>
      <c r="G15" s="3">
        <f t="shared" si="1"/>
        <v>0.47136423428577501</v>
      </c>
      <c r="H15" s="3">
        <f t="shared" si="2"/>
        <v>128.47663608560956</v>
      </c>
      <c r="I15" s="3">
        <v>5.0999999999999996</v>
      </c>
      <c r="J15" s="3">
        <v>1.0182999999999999E-2</v>
      </c>
      <c r="K15" s="3">
        <f t="shared" si="3"/>
        <v>9774.2168295710235</v>
      </c>
      <c r="L15" s="13"/>
      <c r="M15" s="13"/>
      <c r="N15" s="14">
        <v>10</v>
      </c>
      <c r="O15" s="14">
        <v>50.761421300000002</v>
      </c>
      <c r="P15" s="14">
        <v>54.585152800000003</v>
      </c>
      <c r="Q15" s="14">
        <v>49.455984200000003</v>
      </c>
      <c r="R15" s="14">
        <v>51.600852799999998</v>
      </c>
      <c r="S15" s="14">
        <v>0.77470000000000006</v>
      </c>
      <c r="T15" s="14">
        <v>0.47136423</v>
      </c>
      <c r="U15" s="14">
        <v>109.471294</v>
      </c>
      <c r="V15" s="14">
        <v>5.0999999999999996</v>
      </c>
      <c r="W15" s="14">
        <v>1.018E-2</v>
      </c>
      <c r="X15" s="14">
        <v>8328.3326799999995</v>
      </c>
      <c r="Y15" s="15"/>
      <c r="Z15" s="15"/>
    </row>
    <row r="16" spans="1:26" ht="15.75">
      <c r="A16" s="3">
        <v>14</v>
      </c>
      <c r="B16" s="3">
        <f>2000/32.15</f>
        <v>62.208398133748062</v>
      </c>
      <c r="C16" s="3">
        <f>2000/32.41</f>
        <v>61.70934896636841</v>
      </c>
      <c r="D16" s="3">
        <f>2000/32.9</f>
        <v>60.790273556231007</v>
      </c>
      <c r="E16" s="3">
        <f t="shared" si="4"/>
        <v>61.569340218782493</v>
      </c>
      <c r="F16" s="3">
        <f t="shared" si="0"/>
        <v>0.77470000000000006</v>
      </c>
      <c r="G16" s="3">
        <f t="shared" si="1"/>
        <v>0.47136423428577501</v>
      </c>
      <c r="H16" s="3">
        <f t="shared" si="2"/>
        <v>130.61945676059656</v>
      </c>
      <c r="I16" s="3">
        <v>5.0999999999999996</v>
      </c>
      <c r="J16" s="3">
        <v>1.0182999999999999E-2</v>
      </c>
      <c r="K16" s="3">
        <f t="shared" si="3"/>
        <v>9937.2378623621898</v>
      </c>
      <c r="L16" s="13"/>
      <c r="M16" s="13"/>
      <c r="N16" s="14">
        <v>11</v>
      </c>
      <c r="O16" s="14">
        <v>52.192066799999999</v>
      </c>
      <c r="P16" s="14">
        <v>55.4323725</v>
      </c>
      <c r="Q16" s="14">
        <v>55.741360100000001</v>
      </c>
      <c r="R16" s="14">
        <v>54.4552665</v>
      </c>
      <c r="S16" s="14">
        <v>0.77470000000000006</v>
      </c>
      <c r="T16" s="14">
        <v>0.47136423</v>
      </c>
      <c r="U16" s="14">
        <v>115.526938</v>
      </c>
      <c r="V16" s="14">
        <v>5.0999999999999996</v>
      </c>
      <c r="W16" s="14">
        <v>1.018E-2</v>
      </c>
      <c r="X16" s="14">
        <v>8789.0325599999996</v>
      </c>
      <c r="Y16" s="15"/>
      <c r="Z16" s="15"/>
    </row>
    <row r="17" spans="1:26" ht="15.75">
      <c r="A17" s="3">
        <v>15</v>
      </c>
      <c r="B17" s="3">
        <f>2000/30.95</f>
        <v>64.620355411954762</v>
      </c>
      <c r="C17" s="3">
        <f>2000/30.94</f>
        <v>64.641241111829345</v>
      </c>
      <c r="D17" s="3">
        <f>2000/31.38</f>
        <v>63.734862970044617</v>
      </c>
      <c r="E17" s="3">
        <f t="shared" si="4"/>
        <v>64.332153164609579</v>
      </c>
      <c r="F17" s="3">
        <f t="shared" si="0"/>
        <v>0.77470000000000006</v>
      </c>
      <c r="G17" s="3">
        <f t="shared" si="1"/>
        <v>0.47136423428577501</v>
      </c>
      <c r="H17" s="3">
        <f t="shared" si="2"/>
        <v>136.48076897918986</v>
      </c>
      <c r="I17" s="3">
        <v>5.0999999999999996</v>
      </c>
      <c r="J17" s="3">
        <v>1.0182999999999999E-2</v>
      </c>
      <c r="K17" s="3">
        <f t="shared" si="3"/>
        <v>10383.153464418972</v>
      </c>
      <c r="L17" s="13"/>
      <c r="M17" s="13"/>
      <c r="N17" s="14">
        <v>12</v>
      </c>
      <c r="O17" s="14">
        <v>53.898670500000001</v>
      </c>
      <c r="P17" s="14">
        <v>60</v>
      </c>
      <c r="Q17" s="14">
        <v>56.732223900000001</v>
      </c>
      <c r="R17" s="14">
        <v>56.876964800000003</v>
      </c>
      <c r="S17" s="14">
        <v>0.77470000000000006</v>
      </c>
      <c r="T17" s="14">
        <v>0.47136423</v>
      </c>
      <c r="U17" s="14">
        <v>120.664575</v>
      </c>
      <c r="V17" s="14">
        <v>5.0999999999999996</v>
      </c>
      <c r="W17" s="14">
        <v>1.018E-2</v>
      </c>
      <c r="X17" s="14">
        <v>9179.8925600000002</v>
      </c>
      <c r="Y17" s="15"/>
      <c r="Z17" s="15"/>
    </row>
    <row r="18" spans="1:26" ht="15.75">
      <c r="A18" s="3">
        <v>16</v>
      </c>
      <c r="B18" s="3">
        <f>2500/37.7</f>
        <v>66.312997347480106</v>
      </c>
      <c r="C18" s="3">
        <f>2500/37.28</f>
        <v>67.060085836909863</v>
      </c>
      <c r="D18" s="3">
        <f>2500/37.5</f>
        <v>66.666666666666671</v>
      </c>
      <c r="E18" s="3">
        <f t="shared" si="4"/>
        <v>66.679916617018876</v>
      </c>
      <c r="F18" s="3">
        <f t="shared" si="0"/>
        <v>0.77470000000000006</v>
      </c>
      <c r="G18" s="3">
        <f t="shared" si="1"/>
        <v>0.47136423428577501</v>
      </c>
      <c r="H18" s="3">
        <f t="shared" si="2"/>
        <v>141.46155301335972</v>
      </c>
      <c r="I18" s="3">
        <v>5.0999999999999996</v>
      </c>
      <c r="J18" s="3">
        <v>1.0182999999999999E-2</v>
      </c>
      <c r="K18" s="3">
        <f t="shared" si="3"/>
        <v>10762.080439894902</v>
      </c>
      <c r="L18" s="13"/>
      <c r="M18" s="13"/>
      <c r="N18" s="14">
        <v>13</v>
      </c>
      <c r="O18" s="14">
        <v>60.038424599999999</v>
      </c>
      <c r="P18" s="14">
        <v>60.496067799999999</v>
      </c>
      <c r="Q18" s="14">
        <v>61.1433812</v>
      </c>
      <c r="R18" s="14">
        <v>60.559291199999997</v>
      </c>
      <c r="S18" s="14">
        <v>0.77470000000000006</v>
      </c>
      <c r="T18" s="14">
        <v>0.47136423</v>
      </c>
      <c r="U18" s="14">
        <v>128.47663600000001</v>
      </c>
      <c r="V18" s="14">
        <v>5.0999999999999996</v>
      </c>
      <c r="W18" s="14">
        <v>1.018E-2</v>
      </c>
      <c r="X18" s="14">
        <v>9774.2168299999994</v>
      </c>
      <c r="Y18" s="15"/>
      <c r="Z18" s="15"/>
    </row>
    <row r="19" spans="1:26" ht="15.75">
      <c r="A19" s="3">
        <v>17</v>
      </c>
      <c r="B19" s="3">
        <f>2500/36.58</f>
        <v>68.343357025697102</v>
      </c>
      <c r="C19" s="3">
        <f>2500/36.76</f>
        <v>68.008705114254624</v>
      </c>
      <c r="D19" s="3">
        <f>2500/36.72</f>
        <v>68.082788671023962</v>
      </c>
      <c r="E19" s="3">
        <f t="shared" si="4"/>
        <v>68.144950270325225</v>
      </c>
      <c r="F19" s="3">
        <f t="shared" si="0"/>
        <v>0.77470000000000006</v>
      </c>
      <c r="G19" s="3">
        <f t="shared" si="1"/>
        <v>0.47136423428577501</v>
      </c>
      <c r="H19" s="3">
        <f t="shared" si="2"/>
        <v>144.56962432370472</v>
      </c>
      <c r="I19" s="3">
        <v>5.0999999999999996</v>
      </c>
      <c r="J19" s="3">
        <v>1.0182999999999999E-2</v>
      </c>
      <c r="K19" s="3">
        <f t="shared" si="3"/>
        <v>10998.535594969464</v>
      </c>
      <c r="L19" s="13"/>
      <c r="M19" s="13"/>
      <c r="N19" s="14">
        <v>14</v>
      </c>
      <c r="O19" s="14">
        <v>62.208398099999997</v>
      </c>
      <c r="P19" s="14">
        <v>61.709349000000003</v>
      </c>
      <c r="Q19" s="14">
        <v>60.790273599999999</v>
      </c>
      <c r="R19" s="14">
        <v>61.569340199999999</v>
      </c>
      <c r="S19" s="14">
        <v>0.77470000000000006</v>
      </c>
      <c r="T19" s="14">
        <v>0.47136423</v>
      </c>
      <c r="U19" s="14">
        <v>130.61945700000001</v>
      </c>
      <c r="V19" s="14">
        <v>5.0999999999999996</v>
      </c>
      <c r="W19" s="14">
        <v>1.018E-2</v>
      </c>
      <c r="X19" s="14">
        <v>9937.2378599999993</v>
      </c>
      <c r="Y19" s="15"/>
      <c r="Z19" s="15"/>
    </row>
    <row r="20" spans="1:26" ht="15.75">
      <c r="A20" s="3">
        <v>19</v>
      </c>
      <c r="B20" s="3">
        <f>3000/41.83</f>
        <v>71.718862060721975</v>
      </c>
      <c r="C20" s="3">
        <f>3000/41.63</f>
        <v>72.063415805909202</v>
      </c>
      <c r="D20" s="3">
        <f>3000/42.77</f>
        <v>70.142623334112685</v>
      </c>
      <c r="E20" s="3">
        <f t="shared" si="4"/>
        <v>71.308300400247958</v>
      </c>
      <c r="F20" s="3">
        <f t="shared" si="0"/>
        <v>0.77470000000000006</v>
      </c>
      <c r="G20" s="3">
        <f t="shared" si="1"/>
        <v>0.47136423428577501</v>
      </c>
      <c r="H20" s="3">
        <f t="shared" si="2"/>
        <v>151.28067683857347</v>
      </c>
      <c r="I20" s="3">
        <v>5.0999999999999996</v>
      </c>
      <c r="J20" s="3">
        <v>1.0182999999999999E-2</v>
      </c>
      <c r="K20" s="3">
        <f t="shared" si="3"/>
        <v>11509.097549527927</v>
      </c>
      <c r="L20" s="13"/>
      <c r="M20" s="13"/>
      <c r="N20" s="14">
        <v>15</v>
      </c>
      <c r="O20" s="14">
        <v>64.620355399999994</v>
      </c>
      <c r="P20" s="14">
        <v>64.641241100000002</v>
      </c>
      <c r="Q20" s="14">
        <v>63.734862999999997</v>
      </c>
      <c r="R20" s="14">
        <v>64.332153199999993</v>
      </c>
      <c r="S20" s="14">
        <v>0.77470000000000006</v>
      </c>
      <c r="T20" s="14">
        <v>0.47136423</v>
      </c>
      <c r="U20" s="14">
        <v>136.48076900000001</v>
      </c>
      <c r="V20" s="14">
        <v>5.0999999999999996</v>
      </c>
      <c r="W20" s="14">
        <v>1.018E-2</v>
      </c>
      <c r="X20" s="14">
        <v>10383.1535</v>
      </c>
      <c r="Y20" s="15"/>
      <c r="Z20" s="15"/>
    </row>
    <row r="21" spans="1:26" ht="15" customHeight="1">
      <c r="A21" s="3">
        <v>20</v>
      </c>
      <c r="B21" s="3">
        <f>3500/47.07</f>
        <v>74.357340131718715</v>
      </c>
      <c r="C21" s="3">
        <f>3500/48.08</f>
        <v>72.795341098169715</v>
      </c>
      <c r="D21" s="3">
        <f>3500/47.44</f>
        <v>73.777403035413158</v>
      </c>
      <c r="E21" s="3">
        <f t="shared" si="4"/>
        <v>73.643361421767196</v>
      </c>
      <c r="F21" s="3">
        <f t="shared" si="0"/>
        <v>0.77470000000000006</v>
      </c>
      <c r="G21" s="3">
        <f t="shared" si="1"/>
        <v>0.47136423428577501</v>
      </c>
      <c r="H21" s="3">
        <f t="shared" si="2"/>
        <v>156.23451264467232</v>
      </c>
      <c r="I21" s="3">
        <v>5.0999999999999996</v>
      </c>
      <c r="J21" s="3">
        <v>1.0182999999999999E-2</v>
      </c>
      <c r="K21" s="3">
        <f t="shared" si="3"/>
        <v>11885.974363726571</v>
      </c>
      <c r="L21" s="13"/>
      <c r="M21" s="13"/>
      <c r="N21" s="14">
        <v>16</v>
      </c>
      <c r="O21" s="14">
        <v>66.312997300000006</v>
      </c>
      <c r="P21" s="14">
        <v>67.060085799999996</v>
      </c>
      <c r="Q21" s="14">
        <v>66.666666699999993</v>
      </c>
      <c r="R21" s="14">
        <v>66.679916599999999</v>
      </c>
      <c r="S21" s="14">
        <v>0.77470000000000006</v>
      </c>
      <c r="T21" s="14">
        <v>0.47136423</v>
      </c>
      <c r="U21" s="14">
        <v>141.46155300000001</v>
      </c>
      <c r="V21" s="14">
        <v>5.0999999999999996</v>
      </c>
      <c r="W21" s="14">
        <v>1.018E-2</v>
      </c>
      <c r="X21" s="14">
        <v>10762.080400000001</v>
      </c>
      <c r="Y21" s="20"/>
      <c r="Z21" s="20"/>
    </row>
    <row r="22" spans="1:26" ht="15" customHeight="1">
      <c r="A22" s="3">
        <v>21</v>
      </c>
      <c r="B22" s="3">
        <f>3500/44.44</f>
        <v>78.757875787578769</v>
      </c>
      <c r="C22" s="3">
        <f>3500/46.72</f>
        <v>74.914383561643831</v>
      </c>
      <c r="D22" s="3">
        <f>3500/46.58</f>
        <v>75.13954486904251</v>
      </c>
      <c r="E22" s="3">
        <f t="shared" si="4"/>
        <v>76.270601406088375</v>
      </c>
      <c r="F22" s="3">
        <f t="shared" si="0"/>
        <v>0.77470000000000006</v>
      </c>
      <c r="G22" s="3">
        <f t="shared" si="1"/>
        <v>0.47136423428577501</v>
      </c>
      <c r="H22" s="3">
        <f t="shared" si="2"/>
        <v>161.80820660196215</v>
      </c>
      <c r="I22" s="3">
        <v>5.0999999999999996</v>
      </c>
      <c r="J22" s="3">
        <v>1.0182999999999999E-2</v>
      </c>
      <c r="K22" s="3">
        <f t="shared" si="3"/>
        <v>12310.00860792891</v>
      </c>
      <c r="L22" s="13"/>
      <c r="M22" s="13"/>
      <c r="N22" s="14">
        <v>17</v>
      </c>
      <c r="O22" s="14">
        <v>68.343356999999997</v>
      </c>
      <c r="P22" s="14">
        <v>68.0087051</v>
      </c>
      <c r="Q22" s="14">
        <v>68.082788699999995</v>
      </c>
      <c r="R22" s="14">
        <v>68.144950300000005</v>
      </c>
      <c r="S22" s="14">
        <v>0.77470000000000006</v>
      </c>
      <c r="T22" s="14">
        <v>0.47136423</v>
      </c>
      <c r="U22" s="14">
        <v>144.569624</v>
      </c>
      <c r="V22" s="14">
        <v>5.0999999999999996</v>
      </c>
      <c r="W22" s="14">
        <v>1.018E-2</v>
      </c>
      <c r="X22" s="14">
        <v>10998.535599999999</v>
      </c>
      <c r="Y22" s="20"/>
      <c r="Z22" s="20"/>
    </row>
    <row r="23" spans="1:26" ht="15" customHeight="1">
      <c r="A23" s="3">
        <v>22</v>
      </c>
      <c r="B23" s="3">
        <f>4000/51.26</f>
        <v>78.033554428404216</v>
      </c>
      <c r="C23" s="3">
        <f>4000/50.77</f>
        <v>78.786685050226509</v>
      </c>
      <c r="D23" s="3">
        <f>2000/25.56</f>
        <v>78.247261345852905</v>
      </c>
      <c r="E23" s="3">
        <f t="shared" si="4"/>
        <v>78.355833608161205</v>
      </c>
      <c r="F23" s="3">
        <f t="shared" si="0"/>
        <v>0.77470000000000006</v>
      </c>
      <c r="G23" s="3">
        <f t="shared" si="1"/>
        <v>0.47136423428577501</v>
      </c>
      <c r="H23" s="3">
        <f t="shared" si="2"/>
        <v>166.23203015580569</v>
      </c>
      <c r="I23" s="3">
        <v>5.0999999999999996</v>
      </c>
      <c r="J23" s="3">
        <v>1.0182999999999999E-2</v>
      </c>
      <c r="K23" s="3">
        <f t="shared" si="3"/>
        <v>12646.563268359292</v>
      </c>
      <c r="L23" s="13"/>
      <c r="M23" s="13"/>
      <c r="N23" s="14">
        <v>19</v>
      </c>
      <c r="O23" s="14">
        <v>71.718862099999996</v>
      </c>
      <c r="P23" s="14">
        <v>72.063415800000001</v>
      </c>
      <c r="Q23" s="14">
        <v>70.142623299999997</v>
      </c>
      <c r="R23" s="14">
        <v>71.308300399999993</v>
      </c>
      <c r="S23" s="14">
        <v>0.77470000000000006</v>
      </c>
      <c r="T23" s="14">
        <v>0.47136423</v>
      </c>
      <c r="U23" s="14">
        <v>151.280677</v>
      </c>
      <c r="V23" s="14">
        <v>5.0999999999999996</v>
      </c>
      <c r="W23" s="14">
        <v>1.018E-2</v>
      </c>
      <c r="X23" s="14">
        <v>11509.0975</v>
      </c>
      <c r="Y23" s="20"/>
      <c r="Z23" s="20"/>
    </row>
    <row r="24" spans="1:26" ht="15" customHeight="1">
      <c r="A24" s="3">
        <v>23</v>
      </c>
      <c r="B24" s="3">
        <f>4000/49.97</f>
        <v>80.048028817290373</v>
      </c>
      <c r="C24" s="3">
        <f>4000/50.57</f>
        <v>79.098279612418423</v>
      </c>
      <c r="D24" s="3">
        <f>4000/50.96</f>
        <v>78.492935635792776</v>
      </c>
      <c r="E24" s="3">
        <f t="shared" si="4"/>
        <v>79.213081355167191</v>
      </c>
      <c r="F24" s="3">
        <f t="shared" si="0"/>
        <v>0.77470000000000006</v>
      </c>
      <c r="G24" s="3">
        <f t="shared" si="1"/>
        <v>0.47136423428577501</v>
      </c>
      <c r="H24" s="3">
        <f t="shared" si="2"/>
        <v>168.0506826641041</v>
      </c>
      <c r="I24" s="3">
        <v>5.0999999999999996</v>
      </c>
      <c r="J24" s="3">
        <v>1.0182999999999999E-2</v>
      </c>
      <c r="K24" s="3">
        <f t="shared" si="3"/>
        <v>12784.922307756207</v>
      </c>
      <c r="L24" s="13"/>
      <c r="M24" s="13"/>
      <c r="N24" s="14">
        <v>20</v>
      </c>
      <c r="O24" s="14">
        <v>74.357340100000002</v>
      </c>
      <c r="P24" s="14">
        <v>72.795341100000002</v>
      </c>
      <c r="Q24" s="14">
        <v>73.777403000000007</v>
      </c>
      <c r="R24" s="14">
        <v>73.643361400000003</v>
      </c>
      <c r="S24" s="14">
        <v>0.77470000000000006</v>
      </c>
      <c r="T24" s="14">
        <v>0.47136423</v>
      </c>
      <c r="U24" s="14">
        <v>156.23451299999999</v>
      </c>
      <c r="V24" s="14">
        <v>5.0999999999999996</v>
      </c>
      <c r="W24" s="14">
        <v>1.018E-2</v>
      </c>
      <c r="X24" s="14">
        <v>11885.974399999999</v>
      </c>
      <c r="Y24" s="20"/>
      <c r="Z24" s="20"/>
    </row>
    <row r="25" spans="1:26" ht="15" customHeight="1">
      <c r="A25" s="3">
        <v>24</v>
      </c>
      <c r="B25" s="3">
        <f>4000/49.44</f>
        <v>80.906148867313917</v>
      </c>
      <c r="C25" s="3">
        <f>4000/49.71</f>
        <v>80.466706900020114</v>
      </c>
      <c r="D25" s="3">
        <f>4000/49.95</f>
        <v>80.08008008008008</v>
      </c>
      <c r="E25" s="3">
        <f t="shared" si="4"/>
        <v>80.484311949138046</v>
      </c>
      <c r="F25" s="3">
        <f t="shared" si="0"/>
        <v>0.77470000000000006</v>
      </c>
      <c r="G25" s="3">
        <f t="shared" si="1"/>
        <v>0.47136423428577501</v>
      </c>
      <c r="H25" s="3">
        <f t="shared" si="2"/>
        <v>170.74760046461788</v>
      </c>
      <c r="I25" s="3">
        <v>5.0999999999999996</v>
      </c>
      <c r="J25" s="3">
        <v>1.0182999999999999E-2</v>
      </c>
      <c r="K25" s="3">
        <f t="shared" si="3"/>
        <v>12990.097817925904</v>
      </c>
      <c r="L25" s="13"/>
      <c r="M25" s="13"/>
      <c r="N25" s="14">
        <v>21</v>
      </c>
      <c r="O25" s="14">
        <v>78.757875799999994</v>
      </c>
      <c r="P25" s="14">
        <v>74.914383599999994</v>
      </c>
      <c r="Q25" s="14">
        <v>75.139544900000004</v>
      </c>
      <c r="R25" s="14">
        <v>76.270601400000004</v>
      </c>
      <c r="S25" s="14">
        <v>0.77470000000000006</v>
      </c>
      <c r="T25" s="14">
        <v>0.47136423</v>
      </c>
      <c r="U25" s="14">
        <v>161.80820700000001</v>
      </c>
      <c r="V25" s="14">
        <v>5.0999999999999996</v>
      </c>
      <c r="W25" s="14">
        <v>1.018E-2</v>
      </c>
      <c r="X25" s="14">
        <v>12310.008599999999</v>
      </c>
      <c r="Y25" s="20"/>
      <c r="Z25" s="20"/>
    </row>
    <row r="26" spans="1:26" ht="15" customHeight="1">
      <c r="A26" s="3">
        <v>25</v>
      </c>
      <c r="B26" s="3">
        <f>4000/48.08</f>
        <v>83.194675540765388</v>
      </c>
      <c r="C26" s="3">
        <f>4000/47.13</f>
        <v>84.871631657118598</v>
      </c>
      <c r="D26" s="3">
        <f>4000/48</f>
        <v>83.333333333333329</v>
      </c>
      <c r="E26" s="3">
        <f t="shared" si="4"/>
        <v>83.799880177072438</v>
      </c>
      <c r="F26" s="3">
        <f t="shared" si="0"/>
        <v>0.77470000000000006</v>
      </c>
      <c r="G26" s="3">
        <f t="shared" si="1"/>
        <v>0.47136423428577501</v>
      </c>
      <c r="H26" s="3">
        <f t="shared" si="2"/>
        <v>177.78158392532367</v>
      </c>
      <c r="I26" s="3">
        <v>5.0999999999999996</v>
      </c>
      <c r="J26" s="3">
        <v>1.0182999999999999E-2</v>
      </c>
      <c r="K26" s="3">
        <f t="shared" si="3"/>
        <v>13525.22764086696</v>
      </c>
      <c r="L26" s="13"/>
      <c r="M26" s="13"/>
      <c r="N26" s="14">
        <v>22</v>
      </c>
      <c r="O26" s="14">
        <v>78.0335544</v>
      </c>
      <c r="P26" s="14">
        <v>78.7866851</v>
      </c>
      <c r="Q26" s="14">
        <v>78.247261300000005</v>
      </c>
      <c r="R26" s="14">
        <v>78.355833599999997</v>
      </c>
      <c r="S26" s="14">
        <v>0.77470000000000006</v>
      </c>
      <c r="T26" s="14">
        <v>0.47136423</v>
      </c>
      <c r="U26" s="14">
        <v>166.23203000000001</v>
      </c>
      <c r="V26" s="14">
        <v>5.0999999999999996</v>
      </c>
      <c r="W26" s="14">
        <v>1.018E-2</v>
      </c>
      <c r="X26" s="14">
        <v>12646.5633</v>
      </c>
      <c r="Y26" s="20"/>
      <c r="Z26" s="20"/>
    </row>
    <row r="27" spans="1:26" ht="1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4">
        <v>23</v>
      </c>
      <c r="O27" s="14">
        <v>80.048028799999997</v>
      </c>
      <c r="P27" s="14">
        <v>79.098279599999998</v>
      </c>
      <c r="Q27" s="14">
        <v>78.492935599999996</v>
      </c>
      <c r="R27" s="14">
        <v>79.213081399999993</v>
      </c>
      <c r="S27" s="14">
        <v>0.77470000000000006</v>
      </c>
      <c r="T27" s="14">
        <v>0.47136423</v>
      </c>
      <c r="U27" s="14">
        <v>168.05068299999999</v>
      </c>
      <c r="V27" s="14">
        <v>5.0999999999999996</v>
      </c>
      <c r="W27" s="14">
        <v>1.018E-2</v>
      </c>
      <c r="X27" s="14">
        <v>12784.9223</v>
      </c>
      <c r="Y27" s="20"/>
      <c r="Z27" s="20"/>
    </row>
    <row r="28" spans="1:26" ht="1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4">
        <v>24</v>
      </c>
      <c r="O28" s="14">
        <v>80.906148900000005</v>
      </c>
      <c r="P28" s="14">
        <v>80.466706900000005</v>
      </c>
      <c r="Q28" s="14">
        <v>80.080080100000004</v>
      </c>
      <c r="R28" s="14">
        <v>80.484311899999994</v>
      </c>
      <c r="S28" s="14">
        <v>0.77470000000000006</v>
      </c>
      <c r="T28" s="14">
        <v>0.47136423</v>
      </c>
      <c r="U28" s="14">
        <v>170.74760000000001</v>
      </c>
      <c r="V28" s="14">
        <v>5.0999999999999996</v>
      </c>
      <c r="W28" s="14">
        <v>1.018E-2</v>
      </c>
      <c r="X28" s="14">
        <v>12990.0978</v>
      </c>
      <c r="Y28" s="20"/>
      <c r="Z28" s="20"/>
    </row>
    <row r="29" spans="1:26" ht="1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6">
        <v>25</v>
      </c>
      <c r="O29" s="16">
        <v>83.194675500000002</v>
      </c>
      <c r="P29" s="16">
        <v>84.871631699999995</v>
      </c>
      <c r="Q29" s="16">
        <v>83.333333300000007</v>
      </c>
      <c r="R29" s="16">
        <v>83.799880200000004</v>
      </c>
      <c r="S29" s="16">
        <v>0.77470000000000006</v>
      </c>
      <c r="T29" s="16">
        <v>0.47136423</v>
      </c>
      <c r="U29" s="16">
        <v>177.78158400000001</v>
      </c>
      <c r="V29" s="16">
        <v>5.0999999999999996</v>
      </c>
      <c r="W29" s="16">
        <v>1.018E-2</v>
      </c>
      <c r="X29" s="16">
        <v>13525.2276</v>
      </c>
      <c r="Y29" s="20"/>
      <c r="Z29" s="20"/>
    </row>
    <row r="30" spans="1:26" ht="1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</sheetData>
  <mergeCells count="10">
    <mergeCell ref="Y26:Z26"/>
    <mergeCell ref="Y27:Z27"/>
    <mergeCell ref="Y28:Z28"/>
    <mergeCell ref="Y29:Z29"/>
    <mergeCell ref="Y4:Z5"/>
    <mergeCell ref="Y21:Z21"/>
    <mergeCell ref="Y22:Z22"/>
    <mergeCell ref="Y23:Z23"/>
    <mergeCell ref="Y24:Z24"/>
    <mergeCell ref="Y25:Z25"/>
  </mergeCells>
  <pageMargins left="0.75" right="0.75" top="1" bottom="1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7"/>
  <sheetViews>
    <sheetView workbookViewId="0">
      <selection activeCell="A3" sqref="A3"/>
    </sheetView>
  </sheetViews>
  <sheetFormatPr defaultColWidth="11.33203125" defaultRowHeight="15" customHeight="1"/>
  <cols>
    <col min="1" max="1" width="11.33203125" customWidth="1"/>
    <col min="2" max="6" width="9.6640625" customWidth="1"/>
    <col min="7" max="7" width="17.33203125" customWidth="1"/>
    <col min="8" max="8" width="9.44140625" customWidth="1"/>
    <col min="9" max="9" width="7.88671875" customWidth="1"/>
    <col min="10" max="10" width="9" customWidth="1"/>
    <col min="11" max="11" width="9.6640625" customWidth="1"/>
    <col min="12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29</v>
      </c>
    </row>
    <row r="2" spans="1:12">
      <c r="A2" s="3">
        <v>0</v>
      </c>
      <c r="B2" s="3"/>
      <c r="C2" s="3"/>
      <c r="D2" s="3"/>
      <c r="E2" s="3">
        <v>0</v>
      </c>
      <c r="F2" s="3">
        <v>0.14000000000000001</v>
      </c>
      <c r="G2" s="3">
        <f t="shared" ref="G2:G14" si="0">3.14159*F2*F2/4</f>
        <v>1.5393791000000002E-2</v>
      </c>
      <c r="H2" s="3">
        <f t="shared" ref="H2:H14" si="1">E2/G2</f>
        <v>0</v>
      </c>
      <c r="I2" s="3">
        <v>17.8</v>
      </c>
      <c r="J2" s="3">
        <v>1.0402E-2</v>
      </c>
      <c r="K2" s="3">
        <f t="shared" ref="K2:K14" si="2">H2*F2/J2</f>
        <v>0</v>
      </c>
      <c r="L2" s="13"/>
    </row>
    <row r="3" spans="1:12">
      <c r="A3" s="3">
        <v>3</v>
      </c>
      <c r="B3" s="3">
        <f>5/43.02</f>
        <v>0.11622501162250115</v>
      </c>
      <c r="C3" s="3">
        <f>5/44.13</f>
        <v>0.11330160888284613</v>
      </c>
      <c r="D3" s="3">
        <f>5/44.97</f>
        <v>0.11118523460084501</v>
      </c>
      <c r="E3" s="3">
        <f t="shared" ref="E3:E14" si="3">(B3+C3+D3)/3</f>
        <v>0.11357061836873077</v>
      </c>
      <c r="F3" s="3">
        <v>0.14000000000000001</v>
      </c>
      <c r="G3" s="3">
        <f t="shared" si="0"/>
        <v>1.5393791000000002E-2</v>
      </c>
      <c r="H3" s="3">
        <f t="shared" si="1"/>
        <v>7.3776900289688712</v>
      </c>
      <c r="I3" s="3">
        <v>17.8</v>
      </c>
      <c r="J3" s="3">
        <v>1.0402E-2</v>
      </c>
      <c r="K3" s="3">
        <f t="shared" si="2"/>
        <v>99.295962704830046</v>
      </c>
      <c r="L3" s="13"/>
    </row>
    <row r="4" spans="1:12">
      <c r="A4" s="3">
        <v>4.9000000000000004</v>
      </c>
      <c r="B4" s="3">
        <f>50/258.58</f>
        <v>0.19336375589759458</v>
      </c>
      <c r="C4" s="3">
        <f>50/246.57</f>
        <v>0.20278217139149127</v>
      </c>
      <c r="D4" s="3">
        <f>50/285.22</f>
        <v>0.17530327466517073</v>
      </c>
      <c r="E4" s="3">
        <f t="shared" si="3"/>
        <v>0.19048306731808551</v>
      </c>
      <c r="F4" s="3">
        <v>0.14000000000000001</v>
      </c>
      <c r="G4" s="3">
        <f t="shared" si="0"/>
        <v>1.5393791000000002E-2</v>
      </c>
      <c r="H4" s="3">
        <f t="shared" si="1"/>
        <v>12.374019324939873</v>
      </c>
      <c r="I4" s="3">
        <v>17.8</v>
      </c>
      <c r="J4" s="3">
        <v>1.0402E-2</v>
      </c>
      <c r="K4" s="3">
        <f t="shared" si="2"/>
        <v>166.54130989151918</v>
      </c>
      <c r="L4" s="13"/>
    </row>
    <row r="5" spans="1:12">
      <c r="A5" s="3">
        <v>7</v>
      </c>
      <c r="B5" s="3">
        <f>50/214.21</f>
        <v>0.23341580691844452</v>
      </c>
      <c r="C5" s="3">
        <f>25/100.86</f>
        <v>0.24786833234186001</v>
      </c>
      <c r="D5" s="3">
        <f>25/100.4</f>
        <v>0.24900398406374499</v>
      </c>
      <c r="E5" s="3">
        <f t="shared" si="3"/>
        <v>0.24342937444134985</v>
      </c>
      <c r="F5" s="3">
        <v>0.14000000000000001</v>
      </c>
      <c r="G5" s="3">
        <f t="shared" si="0"/>
        <v>1.5393791000000002E-2</v>
      </c>
      <c r="H5" s="3">
        <f t="shared" si="1"/>
        <v>15.813477943240221</v>
      </c>
      <c r="I5" s="3">
        <v>17.8</v>
      </c>
      <c r="J5" s="3">
        <v>1.0402E-2</v>
      </c>
      <c r="K5" s="3">
        <f t="shared" si="2"/>
        <v>212.8328121566652</v>
      </c>
      <c r="L5" s="13"/>
    </row>
    <row r="6" spans="1:12">
      <c r="A6" s="3">
        <v>9</v>
      </c>
      <c r="B6" s="3">
        <f>50/151.29</f>
        <v>0.3304911097891467</v>
      </c>
      <c r="C6" s="3">
        <f>50/145.76</f>
        <v>0.34302963776070255</v>
      </c>
      <c r="D6" s="3">
        <f>50/143.76</f>
        <v>0.34780189204229273</v>
      </c>
      <c r="E6" s="3">
        <f t="shared" si="3"/>
        <v>0.34044087986404731</v>
      </c>
      <c r="F6" s="3">
        <v>0.14000000000000001</v>
      </c>
      <c r="G6" s="3">
        <f t="shared" si="0"/>
        <v>1.5393791000000002E-2</v>
      </c>
      <c r="H6" s="3">
        <f t="shared" si="1"/>
        <v>22.115467194796089</v>
      </c>
      <c r="I6" s="3">
        <v>17.8</v>
      </c>
      <c r="J6" s="3">
        <v>1.0402E-2</v>
      </c>
      <c r="K6" s="3">
        <f t="shared" si="2"/>
        <v>297.65097166616545</v>
      </c>
      <c r="L6" s="13"/>
    </row>
    <row r="7" spans="1:12">
      <c r="A7" s="3">
        <v>11</v>
      </c>
      <c r="B7" s="3">
        <f>50/108.22</f>
        <v>0.46202180742931065</v>
      </c>
      <c r="C7" s="3">
        <f>50/104.36</f>
        <v>0.47911077041011885</v>
      </c>
      <c r="D7" s="3">
        <f>50/110.39</f>
        <v>0.45293957786031341</v>
      </c>
      <c r="E7" s="3">
        <f t="shared" si="3"/>
        <v>0.46469071856658095</v>
      </c>
      <c r="F7" s="3">
        <v>0.14000000000000001</v>
      </c>
      <c r="G7" s="3">
        <f t="shared" si="0"/>
        <v>1.5393791000000002E-2</v>
      </c>
      <c r="H7" s="3">
        <f t="shared" si="1"/>
        <v>30.186892791163714</v>
      </c>
      <c r="I7" s="3">
        <v>17.8</v>
      </c>
      <c r="J7" s="3">
        <v>1.0402E-2</v>
      </c>
      <c r="K7" s="3">
        <f t="shared" si="2"/>
        <v>406.28388682589122</v>
      </c>
      <c r="L7" s="13"/>
    </row>
    <row r="8" spans="1:12">
      <c r="A8" s="3">
        <v>13</v>
      </c>
      <c r="B8" s="3">
        <f>100/175.07</f>
        <v>0.57120009139201466</v>
      </c>
      <c r="C8" s="3">
        <f>100/164.62</f>
        <v>0.60745960393633824</v>
      </c>
      <c r="D8" s="3">
        <f>100/170.58</f>
        <v>0.58623519756126152</v>
      </c>
      <c r="E8" s="3">
        <f t="shared" si="3"/>
        <v>0.5882982976298714</v>
      </c>
      <c r="F8" s="3">
        <v>0.14000000000000001</v>
      </c>
      <c r="G8" s="3">
        <f t="shared" si="0"/>
        <v>1.5393791000000002E-2</v>
      </c>
      <c r="H8" s="3">
        <f t="shared" si="1"/>
        <v>38.216596394602952</v>
      </c>
      <c r="I8" s="3">
        <v>17.8</v>
      </c>
      <c r="J8" s="3">
        <v>1.0402E-2</v>
      </c>
      <c r="K8" s="3">
        <f t="shared" si="2"/>
        <v>514.3552677604705</v>
      </c>
      <c r="L8" s="13"/>
    </row>
    <row r="9" spans="1:12">
      <c r="A9" s="3">
        <v>15</v>
      </c>
      <c r="B9" s="3">
        <f>100/152.58</f>
        <v>0.65539389172892903</v>
      </c>
      <c r="C9" s="3">
        <f>100/150.45</f>
        <v>0.66467264872050524</v>
      </c>
      <c r="D9" s="3">
        <f>100/159.72</f>
        <v>0.62609566741798151</v>
      </c>
      <c r="E9" s="3">
        <f t="shared" si="3"/>
        <v>0.64872073595580526</v>
      </c>
      <c r="F9" s="3">
        <v>0.14000000000000001</v>
      </c>
      <c r="G9" s="3">
        <f t="shared" si="0"/>
        <v>1.5393791000000002E-2</v>
      </c>
      <c r="H9" s="3">
        <f t="shared" si="1"/>
        <v>42.141713886839518</v>
      </c>
      <c r="I9" s="3">
        <v>17.8</v>
      </c>
      <c r="J9" s="3">
        <v>1.0402E-2</v>
      </c>
      <c r="K9" s="3">
        <f t="shared" si="2"/>
        <v>567.18322862502725</v>
      </c>
      <c r="L9" s="13"/>
    </row>
    <row r="10" spans="1:12">
      <c r="A10" s="3">
        <v>17.100000000000001</v>
      </c>
      <c r="B10" s="3">
        <f>100/138.27</f>
        <v>0.72322268026325298</v>
      </c>
      <c r="C10" s="3">
        <f>100/133.79</f>
        <v>0.74744001793856052</v>
      </c>
      <c r="D10" s="3">
        <f>100/141.2</f>
        <v>0.708215297450425</v>
      </c>
      <c r="E10" s="3">
        <f t="shared" si="3"/>
        <v>0.72629266521741298</v>
      </c>
      <c r="F10" s="3">
        <v>0.14000000000000001</v>
      </c>
      <c r="G10" s="3">
        <f t="shared" si="0"/>
        <v>1.5393791000000002E-2</v>
      </c>
      <c r="H10" s="3">
        <f t="shared" si="1"/>
        <v>47.180883852289071</v>
      </c>
      <c r="I10" s="3">
        <v>17.8</v>
      </c>
      <c r="J10" s="3">
        <v>1.0402E-2</v>
      </c>
      <c r="K10" s="3">
        <f t="shared" si="2"/>
        <v>635.00516624884358</v>
      </c>
      <c r="L10" s="13"/>
    </row>
    <row r="11" spans="1:12">
      <c r="A11" s="3">
        <v>19</v>
      </c>
      <c r="B11" s="3">
        <f>100/128.2</f>
        <v>0.78003120124805003</v>
      </c>
      <c r="C11" s="3">
        <f>100/123.58</f>
        <v>0.80919242595889307</v>
      </c>
      <c r="D11" s="3">
        <f>100/130.11</f>
        <v>0.76858043194220271</v>
      </c>
      <c r="E11" s="3">
        <f t="shared" si="3"/>
        <v>0.78593468638304864</v>
      </c>
      <c r="F11" s="3">
        <v>0.14000000000000001</v>
      </c>
      <c r="G11" s="3">
        <f t="shared" si="0"/>
        <v>1.5393791000000002E-2</v>
      </c>
      <c r="H11" s="3">
        <f t="shared" si="1"/>
        <v>51.055304465485371</v>
      </c>
      <c r="I11" s="3">
        <v>17.8</v>
      </c>
      <c r="J11" s="3">
        <v>1.0402E-2</v>
      </c>
      <c r="K11" s="3">
        <f t="shared" si="2"/>
        <v>687.15080034300649</v>
      </c>
      <c r="L11" s="13"/>
    </row>
    <row r="12" spans="1:12">
      <c r="A12" s="3">
        <v>21</v>
      </c>
      <c r="B12" s="3">
        <f>100/113.27</f>
        <v>0.88284629645978641</v>
      </c>
      <c r="C12" s="3">
        <f>100/109.82</f>
        <v>0.91058095064651257</v>
      </c>
      <c r="D12" s="3">
        <f>100/119.61</f>
        <v>0.836050497450046</v>
      </c>
      <c r="E12" s="3">
        <f t="shared" si="3"/>
        <v>0.87649258151878173</v>
      </c>
      <c r="F12" s="3">
        <v>0.14000000000000001</v>
      </c>
      <c r="G12" s="3">
        <f t="shared" si="0"/>
        <v>1.5393791000000002E-2</v>
      </c>
      <c r="H12" s="3">
        <f t="shared" si="1"/>
        <v>56.938059086210899</v>
      </c>
      <c r="I12" s="3">
        <v>17.8</v>
      </c>
      <c r="J12" s="3">
        <v>1.0402E-2</v>
      </c>
      <c r="K12" s="3">
        <f t="shared" si="2"/>
        <v>766.32650183325575</v>
      </c>
      <c r="L12" s="13"/>
    </row>
    <row r="13" spans="1:12">
      <c r="A13" s="3">
        <v>23.1</v>
      </c>
      <c r="B13" s="3">
        <f>100/100.96</f>
        <v>0.99049128367670369</v>
      </c>
      <c r="C13" s="3">
        <f>100/108.61</f>
        <v>0.92072553171899463</v>
      </c>
      <c r="D13" s="3">
        <f>100/105.76</f>
        <v>0.94553706505294999</v>
      </c>
      <c r="E13" s="3">
        <f t="shared" si="3"/>
        <v>0.95225129348288284</v>
      </c>
      <c r="F13" s="3">
        <v>0.14000000000000001</v>
      </c>
      <c r="G13" s="3">
        <f t="shared" si="0"/>
        <v>1.5393791000000002E-2</v>
      </c>
      <c r="H13" s="3">
        <f t="shared" si="1"/>
        <v>61.85944017837339</v>
      </c>
      <c r="I13" s="3">
        <v>17.8</v>
      </c>
      <c r="J13" s="3">
        <v>1.0402E-2</v>
      </c>
      <c r="K13" s="3">
        <f t="shared" si="2"/>
        <v>832.56312487716559</v>
      </c>
      <c r="L13" s="13"/>
    </row>
    <row r="14" spans="1:12">
      <c r="A14" s="3">
        <v>25.1</v>
      </c>
      <c r="B14" s="3">
        <f>100/103.45</f>
        <v>0.96665055582406956</v>
      </c>
      <c r="C14" s="3">
        <f>100/101.14</f>
        <v>0.98872849515523031</v>
      </c>
      <c r="D14" s="3">
        <f>100/96.12</f>
        <v>1.0403662089055348</v>
      </c>
      <c r="E14" s="3">
        <f t="shared" si="3"/>
        <v>0.99858175329494492</v>
      </c>
      <c r="F14" s="3">
        <v>0.14000000000000001</v>
      </c>
      <c r="G14" s="3">
        <f t="shared" si="0"/>
        <v>1.5393791000000002E-2</v>
      </c>
      <c r="H14" s="3">
        <f t="shared" si="1"/>
        <v>64.869125044957727</v>
      </c>
      <c r="I14" s="3">
        <v>17.8</v>
      </c>
      <c r="J14" s="3">
        <v>1.0402E-2</v>
      </c>
      <c r="K14" s="3">
        <f t="shared" si="2"/>
        <v>873.07032361988877</v>
      </c>
      <c r="L14" s="13"/>
    </row>
    <row r="16" spans="1:12">
      <c r="A16" s="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15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</sheetData>
  <pageMargins left="0.75" right="0.75" top="1" bottom="1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2"/>
  <sheetViews>
    <sheetView workbookViewId="0">
      <selection activeCell="J2" sqref="J2"/>
    </sheetView>
  </sheetViews>
  <sheetFormatPr defaultColWidth="11.33203125" defaultRowHeight="15" customHeight="1"/>
  <cols>
    <col min="1" max="1" width="6.6640625" customWidth="1"/>
    <col min="2" max="4" width="9.6640625" customWidth="1"/>
    <col min="5" max="5" width="11.6640625" customWidth="1"/>
    <col min="6" max="8" width="9.6640625" customWidth="1"/>
    <col min="9" max="9" width="6.6640625" customWidth="1"/>
    <col min="10" max="10" width="9.88671875" customWidth="1"/>
    <col min="11" max="11" width="9.6640625" customWidth="1"/>
    <col min="12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30</v>
      </c>
    </row>
    <row r="2" spans="1:12" ht="15.75">
      <c r="A2" s="3">
        <v>0</v>
      </c>
      <c r="B2" s="3"/>
      <c r="C2" s="3"/>
      <c r="D2" s="3"/>
      <c r="E2" s="3">
        <f t="shared" ref="E2:E17" si="0">(B2+C2+D2)/3</f>
        <v>0</v>
      </c>
      <c r="F2" s="3">
        <v>0.254</v>
      </c>
      <c r="G2" s="3">
        <f t="shared" ref="G2:G17" si="1">(F2^2)/4*PI()</f>
        <v>5.0670747909749778E-2</v>
      </c>
      <c r="H2" s="3">
        <f t="shared" ref="H2:H17" si="2">E2/G2</f>
        <v>0</v>
      </c>
      <c r="I2" s="3">
        <v>17.899999999999999</v>
      </c>
      <c r="J2" s="4">
        <v>1.0284E-2</v>
      </c>
      <c r="K2" s="3">
        <f t="shared" ref="K2:K17" si="3">H2*F2/J2</f>
        <v>0</v>
      </c>
      <c r="L2" s="13"/>
    </row>
    <row r="3" spans="1:12">
      <c r="A3" s="3">
        <v>2</v>
      </c>
      <c r="B3" s="3">
        <f>50/80.19</f>
        <v>0.62351914203766057</v>
      </c>
      <c r="C3" s="3">
        <f>50/79.85</f>
        <v>0.62617407639323741</v>
      </c>
      <c r="D3" s="3">
        <f>50/78</f>
        <v>0.64102564102564108</v>
      </c>
      <c r="E3" s="3">
        <f t="shared" si="0"/>
        <v>0.63023961981884635</v>
      </c>
      <c r="F3" s="3">
        <v>0.254</v>
      </c>
      <c r="G3" s="3">
        <f t="shared" si="1"/>
        <v>5.0670747909749778E-2</v>
      </c>
      <c r="H3" s="3">
        <f t="shared" si="2"/>
        <v>12.437937978365211</v>
      </c>
      <c r="I3" s="3">
        <v>17.899999999999999</v>
      </c>
      <c r="J3" s="4">
        <v>1.0284E-2</v>
      </c>
      <c r="K3" s="3">
        <f t="shared" si="3"/>
        <v>307.19916827156396</v>
      </c>
      <c r="L3" s="13"/>
    </row>
    <row r="4" spans="1:12">
      <c r="A4" s="3">
        <v>3</v>
      </c>
      <c r="B4" s="3">
        <f>100/89.39</f>
        <v>1.1186933661483387</v>
      </c>
      <c r="C4" s="3">
        <f>100/80.94</f>
        <v>1.2354830738818878</v>
      </c>
      <c r="D4" s="3">
        <f>100/92.44</f>
        <v>1.0817827780181739</v>
      </c>
      <c r="E4" s="3">
        <f t="shared" si="0"/>
        <v>1.1453197393494667</v>
      </c>
      <c r="F4" s="3">
        <v>0.254</v>
      </c>
      <c r="G4" s="3">
        <f t="shared" si="1"/>
        <v>5.0670747909749778E-2</v>
      </c>
      <c r="H4" s="3">
        <f t="shared" si="2"/>
        <v>22.60317415068371</v>
      </c>
      <c r="I4" s="3">
        <v>17.899999999999999</v>
      </c>
      <c r="J4" s="4">
        <v>1.0284E-2</v>
      </c>
      <c r="K4" s="3">
        <f t="shared" si="3"/>
        <v>558.26587264426905</v>
      </c>
      <c r="L4" s="13"/>
    </row>
    <row r="5" spans="1:12">
      <c r="A5" s="3">
        <v>3.9</v>
      </c>
      <c r="B5" s="3">
        <f>100/69.51</f>
        <v>1.4386419220256077</v>
      </c>
      <c r="C5" s="3">
        <f>100/66.84</f>
        <v>1.4961101137043686</v>
      </c>
      <c r="D5" s="3">
        <f>100/71.37</f>
        <v>1.4011489421325487</v>
      </c>
      <c r="E5" s="3">
        <f t="shared" si="0"/>
        <v>1.445300325954175</v>
      </c>
      <c r="F5" s="3">
        <v>0.254</v>
      </c>
      <c r="G5" s="3">
        <f t="shared" si="1"/>
        <v>5.0670747909749778E-2</v>
      </c>
      <c r="H5" s="3">
        <f t="shared" si="2"/>
        <v>28.523366746597372</v>
      </c>
      <c r="I5" s="3">
        <v>17.899999999999999</v>
      </c>
      <c r="J5" s="4">
        <v>1.0284E-2</v>
      </c>
      <c r="K5" s="3">
        <f t="shared" si="3"/>
        <v>704.48610984400352</v>
      </c>
      <c r="L5" s="13"/>
    </row>
    <row r="6" spans="1:12">
      <c r="A6" s="3">
        <v>5</v>
      </c>
      <c r="B6" s="3">
        <f>150/92.9</f>
        <v>1.6146393972012916</v>
      </c>
      <c r="C6" s="3">
        <f>150/86.97</f>
        <v>1.7247326664367024</v>
      </c>
      <c r="D6" s="3">
        <f>150/94.15</f>
        <v>1.5932023366967605</v>
      </c>
      <c r="E6" s="3">
        <f t="shared" si="0"/>
        <v>1.6441914667782516</v>
      </c>
      <c r="F6" s="3">
        <v>0.254</v>
      </c>
      <c r="G6" s="3">
        <f t="shared" si="1"/>
        <v>5.0670747909749778E-2</v>
      </c>
      <c r="H6" s="3">
        <f t="shared" si="2"/>
        <v>32.448533613649019</v>
      </c>
      <c r="I6" s="3">
        <v>17.899999999999999</v>
      </c>
      <c r="J6" s="4">
        <v>1.0284E-2</v>
      </c>
      <c r="K6" s="3">
        <f t="shared" si="3"/>
        <v>801.43208263971712</v>
      </c>
      <c r="L6" s="13"/>
    </row>
    <row r="7" spans="1:12">
      <c r="A7" s="3">
        <v>6</v>
      </c>
      <c r="B7" s="3">
        <f>200/107.16</f>
        <v>1.8663680477790221</v>
      </c>
      <c r="C7" s="3">
        <f>200/100.68</f>
        <v>1.9864918553833928</v>
      </c>
      <c r="D7" s="3">
        <f>200/105.22</f>
        <v>1.9007793195210037</v>
      </c>
      <c r="E7" s="3">
        <f t="shared" si="0"/>
        <v>1.9178797408944728</v>
      </c>
      <c r="F7" s="3">
        <v>0.254</v>
      </c>
      <c r="G7" s="3">
        <f t="shared" si="1"/>
        <v>5.0670747909749778E-2</v>
      </c>
      <c r="H7" s="3">
        <f t="shared" si="2"/>
        <v>37.849840786057257</v>
      </c>
      <c r="I7" s="3">
        <v>17.899999999999999</v>
      </c>
      <c r="J7" s="4">
        <v>1.0284E-2</v>
      </c>
      <c r="K7" s="3">
        <f t="shared" si="3"/>
        <v>934.83659662179537</v>
      </c>
      <c r="L7" s="13"/>
    </row>
    <row r="8" spans="1:12">
      <c r="A8" s="3">
        <v>7</v>
      </c>
      <c r="B8" s="3">
        <f>200/93.68</f>
        <v>2.134927412467976</v>
      </c>
      <c r="C8" s="3">
        <f>200/92.59</f>
        <v>2.1600604816934874</v>
      </c>
      <c r="D8" s="3">
        <f>200/90.36</f>
        <v>2.213368747233289</v>
      </c>
      <c r="E8" s="3">
        <f t="shared" si="0"/>
        <v>2.1694522137982513</v>
      </c>
      <c r="F8" s="3">
        <v>0.254</v>
      </c>
      <c r="G8" s="3">
        <f t="shared" si="1"/>
        <v>5.0670747909749778E-2</v>
      </c>
      <c r="H8" s="3">
        <f t="shared" si="2"/>
        <v>42.814687039202312</v>
      </c>
      <c r="I8" s="3">
        <v>17.899999999999999</v>
      </c>
      <c r="J8" s="4">
        <v>1.0284E-2</v>
      </c>
      <c r="K8" s="3">
        <f t="shared" si="3"/>
        <v>1057.4611540215274</v>
      </c>
      <c r="L8" s="13"/>
    </row>
    <row r="9" spans="1:12">
      <c r="A9" s="3">
        <v>9.1</v>
      </c>
      <c r="B9" s="3">
        <f>200/76.58</f>
        <v>2.6116479498563594</v>
      </c>
      <c r="C9" s="3">
        <f>200/75.72</f>
        <v>2.6413100898045432</v>
      </c>
      <c r="D9" s="3">
        <f>200/72.9</f>
        <v>2.7434842249657061</v>
      </c>
      <c r="E9" s="3">
        <f t="shared" si="0"/>
        <v>2.6654807548755364</v>
      </c>
      <c r="F9" s="3">
        <v>0.254</v>
      </c>
      <c r="G9" s="3">
        <f t="shared" si="1"/>
        <v>5.0670747909749778E-2</v>
      </c>
      <c r="H9" s="3">
        <f t="shared" si="2"/>
        <v>52.603935501861017</v>
      </c>
      <c r="I9" s="3">
        <v>17.899999999999999</v>
      </c>
      <c r="J9" s="4">
        <v>1.0284E-2</v>
      </c>
      <c r="K9" s="3">
        <f t="shared" si="3"/>
        <v>1299.2415030603559</v>
      </c>
      <c r="L9" s="13"/>
    </row>
    <row r="10" spans="1:12">
      <c r="A10" s="3">
        <v>10.9</v>
      </c>
      <c r="B10" s="3">
        <f>250/83.3</f>
        <v>3.0012004801920771</v>
      </c>
      <c r="C10" s="3">
        <f>250/77.68</f>
        <v>3.2183316168898042</v>
      </c>
      <c r="D10" s="3">
        <f>250/82.58</f>
        <v>3.0273674013078229</v>
      </c>
      <c r="E10" s="3">
        <f t="shared" si="0"/>
        <v>3.0822998327965681</v>
      </c>
      <c r="F10" s="3">
        <v>0.254</v>
      </c>
      <c r="G10" s="3">
        <f t="shared" si="1"/>
        <v>5.0670747909749778E-2</v>
      </c>
      <c r="H10" s="3">
        <f t="shared" si="2"/>
        <v>60.829965215561572</v>
      </c>
      <c r="I10" s="3">
        <v>17.899999999999999</v>
      </c>
      <c r="J10" s="4">
        <v>1.0284E-2</v>
      </c>
      <c r="K10" s="3">
        <f t="shared" si="3"/>
        <v>1502.4125986729521</v>
      </c>
      <c r="L10" s="13"/>
    </row>
    <row r="11" spans="1:12">
      <c r="A11" s="3">
        <v>13</v>
      </c>
      <c r="B11" s="3">
        <f>300/83.43</f>
        <v>3.595828838547285</v>
      </c>
      <c r="C11" s="3">
        <f>300/81.5</f>
        <v>3.6809815950920246</v>
      </c>
      <c r="D11" s="3">
        <f>300/90.68</f>
        <v>3.3083370092633433</v>
      </c>
      <c r="E11" s="3">
        <f t="shared" si="0"/>
        <v>3.5283824809675508</v>
      </c>
      <c r="F11" s="3">
        <v>0.254</v>
      </c>
      <c r="G11" s="3">
        <f t="shared" si="1"/>
        <v>5.0670747909749778E-2</v>
      </c>
      <c r="H11" s="3">
        <f t="shared" si="2"/>
        <v>69.633518874676795</v>
      </c>
      <c r="I11" s="3">
        <v>17.899999999999999</v>
      </c>
      <c r="J11" s="4">
        <v>1.0284E-2</v>
      </c>
      <c r="K11" s="3">
        <f t="shared" si="3"/>
        <v>1719.8477046059809</v>
      </c>
      <c r="L11" s="13"/>
    </row>
    <row r="12" spans="1:12">
      <c r="A12" s="3">
        <v>15</v>
      </c>
      <c r="B12" s="3">
        <f>300/78.96</f>
        <v>3.7993920972644379</v>
      </c>
      <c r="C12" s="3">
        <f>300/77.97</f>
        <v>3.8476337052712584</v>
      </c>
      <c r="D12" s="3">
        <f>300/76.34</f>
        <v>3.9297877914592609</v>
      </c>
      <c r="E12" s="3">
        <f t="shared" si="0"/>
        <v>3.8589378646649855</v>
      </c>
      <c r="F12" s="3">
        <v>0.254</v>
      </c>
      <c r="G12" s="3">
        <f t="shared" si="1"/>
        <v>5.0670747909749778E-2</v>
      </c>
      <c r="H12" s="3">
        <f t="shared" si="2"/>
        <v>76.157112808719177</v>
      </c>
      <c r="I12" s="3">
        <v>17.899999999999999</v>
      </c>
      <c r="J12" s="4">
        <v>1.0284E-2</v>
      </c>
      <c r="K12" s="3">
        <f t="shared" si="3"/>
        <v>1880.971086485285</v>
      </c>
      <c r="L12" s="13"/>
    </row>
    <row r="13" spans="1:12">
      <c r="A13" s="3">
        <v>16.899999999999999</v>
      </c>
      <c r="B13" s="3">
        <f>300/71.33</f>
        <v>4.2058040095331561</v>
      </c>
      <c r="C13" s="3">
        <f>300/70.68</f>
        <v>4.2444821731748723</v>
      </c>
      <c r="D13" s="3">
        <f>300/71.76</f>
        <v>4.1806020066889626</v>
      </c>
      <c r="E13" s="3">
        <f t="shared" si="0"/>
        <v>4.2102960631323301</v>
      </c>
      <c r="F13" s="3">
        <v>0.254</v>
      </c>
      <c r="G13" s="3">
        <f t="shared" si="1"/>
        <v>5.0670747909749778E-2</v>
      </c>
      <c r="H13" s="3">
        <f t="shared" si="2"/>
        <v>83.091255543165346</v>
      </c>
      <c r="I13" s="3">
        <v>17.899999999999999</v>
      </c>
      <c r="J13" s="4">
        <v>1.0284E-2</v>
      </c>
      <c r="K13" s="3">
        <f t="shared" si="3"/>
        <v>2052.2344329019838</v>
      </c>
      <c r="L13" s="13"/>
    </row>
    <row r="14" spans="1:12">
      <c r="A14" s="3">
        <v>18.899999999999999</v>
      </c>
      <c r="B14" s="3">
        <f>300/66.69</f>
        <v>4.4984255510571298</v>
      </c>
      <c r="C14" s="3">
        <f>300/65.89</f>
        <v>4.5530429503718315</v>
      </c>
      <c r="D14" s="3">
        <f>300/66.44</f>
        <v>4.5153521974714028</v>
      </c>
      <c r="E14" s="3">
        <f t="shared" si="0"/>
        <v>4.5222735663001208</v>
      </c>
      <c r="F14" s="3">
        <v>0.254</v>
      </c>
      <c r="G14" s="3">
        <f t="shared" si="1"/>
        <v>5.0670747909749778E-2</v>
      </c>
      <c r="H14" s="3">
        <f t="shared" si="2"/>
        <v>89.248210315639938</v>
      </c>
      <c r="I14" s="3">
        <v>17.899999999999999</v>
      </c>
      <c r="J14" s="4">
        <v>1.0284E-2</v>
      </c>
      <c r="K14" s="3">
        <f t="shared" si="3"/>
        <v>2204.3023551315196</v>
      </c>
      <c r="L14" s="13"/>
    </row>
    <row r="15" spans="1:12">
      <c r="A15" s="3">
        <v>21</v>
      </c>
      <c r="B15" s="3">
        <f>300/62.65</f>
        <v>4.7885075818036711</v>
      </c>
      <c r="C15" s="3">
        <f>300/61.95</f>
        <v>4.8426150121065374</v>
      </c>
      <c r="D15" s="3">
        <f>300/60.93</f>
        <v>4.9236829148202856</v>
      </c>
      <c r="E15" s="3">
        <f t="shared" si="0"/>
        <v>4.8516018362434989</v>
      </c>
      <c r="F15" s="3">
        <v>0.254</v>
      </c>
      <c r="G15" s="3">
        <f t="shared" si="1"/>
        <v>5.0670747909749778E-2</v>
      </c>
      <c r="H15" s="3">
        <f t="shared" si="2"/>
        <v>95.747586850005447</v>
      </c>
      <c r="I15" s="3">
        <v>17.899999999999999</v>
      </c>
      <c r="J15" s="4">
        <v>1.0284E-2</v>
      </c>
      <c r="K15" s="3">
        <f t="shared" si="3"/>
        <v>2364.8276020907606</v>
      </c>
      <c r="L15" s="13"/>
    </row>
    <row r="16" spans="1:12">
      <c r="A16" s="3">
        <v>23.1</v>
      </c>
      <c r="B16" s="3">
        <f>300/56.83</f>
        <v>5.2789019883864157</v>
      </c>
      <c r="C16" s="3">
        <f>300/56.75</f>
        <v>5.286343612334802</v>
      </c>
      <c r="D16" s="3">
        <f>300/56.54</f>
        <v>5.3059780686239835</v>
      </c>
      <c r="E16" s="3">
        <f t="shared" si="0"/>
        <v>5.2904078897817337</v>
      </c>
      <c r="F16" s="3">
        <v>0.254</v>
      </c>
      <c r="G16" s="3">
        <f t="shared" si="1"/>
        <v>5.0670747909749778E-2</v>
      </c>
      <c r="H16" s="3">
        <f t="shared" si="2"/>
        <v>104.40753507732977</v>
      </c>
      <c r="I16" s="3">
        <v>17.899999999999999</v>
      </c>
      <c r="J16" s="4">
        <v>1.0284E-2</v>
      </c>
      <c r="K16" s="3">
        <f t="shared" si="3"/>
        <v>2578.7158605252589</v>
      </c>
      <c r="L16" s="13"/>
    </row>
    <row r="17" spans="1:12">
      <c r="A17" s="3">
        <v>25</v>
      </c>
      <c r="B17" s="3">
        <f>300/49.95</f>
        <v>6.0060060060060056</v>
      </c>
      <c r="C17" s="3">
        <f>300/53.01</f>
        <v>5.6593095642331637</v>
      </c>
      <c r="D17" s="3">
        <f>300/54.07</f>
        <v>5.5483632328463104</v>
      </c>
      <c r="E17" s="3">
        <f t="shared" si="0"/>
        <v>5.7378929343618266</v>
      </c>
      <c r="F17" s="3">
        <v>0.254</v>
      </c>
      <c r="G17" s="3">
        <f t="shared" si="1"/>
        <v>5.0670747909749778E-2</v>
      </c>
      <c r="H17" s="3">
        <f t="shared" si="2"/>
        <v>113.23876538356312</v>
      </c>
      <c r="I17" s="3">
        <v>17.899999999999999</v>
      </c>
      <c r="J17" s="4">
        <v>1.0284E-2</v>
      </c>
      <c r="K17" s="3">
        <f t="shared" si="3"/>
        <v>2796.8345398118472</v>
      </c>
      <c r="L17" s="13"/>
    </row>
    <row r="18" spans="1:12">
      <c r="A18" s="13"/>
      <c r="B18" s="13"/>
      <c r="C18" s="13"/>
      <c r="D18" s="13"/>
      <c r="E18" s="13"/>
      <c r="F18" s="13"/>
      <c r="G18" s="13"/>
      <c r="H18" s="13"/>
      <c r="I18" s="3"/>
      <c r="J18" s="13"/>
      <c r="K18" s="13"/>
      <c r="L18" s="13"/>
    </row>
    <row r="19" spans="1:12">
      <c r="A19" s="3"/>
      <c r="B19" s="13"/>
      <c r="C19" s="13"/>
      <c r="D19" s="13"/>
      <c r="E19" s="13"/>
      <c r="F19" s="13"/>
      <c r="G19" s="13"/>
      <c r="H19" s="13"/>
      <c r="I19" s="3"/>
      <c r="J19" s="13"/>
      <c r="K19" s="13"/>
      <c r="L19" s="13"/>
    </row>
    <row r="20" spans="1:12">
      <c r="A20" s="13"/>
      <c r="B20" s="13"/>
      <c r="C20" s="13"/>
      <c r="D20" s="13"/>
      <c r="E20" s="13"/>
      <c r="F20" s="13"/>
      <c r="G20" s="13"/>
      <c r="H20" s="13"/>
      <c r="I20" s="3"/>
      <c r="J20" s="13"/>
      <c r="K20" s="13"/>
      <c r="L20" s="13"/>
    </row>
    <row r="21" spans="1:12">
      <c r="A21" s="13"/>
      <c r="B21" s="13"/>
      <c r="C21" s="13"/>
      <c r="D21" s="13"/>
      <c r="E21" s="13"/>
      <c r="F21" s="13"/>
      <c r="G21" s="13"/>
      <c r="H21" s="13"/>
      <c r="I21" s="3"/>
      <c r="J21" s="13"/>
      <c r="K21" s="13"/>
      <c r="L21" s="13"/>
    </row>
    <row r="22" spans="1:12" ht="1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</sheetData>
  <pageMargins left="0.75" right="0.75" top="1" bottom="1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1"/>
  <sheetViews>
    <sheetView workbookViewId="0"/>
  </sheetViews>
  <sheetFormatPr defaultColWidth="11.33203125" defaultRowHeight="15" customHeight="1"/>
  <cols>
    <col min="1" max="1" width="6.6640625" customWidth="1"/>
    <col min="2" max="6" width="9.6640625" customWidth="1"/>
    <col min="7" max="7" width="17.33203125" customWidth="1"/>
    <col min="8" max="8" width="9.44140625" customWidth="1"/>
    <col min="9" max="9" width="6.6640625" customWidth="1"/>
    <col min="10" max="10" width="7.33203125" customWidth="1"/>
    <col min="11" max="11" width="9.6640625" customWidth="1"/>
    <col min="12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31</v>
      </c>
    </row>
    <row r="2" spans="1:12">
      <c r="A2" s="3">
        <v>0</v>
      </c>
      <c r="B2" s="13"/>
      <c r="C2" s="13"/>
      <c r="D2" s="13"/>
      <c r="E2" s="3">
        <v>0</v>
      </c>
      <c r="F2" s="3">
        <v>0.38100000000000001</v>
      </c>
      <c r="G2" s="3">
        <f t="shared" ref="G2:G21" si="0">3.14159*F2*F2/4</f>
        <v>0.11400908649750001</v>
      </c>
      <c r="H2" s="3">
        <v>0</v>
      </c>
      <c r="I2" s="3">
        <v>17.8</v>
      </c>
      <c r="J2" s="3">
        <v>1.0427000000000001E-2</v>
      </c>
      <c r="K2" s="3">
        <f t="shared" ref="K2:K21" si="1">H2*F2/J2</f>
        <v>0</v>
      </c>
      <c r="L2" s="13"/>
    </row>
    <row r="3" spans="1:12">
      <c r="A3" s="3">
        <v>1</v>
      </c>
      <c r="B3" s="3">
        <f>100/73.07</f>
        <v>1.3685507048036132</v>
      </c>
      <c r="C3" s="3">
        <f>100/77.34</f>
        <v>1.2929919834497026</v>
      </c>
      <c r="D3" s="3">
        <f>100/75.6</f>
        <v>1.3227513227513228</v>
      </c>
      <c r="E3" s="3">
        <f t="shared" ref="E3:E21" si="2">(B3+C3+D3)/3</f>
        <v>1.3280980036682128</v>
      </c>
      <c r="F3" s="3">
        <v>0.38100000000000001</v>
      </c>
      <c r="G3" s="3">
        <f t="shared" si="0"/>
        <v>0.11400908649750001</v>
      </c>
      <c r="H3" s="3">
        <f t="shared" ref="H3:H21" si="3">E3/G3</f>
        <v>11.649053987441039</v>
      </c>
      <c r="I3" s="3">
        <v>17.8</v>
      </c>
      <c r="J3" s="3">
        <v>1.0427000000000001E-2</v>
      </c>
      <c r="K3" s="3">
        <f t="shared" si="1"/>
        <v>425.65355032272333</v>
      </c>
      <c r="L3" s="13"/>
    </row>
    <row r="4" spans="1:12">
      <c r="A4" s="3">
        <v>2.1</v>
      </c>
      <c r="B4" s="3">
        <f>150/56.81</f>
        <v>2.6403802147509241</v>
      </c>
      <c r="C4" s="3">
        <f>150/52.16</f>
        <v>2.8757668711656446</v>
      </c>
      <c r="D4" s="3">
        <f>150/54.19</f>
        <v>2.768038383465584</v>
      </c>
      <c r="E4" s="3">
        <f t="shared" si="2"/>
        <v>2.7613951564607171</v>
      </c>
      <c r="F4" s="3">
        <v>0.38100000000000001</v>
      </c>
      <c r="G4" s="3">
        <f t="shared" si="0"/>
        <v>0.11400908649750001</v>
      </c>
      <c r="H4" s="3">
        <f t="shared" si="3"/>
        <v>24.220833981695563</v>
      </c>
      <c r="I4" s="3">
        <v>17.8</v>
      </c>
      <c r="J4" s="3">
        <v>1.0427000000000001E-2</v>
      </c>
      <c r="K4" s="3">
        <f t="shared" si="1"/>
        <v>885.02328062012168</v>
      </c>
      <c r="L4" s="13"/>
    </row>
    <row r="5" spans="1:12">
      <c r="A5" s="3">
        <v>3.1</v>
      </c>
      <c r="B5" s="3">
        <f>150/41.47</f>
        <v>3.6170725825898242</v>
      </c>
      <c r="C5" s="3">
        <f>150/37.84</f>
        <v>3.964059196617336</v>
      </c>
      <c r="D5" s="3">
        <f>150/40.93</f>
        <v>3.6647935499633522</v>
      </c>
      <c r="E5" s="3">
        <f t="shared" si="2"/>
        <v>3.7486417763901709</v>
      </c>
      <c r="F5" s="3">
        <v>0.38100000000000001</v>
      </c>
      <c r="G5" s="3">
        <f t="shared" si="0"/>
        <v>0.11400908649750001</v>
      </c>
      <c r="H5" s="3">
        <f t="shared" si="3"/>
        <v>32.88020184665168</v>
      </c>
      <c r="I5" s="3">
        <v>17.8</v>
      </c>
      <c r="J5" s="3">
        <v>1.0427000000000001E-2</v>
      </c>
      <c r="K5" s="3">
        <f t="shared" si="1"/>
        <v>1201.4344397788711</v>
      </c>
      <c r="L5" s="13"/>
    </row>
    <row r="6" spans="1:12">
      <c r="A6" s="3">
        <v>4.0999999999999996</v>
      </c>
      <c r="B6" s="3">
        <f>150/34.94</f>
        <v>4.2930738408700631</v>
      </c>
      <c r="C6" s="3">
        <f>150/31.43</f>
        <v>4.7725103404390712</v>
      </c>
      <c r="D6" s="3">
        <f>250/52.62</f>
        <v>4.7510452299505896</v>
      </c>
      <c r="E6" s="3">
        <f t="shared" si="2"/>
        <v>4.6055431370865749</v>
      </c>
      <c r="F6" s="3">
        <v>0.38100000000000001</v>
      </c>
      <c r="G6" s="3">
        <f t="shared" si="0"/>
        <v>0.11400908649750001</v>
      </c>
      <c r="H6" s="3">
        <f t="shared" si="3"/>
        <v>40.396281371727028</v>
      </c>
      <c r="I6" s="3">
        <v>17.8</v>
      </c>
      <c r="J6" s="3">
        <v>1.0427000000000001E-2</v>
      </c>
      <c r="K6" s="3">
        <f t="shared" si="1"/>
        <v>1476.0701258874074</v>
      </c>
      <c r="L6" s="13"/>
    </row>
    <row r="7" spans="1:12">
      <c r="A7" s="3">
        <v>5</v>
      </c>
      <c r="B7" s="3">
        <f>300/56.75</f>
        <v>5.286343612334802</v>
      </c>
      <c r="C7" s="3">
        <f>300/56.57</f>
        <v>5.3031642213187205</v>
      </c>
      <c r="D7" s="3">
        <f>300/58.12</f>
        <v>5.1617343427391607</v>
      </c>
      <c r="E7" s="3">
        <f t="shared" si="2"/>
        <v>5.2504140587975607</v>
      </c>
      <c r="F7" s="3">
        <v>0.38100000000000001</v>
      </c>
      <c r="G7" s="3">
        <f t="shared" si="0"/>
        <v>0.11400908649750001</v>
      </c>
      <c r="H7" s="3">
        <f t="shared" si="3"/>
        <v>46.052593000231539</v>
      </c>
      <c r="I7" s="3">
        <v>17.8</v>
      </c>
      <c r="J7" s="3">
        <v>1.0427000000000001E-2</v>
      </c>
      <c r="K7" s="3">
        <f t="shared" si="1"/>
        <v>1682.7503532260687</v>
      </c>
      <c r="L7" s="13"/>
    </row>
    <row r="8" spans="1:12">
      <c r="A8" s="3">
        <v>6</v>
      </c>
      <c r="B8" s="3">
        <f>300/50</f>
        <v>6</v>
      </c>
      <c r="C8" s="3">
        <f>300/50.01</f>
        <v>5.9988002399520095</v>
      </c>
      <c r="D8" s="3">
        <f>300/52.75</f>
        <v>5.6872037914691944</v>
      </c>
      <c r="E8" s="3">
        <f t="shared" si="2"/>
        <v>5.8953346771404016</v>
      </c>
      <c r="F8" s="3">
        <v>0.38100000000000001</v>
      </c>
      <c r="G8" s="3">
        <f t="shared" si="0"/>
        <v>0.11400908649750001</v>
      </c>
      <c r="H8" s="3">
        <f t="shared" si="3"/>
        <v>51.709340529359253</v>
      </c>
      <c r="I8" s="3">
        <v>17.8</v>
      </c>
      <c r="J8" s="3">
        <v>1.0427000000000001E-2</v>
      </c>
      <c r="K8" s="3">
        <f t="shared" si="1"/>
        <v>1889.4465082656445</v>
      </c>
      <c r="L8" s="13"/>
    </row>
    <row r="9" spans="1:12">
      <c r="A9" s="3">
        <v>7</v>
      </c>
      <c r="B9" s="3">
        <f>300/45.44</f>
        <v>6.602112676056338</v>
      </c>
      <c r="C9" s="3">
        <f>300/46.32</f>
        <v>6.4766839378238341</v>
      </c>
      <c r="D9" s="3">
        <f>300/44.77</f>
        <v>6.7009157918248823</v>
      </c>
      <c r="E9" s="3">
        <f t="shared" si="2"/>
        <v>6.5932374685683515</v>
      </c>
      <c r="F9" s="3">
        <v>0.38100000000000001</v>
      </c>
      <c r="G9" s="3">
        <f t="shared" si="0"/>
        <v>0.11400908649750001</v>
      </c>
      <c r="H9" s="3">
        <f t="shared" si="3"/>
        <v>57.830806921805554</v>
      </c>
      <c r="I9" s="3">
        <v>17.8</v>
      </c>
      <c r="J9" s="3">
        <v>1.0427000000000001E-2</v>
      </c>
      <c r="K9" s="3">
        <f t="shared" si="1"/>
        <v>2113.1233755833809</v>
      </c>
      <c r="L9" s="13"/>
    </row>
    <row r="10" spans="1:12">
      <c r="A10" s="3">
        <v>8.1</v>
      </c>
      <c r="B10" s="3">
        <f>800/106.25</f>
        <v>7.5294117647058822</v>
      </c>
      <c r="C10" s="3">
        <f>400/53.11</f>
        <v>7.5315383167011865</v>
      </c>
      <c r="D10" s="3">
        <f>400/52.59</f>
        <v>7.6060087469100583</v>
      </c>
      <c r="E10" s="3">
        <f t="shared" si="2"/>
        <v>7.555652942772376</v>
      </c>
      <c r="F10" s="3">
        <v>0.38100000000000001</v>
      </c>
      <c r="G10" s="3">
        <f t="shared" si="0"/>
        <v>0.11400908649750001</v>
      </c>
      <c r="H10" s="3">
        <f t="shared" si="3"/>
        <v>66.272375078964046</v>
      </c>
      <c r="I10" s="3">
        <v>17.8</v>
      </c>
      <c r="J10" s="3">
        <v>1.0427000000000001E-2</v>
      </c>
      <c r="K10" s="3">
        <f t="shared" si="1"/>
        <v>2421.576187310377</v>
      </c>
      <c r="L10" s="13"/>
    </row>
    <row r="11" spans="1:12">
      <c r="A11" s="3">
        <v>9.1</v>
      </c>
      <c r="B11" s="3">
        <f>400/49.94</f>
        <v>8.0096115338406086</v>
      </c>
      <c r="C11" s="3">
        <f>800/99.82</f>
        <v>8.0144259667401325</v>
      </c>
      <c r="D11" s="3">
        <f>400/50.12</f>
        <v>7.980845969672786</v>
      </c>
      <c r="E11" s="3">
        <f t="shared" si="2"/>
        <v>8.0016278234178415</v>
      </c>
      <c r="F11" s="3">
        <v>0.38100000000000001</v>
      </c>
      <c r="G11" s="3">
        <f t="shared" si="0"/>
        <v>0.11400908649750001</v>
      </c>
      <c r="H11" s="3">
        <f t="shared" si="3"/>
        <v>70.184123645208757</v>
      </c>
      <c r="I11" s="3">
        <v>17.8</v>
      </c>
      <c r="J11" s="3">
        <v>1.0427000000000001E-2</v>
      </c>
      <c r="K11" s="3">
        <f t="shared" si="1"/>
        <v>2564.5105120192325</v>
      </c>
      <c r="L11" s="13"/>
    </row>
    <row r="12" spans="1:12">
      <c r="A12" s="3">
        <v>10.1</v>
      </c>
      <c r="B12" s="3">
        <f>600/70.28</f>
        <v>8.537279453614115</v>
      </c>
      <c r="C12" s="3">
        <f>600/68.15</f>
        <v>8.8041085840058688</v>
      </c>
      <c r="D12" s="3">
        <f>600/72.25</f>
        <v>8.3044982698961931</v>
      </c>
      <c r="E12" s="3">
        <f t="shared" si="2"/>
        <v>8.5486287691720602</v>
      </c>
      <c r="F12" s="3">
        <v>0.38100000000000001</v>
      </c>
      <c r="G12" s="3">
        <f t="shared" si="0"/>
        <v>0.11400908649750001</v>
      </c>
      <c r="H12" s="3">
        <f t="shared" si="3"/>
        <v>74.981995135620309</v>
      </c>
      <c r="I12" s="3">
        <v>17.8</v>
      </c>
      <c r="J12" s="3">
        <v>1.0427000000000001E-2</v>
      </c>
      <c r="K12" s="3">
        <f t="shared" si="1"/>
        <v>2739.8235491197215</v>
      </c>
      <c r="L12" s="13"/>
    </row>
    <row r="13" spans="1:12">
      <c r="A13" s="3">
        <v>11</v>
      </c>
      <c r="B13" s="3">
        <f>600/67.26</f>
        <v>8.9206066012488847</v>
      </c>
      <c r="C13" s="3">
        <f>600/67.08</f>
        <v>8.9445438282647594</v>
      </c>
      <c r="D13" s="3">
        <f>600/66.73</f>
        <v>8.991458114790948</v>
      </c>
      <c r="E13" s="3">
        <f t="shared" si="2"/>
        <v>8.9522028481015301</v>
      </c>
      <c r="F13" s="3">
        <v>0.38100000000000001</v>
      </c>
      <c r="G13" s="3">
        <f t="shared" si="0"/>
        <v>0.11400908649750001</v>
      </c>
      <c r="H13" s="3">
        <f t="shared" si="3"/>
        <v>78.521836487987599</v>
      </c>
      <c r="I13" s="3">
        <v>17.8</v>
      </c>
      <c r="J13" s="3">
        <v>1.0427000000000001E-2</v>
      </c>
      <c r="K13" s="3">
        <f t="shared" si="1"/>
        <v>2869.1684762561881</v>
      </c>
      <c r="L13" s="13"/>
    </row>
    <row r="14" spans="1:12">
      <c r="A14" s="3">
        <v>12</v>
      </c>
      <c r="B14" s="3">
        <f>600/62.62</f>
        <v>9.5816033216224845</v>
      </c>
      <c r="C14" s="3">
        <f>600/64.66</f>
        <v>9.2793071450665021</v>
      </c>
      <c r="D14" s="3">
        <f>600/63.09</f>
        <v>9.5102234902520202</v>
      </c>
      <c r="E14" s="3">
        <f t="shared" si="2"/>
        <v>9.4570446523136678</v>
      </c>
      <c r="F14" s="3">
        <v>0.38100000000000001</v>
      </c>
      <c r="G14" s="3">
        <f t="shared" si="0"/>
        <v>0.11400908649750001</v>
      </c>
      <c r="H14" s="3">
        <f t="shared" si="3"/>
        <v>82.949920421659044</v>
      </c>
      <c r="I14" s="3">
        <v>17.8</v>
      </c>
      <c r="J14" s="3">
        <v>1.0427000000000001E-2</v>
      </c>
      <c r="K14" s="3">
        <f t="shared" si="1"/>
        <v>3030.9695675316098</v>
      </c>
      <c r="L14" s="13"/>
    </row>
    <row r="15" spans="1:12">
      <c r="A15" s="3">
        <v>13</v>
      </c>
      <c r="B15" s="3">
        <f>600/63.58</f>
        <v>9.4369298521547655</v>
      </c>
      <c r="C15" s="3">
        <f>600/60.53</f>
        <v>9.9124401123409882</v>
      </c>
      <c r="D15" s="3">
        <f>600/59.94</f>
        <v>10.01001001001001</v>
      </c>
      <c r="E15" s="3">
        <f t="shared" si="2"/>
        <v>9.7864599915019213</v>
      </c>
      <c r="F15" s="3">
        <v>0.38100000000000001</v>
      </c>
      <c r="G15" s="3">
        <f t="shared" si="0"/>
        <v>0.11400908649750001</v>
      </c>
      <c r="H15" s="3">
        <f t="shared" si="3"/>
        <v>85.839298359052449</v>
      </c>
      <c r="I15" s="3">
        <v>17.8</v>
      </c>
      <c r="J15" s="3">
        <v>1.0427000000000001E-2</v>
      </c>
      <c r="K15" s="3">
        <f t="shared" si="1"/>
        <v>3136.5467224320496</v>
      </c>
      <c r="L15" s="13"/>
    </row>
    <row r="16" spans="1:12">
      <c r="A16" s="3">
        <v>15.1</v>
      </c>
      <c r="B16" s="3">
        <f>600/56.12</f>
        <v>10.691375623663578</v>
      </c>
      <c r="C16" s="3">
        <f>600/56.26</f>
        <v>10.66477070742979</v>
      </c>
      <c r="D16" s="3">
        <f>600/55.97</f>
        <v>10.720028586742899</v>
      </c>
      <c r="E16" s="3">
        <f t="shared" si="2"/>
        <v>10.692058305945423</v>
      </c>
      <c r="F16" s="3">
        <v>0.38100000000000001</v>
      </c>
      <c r="G16" s="3">
        <f t="shared" si="0"/>
        <v>0.11400908649750001</v>
      </c>
      <c r="H16" s="3">
        <f t="shared" si="3"/>
        <v>93.782510100016268</v>
      </c>
      <c r="I16" s="3">
        <v>17.8</v>
      </c>
      <c r="J16" s="3">
        <v>1.0427000000000001E-2</v>
      </c>
      <c r="K16" s="3">
        <f t="shared" si="1"/>
        <v>3426.7897140218852</v>
      </c>
      <c r="L16" s="13"/>
    </row>
    <row r="17" spans="1:11">
      <c r="A17" s="3">
        <v>16.899999999999999</v>
      </c>
      <c r="B17" s="3">
        <f>600/53.5</f>
        <v>11.214953271028037</v>
      </c>
      <c r="C17" s="3">
        <f>600/53.69</f>
        <v>11.175265412553548</v>
      </c>
      <c r="D17" s="3">
        <f>600/52.33</f>
        <v>11.465698452130709</v>
      </c>
      <c r="E17" s="3">
        <f t="shared" si="2"/>
        <v>11.285305711904099</v>
      </c>
      <c r="F17" s="3">
        <v>0.38100000000000001</v>
      </c>
      <c r="G17" s="3">
        <f t="shared" si="0"/>
        <v>0.11400908649750001</v>
      </c>
      <c r="H17" s="3">
        <f t="shared" si="3"/>
        <v>98.986019962115591</v>
      </c>
      <c r="I17" s="3">
        <v>17.8</v>
      </c>
      <c r="J17" s="3">
        <v>1.0427000000000001E-2</v>
      </c>
      <c r="K17" s="3">
        <f t="shared" si="1"/>
        <v>3616.9246768549001</v>
      </c>
    </row>
    <row r="18" spans="1:11">
      <c r="A18" s="3">
        <v>18.899999999999999</v>
      </c>
      <c r="B18" s="3">
        <f>600/49.37</f>
        <v>12.153129430828439</v>
      </c>
      <c r="C18" s="3">
        <f>600/48.36</f>
        <v>12.406947890818859</v>
      </c>
      <c r="D18" s="3">
        <f>600/50.62</f>
        <v>11.85302252074279</v>
      </c>
      <c r="E18" s="3">
        <f t="shared" si="2"/>
        <v>12.137699947463362</v>
      </c>
      <c r="F18" s="3">
        <v>0.38100000000000001</v>
      </c>
      <c r="G18" s="3">
        <f t="shared" si="0"/>
        <v>0.11400908649750001</v>
      </c>
      <c r="H18" s="3">
        <f t="shared" si="3"/>
        <v>106.46256645280215</v>
      </c>
      <c r="I18" s="3">
        <v>17.8</v>
      </c>
      <c r="J18" s="3">
        <v>1.0427000000000001E-2</v>
      </c>
      <c r="K18" s="3">
        <f t="shared" si="1"/>
        <v>3890.1158356687083</v>
      </c>
    </row>
    <row r="19" spans="1:11">
      <c r="A19" s="3">
        <v>21</v>
      </c>
      <c r="B19" s="3">
        <f>600/46.07</f>
        <v>13.023659648361189</v>
      </c>
      <c r="C19" s="3">
        <f>800/62.86</f>
        <v>12.726694241170856</v>
      </c>
      <c r="D19" s="3">
        <f>1200/92.15</f>
        <v>13.022246337493216</v>
      </c>
      <c r="E19" s="3">
        <f t="shared" si="2"/>
        <v>12.924200075675087</v>
      </c>
      <c r="F19" s="3">
        <v>0.38100000000000001</v>
      </c>
      <c r="G19" s="3">
        <f t="shared" si="0"/>
        <v>0.11400908649750001</v>
      </c>
      <c r="H19" s="3">
        <f t="shared" si="3"/>
        <v>113.36114052592193</v>
      </c>
      <c r="I19" s="3">
        <v>17.8</v>
      </c>
      <c r="J19" s="3">
        <v>1.0427000000000001E-2</v>
      </c>
      <c r="K19" s="3">
        <f t="shared" si="1"/>
        <v>4142.188025354968</v>
      </c>
    </row>
    <row r="20" spans="1:11">
      <c r="A20" s="3">
        <v>23.1</v>
      </c>
      <c r="B20" s="3">
        <f>600/44.35</f>
        <v>13.528748590755354</v>
      </c>
      <c r="C20" s="3">
        <f>600/44.19</f>
        <v>13.577732518669382</v>
      </c>
      <c r="D20" s="3">
        <f>600/44.51</f>
        <v>13.480116827679174</v>
      </c>
      <c r="E20" s="3">
        <f t="shared" si="2"/>
        <v>13.528865979034636</v>
      </c>
      <c r="F20" s="3">
        <v>0.38100000000000001</v>
      </c>
      <c r="G20" s="3">
        <f t="shared" si="0"/>
        <v>0.11400908649750001</v>
      </c>
      <c r="H20" s="3">
        <f t="shared" si="3"/>
        <v>118.66480466301515</v>
      </c>
      <c r="I20" s="3">
        <v>17.8</v>
      </c>
      <c r="J20" s="3">
        <v>1.0427000000000001E-2</v>
      </c>
      <c r="K20" s="3">
        <f t="shared" si="1"/>
        <v>4335.9826006146322</v>
      </c>
    </row>
    <row r="21" spans="1:11">
      <c r="A21" s="3">
        <v>25</v>
      </c>
      <c r="B21" s="3">
        <f>600/43.76</f>
        <v>13.711151736745887</v>
      </c>
      <c r="C21" s="3">
        <f>600/41.76</f>
        <v>14.367816091954024</v>
      </c>
      <c r="D21" s="3">
        <f>600/42.44</f>
        <v>14.137606032045241</v>
      </c>
      <c r="E21" s="3">
        <f t="shared" si="2"/>
        <v>14.07219128691505</v>
      </c>
      <c r="F21" s="3">
        <v>0.38100000000000001</v>
      </c>
      <c r="G21" s="3">
        <f t="shared" si="0"/>
        <v>0.11400908649750001</v>
      </c>
      <c r="H21" s="3">
        <f t="shared" si="3"/>
        <v>123.43043628565189</v>
      </c>
      <c r="I21" s="3">
        <v>17.8</v>
      </c>
      <c r="J21" s="3">
        <v>1.0427000000000001E-2</v>
      </c>
      <c r="K21" s="3">
        <f t="shared" si="1"/>
        <v>4510.117600923887</v>
      </c>
    </row>
  </sheetData>
  <pageMargins left="0.75" right="0.75" top="1" bottom="1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23"/>
  <sheetViews>
    <sheetView workbookViewId="0">
      <selection activeCell="F2" sqref="F2"/>
    </sheetView>
  </sheetViews>
  <sheetFormatPr defaultColWidth="11.33203125" defaultRowHeight="15" customHeight="1"/>
  <cols>
    <col min="1" max="1" width="11.33203125" customWidth="1"/>
    <col min="2" max="4" width="9.6640625" customWidth="1"/>
    <col min="5" max="5" width="11.6640625" customWidth="1"/>
    <col min="6" max="6" width="6.6640625" customWidth="1"/>
    <col min="7" max="8" width="9.6640625" customWidth="1"/>
    <col min="9" max="9" width="6.6640625" customWidth="1"/>
    <col min="10" max="10" width="7.33203125" customWidth="1"/>
    <col min="11" max="11" width="9.6640625" customWidth="1"/>
    <col min="12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32</v>
      </c>
    </row>
    <row r="2" spans="1:12">
      <c r="A2" s="3">
        <v>0</v>
      </c>
      <c r="B2" s="3"/>
      <c r="C2" s="3"/>
      <c r="D2" s="3"/>
      <c r="E2" s="3">
        <f t="shared" ref="E2:E21" si="0">(B2+C2+D2)/3</f>
        <v>0</v>
      </c>
      <c r="F2" s="3">
        <f t="shared" ref="F2:F21" si="1">0.50546</f>
        <v>0.50546000000000002</v>
      </c>
      <c r="G2" s="3">
        <f t="shared" ref="G2:G21" si="2">3.14159*F2*F2/4</f>
        <v>0.200661059306111</v>
      </c>
      <c r="H2" s="3">
        <f t="shared" ref="H2:H21" si="3">E2/G2</f>
        <v>0</v>
      </c>
      <c r="I2" s="3">
        <v>17.8</v>
      </c>
      <c r="J2" s="3">
        <v>1.0337000000000001E-2</v>
      </c>
      <c r="K2" s="3">
        <f t="shared" ref="K2:K21" si="4">H2*F2/J2</f>
        <v>0</v>
      </c>
      <c r="L2" s="13"/>
    </row>
    <row r="3" spans="1:12">
      <c r="A3" s="3">
        <v>1</v>
      </c>
      <c r="B3" s="3">
        <f>600/153.78</f>
        <v>3.9016777214202105</v>
      </c>
      <c r="C3" s="3">
        <f>400/103.97</f>
        <v>3.8472636337405022</v>
      </c>
      <c r="D3" s="3">
        <f>400/105.01</f>
        <v>3.8091610322826397</v>
      </c>
      <c r="E3" s="3">
        <f t="shared" si="0"/>
        <v>3.8527007958144508</v>
      </c>
      <c r="F3" s="3">
        <f t="shared" si="1"/>
        <v>0.50546000000000002</v>
      </c>
      <c r="G3" s="3">
        <f t="shared" si="2"/>
        <v>0.200661059306111</v>
      </c>
      <c r="H3" s="3">
        <f t="shared" si="3"/>
        <v>19.200042146379317</v>
      </c>
      <c r="I3" s="3">
        <v>17.8</v>
      </c>
      <c r="J3" s="3">
        <v>1.0337000000000001E-2</v>
      </c>
      <c r="K3" s="3">
        <f t="shared" si="4"/>
        <v>938.84621295432817</v>
      </c>
      <c r="L3" s="13"/>
    </row>
    <row r="4" spans="1:12">
      <c r="A4" s="3">
        <v>2</v>
      </c>
      <c r="B4" s="3">
        <f>600/95.5</f>
        <v>6.2827225130890056</v>
      </c>
      <c r="C4" s="3">
        <f t="shared" ref="C4:D4" si="5">600/95.41</f>
        <v>6.2886489885756216</v>
      </c>
      <c r="D4" s="3">
        <f t="shared" si="5"/>
        <v>6.2886489885756216</v>
      </c>
      <c r="E4" s="3">
        <f t="shared" si="0"/>
        <v>6.2866734967467499</v>
      </c>
      <c r="F4" s="3">
        <f t="shared" si="1"/>
        <v>0.50546000000000002</v>
      </c>
      <c r="G4" s="3">
        <f t="shared" si="2"/>
        <v>0.200661059306111</v>
      </c>
      <c r="H4" s="3">
        <f t="shared" si="3"/>
        <v>31.329813160989794</v>
      </c>
      <c r="I4" s="3">
        <v>17.8</v>
      </c>
      <c r="J4" s="3">
        <v>1.0337000000000001E-2</v>
      </c>
      <c r="K4" s="3">
        <f t="shared" si="4"/>
        <v>1531.9693683229079</v>
      </c>
      <c r="L4" s="13"/>
    </row>
    <row r="5" spans="1:12">
      <c r="A5" s="3">
        <v>2.9</v>
      </c>
      <c r="B5" s="3">
        <f>600/70.9</f>
        <v>8.4626234132581093</v>
      </c>
      <c r="C5" s="3">
        <f>600/75.3</f>
        <v>7.9681274900398407</v>
      </c>
      <c r="D5" s="3">
        <f>600/74.93</f>
        <v>8.0074736420659267</v>
      </c>
      <c r="E5" s="3">
        <f t="shared" si="0"/>
        <v>8.1460748484546244</v>
      </c>
      <c r="F5" s="3">
        <f t="shared" si="1"/>
        <v>0.50546000000000002</v>
      </c>
      <c r="G5" s="3">
        <f t="shared" si="2"/>
        <v>0.200661059306111</v>
      </c>
      <c r="H5" s="3">
        <f t="shared" si="3"/>
        <v>40.596191790394585</v>
      </c>
      <c r="I5" s="3">
        <v>17.8</v>
      </c>
      <c r="J5" s="3">
        <v>1.0337000000000001E-2</v>
      </c>
      <c r="K5" s="3">
        <f t="shared" si="4"/>
        <v>1985.0779822359336</v>
      </c>
      <c r="L5" s="13"/>
    </row>
    <row r="6" spans="1:12">
      <c r="A6" s="3">
        <v>4</v>
      </c>
      <c r="B6" s="3">
        <f>800/83.75</f>
        <v>9.5522388059701484</v>
      </c>
      <c r="C6" s="3">
        <f>800/83.43</f>
        <v>9.5888769027927587</v>
      </c>
      <c r="D6" s="3">
        <f>1600/167.18</f>
        <v>9.5705227898073932</v>
      </c>
      <c r="E6" s="3">
        <f t="shared" si="0"/>
        <v>9.5705461661901001</v>
      </c>
      <c r="F6" s="3">
        <f t="shared" si="1"/>
        <v>0.50546000000000002</v>
      </c>
      <c r="G6" s="3">
        <f t="shared" si="2"/>
        <v>0.200661059306111</v>
      </c>
      <c r="H6" s="3">
        <f t="shared" si="3"/>
        <v>47.69508443384678</v>
      </c>
      <c r="I6" s="3">
        <v>17.8</v>
      </c>
      <c r="J6" s="3">
        <v>1.0337000000000001E-2</v>
      </c>
      <c r="K6" s="3">
        <f t="shared" si="4"/>
        <v>2332.2005783043624</v>
      </c>
      <c r="L6" s="13"/>
    </row>
    <row r="7" spans="1:12">
      <c r="A7" s="3">
        <v>5</v>
      </c>
      <c r="B7" s="3">
        <f>800/72.44</f>
        <v>11.043622308117063</v>
      </c>
      <c r="C7" s="3">
        <f>800/71.82</f>
        <v>11.138958507379561</v>
      </c>
      <c r="D7" s="3">
        <f>1600/144.36</f>
        <v>11.083402604599611</v>
      </c>
      <c r="E7" s="3">
        <f t="shared" si="0"/>
        <v>11.088661140032078</v>
      </c>
      <c r="F7" s="3">
        <f t="shared" si="1"/>
        <v>0.50546000000000002</v>
      </c>
      <c r="G7" s="3">
        <f t="shared" si="2"/>
        <v>0.200661059306111</v>
      </c>
      <c r="H7" s="3">
        <f t="shared" si="3"/>
        <v>55.260652855999254</v>
      </c>
      <c r="I7" s="3">
        <v>17.8</v>
      </c>
      <c r="J7" s="3">
        <v>1.0337000000000001E-2</v>
      </c>
      <c r="K7" s="3">
        <f t="shared" si="4"/>
        <v>2702.1427486304906</v>
      </c>
      <c r="L7" s="13"/>
    </row>
    <row r="8" spans="1:12">
      <c r="A8" s="3">
        <v>6</v>
      </c>
      <c r="B8" s="3">
        <f>800/65.19</f>
        <v>12.271820831415862</v>
      </c>
      <c r="C8" s="3">
        <f>800/64.9</f>
        <v>12.326656394453003</v>
      </c>
      <c r="D8" s="3">
        <f>1600/129.99</f>
        <v>12.308639126086621</v>
      </c>
      <c r="E8" s="3">
        <f t="shared" si="0"/>
        <v>12.302372117318496</v>
      </c>
      <c r="F8" s="3">
        <f t="shared" si="1"/>
        <v>0.50546000000000002</v>
      </c>
      <c r="G8" s="3">
        <f t="shared" si="2"/>
        <v>0.200661059306111</v>
      </c>
      <c r="H8" s="3">
        <f t="shared" si="3"/>
        <v>61.309215449476277</v>
      </c>
      <c r="I8" s="3">
        <v>17.8</v>
      </c>
      <c r="J8" s="3">
        <v>1.0337000000000001E-2</v>
      </c>
      <c r="K8" s="3">
        <f t="shared" si="4"/>
        <v>2997.9061663047573</v>
      </c>
      <c r="L8" s="13"/>
    </row>
    <row r="9" spans="1:12">
      <c r="A9" s="3">
        <v>6.9</v>
      </c>
      <c r="B9" s="3">
        <f>1000/73.6</f>
        <v>13.586956521739131</v>
      </c>
      <c r="C9" s="3">
        <f>1000/75.11</f>
        <v>13.313806417254693</v>
      </c>
      <c r="D9" s="3">
        <f>2000/148.71</f>
        <v>13.448994687647097</v>
      </c>
      <c r="E9" s="3">
        <f t="shared" si="0"/>
        <v>13.449919208880308</v>
      </c>
      <c r="F9" s="3">
        <f t="shared" si="1"/>
        <v>0.50546000000000002</v>
      </c>
      <c r="G9" s="3">
        <f t="shared" si="2"/>
        <v>0.200661059306111</v>
      </c>
      <c r="H9" s="3">
        <f t="shared" si="3"/>
        <v>67.02804846834924</v>
      </c>
      <c r="I9" s="3">
        <v>17.8</v>
      </c>
      <c r="J9" s="3">
        <v>1.0337000000000001E-2</v>
      </c>
      <c r="K9" s="3">
        <f t="shared" si="4"/>
        <v>3277.5464234121896</v>
      </c>
      <c r="L9" s="13"/>
    </row>
    <row r="10" spans="1:12">
      <c r="A10" s="3">
        <v>7.9</v>
      </c>
      <c r="B10" s="3">
        <f>1000/69.09</f>
        <v>14.473874656245476</v>
      </c>
      <c r="C10" s="3">
        <f>1000/69.18</f>
        <v>14.455044810638912</v>
      </c>
      <c r="D10" s="3">
        <f>2000/138.27</f>
        <v>14.46445360526506</v>
      </c>
      <c r="E10" s="3">
        <f t="shared" si="0"/>
        <v>14.464457690716481</v>
      </c>
      <c r="F10" s="3">
        <f t="shared" si="1"/>
        <v>0.50546000000000002</v>
      </c>
      <c r="G10" s="3">
        <f t="shared" si="2"/>
        <v>0.200661059306111</v>
      </c>
      <c r="H10" s="3">
        <f t="shared" si="3"/>
        <v>72.084029361425664</v>
      </c>
      <c r="I10" s="3">
        <v>17.8</v>
      </c>
      <c r="J10" s="3">
        <v>1.0337000000000001E-2</v>
      </c>
      <c r="K10" s="3">
        <f t="shared" si="4"/>
        <v>3524.7744491657363</v>
      </c>
      <c r="L10" s="13"/>
    </row>
    <row r="11" spans="1:12">
      <c r="A11" s="3">
        <v>9</v>
      </c>
      <c r="B11" s="3">
        <f>1000/63.9</f>
        <v>15.649452269170579</v>
      </c>
      <c r="C11" s="3">
        <f>1000/65.3</f>
        <v>15.313935681470138</v>
      </c>
      <c r="D11" s="3">
        <f>2000/129.2</f>
        <v>15.479876160990713</v>
      </c>
      <c r="E11" s="3">
        <f t="shared" si="0"/>
        <v>15.481088037210476</v>
      </c>
      <c r="F11" s="3">
        <f t="shared" si="1"/>
        <v>0.50546000000000002</v>
      </c>
      <c r="G11" s="3">
        <f t="shared" si="2"/>
        <v>0.200661059306111</v>
      </c>
      <c r="H11" s="3">
        <f t="shared" si="3"/>
        <v>77.150435120517727</v>
      </c>
      <c r="I11" s="3">
        <v>17.8</v>
      </c>
      <c r="J11" s="3">
        <v>1.0337000000000001E-2</v>
      </c>
      <c r="K11" s="3">
        <f t="shared" si="4"/>
        <v>3772.5122314033947</v>
      </c>
      <c r="L11" s="13"/>
    </row>
    <row r="12" spans="1:12">
      <c r="A12" s="3">
        <v>10</v>
      </c>
      <c r="B12" s="3">
        <f>1000/60.88</f>
        <v>16.425755584756899</v>
      </c>
      <c r="C12" s="3">
        <f>1000/61.93</f>
        <v>16.147263038914904</v>
      </c>
      <c r="D12" s="3">
        <f>2000/122.81</f>
        <v>16.285318785115219</v>
      </c>
      <c r="E12" s="3">
        <f t="shared" si="0"/>
        <v>16.286112469595675</v>
      </c>
      <c r="F12" s="3">
        <f t="shared" si="1"/>
        <v>0.50546000000000002</v>
      </c>
      <c r="G12" s="3">
        <f t="shared" si="2"/>
        <v>0.200661059306111</v>
      </c>
      <c r="H12" s="3">
        <f t="shared" si="3"/>
        <v>81.162296889657114</v>
      </c>
      <c r="I12" s="3">
        <v>17.8</v>
      </c>
      <c r="J12" s="3">
        <v>1.0337000000000001E-2</v>
      </c>
      <c r="K12" s="3">
        <f t="shared" si="4"/>
        <v>3968.6847814497519</v>
      </c>
      <c r="L12" s="13"/>
    </row>
    <row r="13" spans="1:12">
      <c r="A13" s="3">
        <v>11</v>
      </c>
      <c r="B13" s="3">
        <f>1000/57.57</f>
        <v>17.370158068438421</v>
      </c>
      <c r="C13" s="3">
        <f>1000/58.59</f>
        <v>17.067759003242873</v>
      </c>
      <c r="D13" s="3">
        <f>2000/116.16</f>
        <v>17.217630853994489</v>
      </c>
      <c r="E13" s="3">
        <f t="shared" si="0"/>
        <v>17.218515975225262</v>
      </c>
      <c r="F13" s="3">
        <f t="shared" si="1"/>
        <v>0.50546000000000002</v>
      </c>
      <c r="G13" s="3">
        <f t="shared" si="2"/>
        <v>0.200661059306111</v>
      </c>
      <c r="H13" s="3">
        <f t="shared" si="3"/>
        <v>85.808955832123843</v>
      </c>
      <c r="I13" s="3">
        <v>17.8</v>
      </c>
      <c r="J13" s="3">
        <v>1.0337000000000001E-2</v>
      </c>
      <c r="K13" s="3">
        <f t="shared" si="4"/>
        <v>4195.8977280550753</v>
      </c>
      <c r="L13" s="13"/>
    </row>
    <row r="14" spans="1:12">
      <c r="A14" s="3">
        <v>12.1</v>
      </c>
      <c r="B14" s="3">
        <f>1000/54.96</f>
        <v>18.195050946142651</v>
      </c>
      <c r="C14" s="3">
        <f>1000/55.25</f>
        <v>18.099547511312217</v>
      </c>
      <c r="D14" s="3">
        <f>2000/110.21</f>
        <v>18.147173577715272</v>
      </c>
      <c r="E14" s="3">
        <f t="shared" si="0"/>
        <v>18.147257345056712</v>
      </c>
      <c r="F14" s="3">
        <f t="shared" si="1"/>
        <v>0.50546000000000002</v>
      </c>
      <c r="G14" s="3">
        <f t="shared" si="2"/>
        <v>0.200661059306111</v>
      </c>
      <c r="H14" s="3">
        <f t="shared" si="3"/>
        <v>90.437364418438762</v>
      </c>
      <c r="I14" s="3">
        <v>17.8</v>
      </c>
      <c r="J14" s="3">
        <v>1.0337000000000001E-2</v>
      </c>
      <c r="K14" s="3">
        <f t="shared" si="4"/>
        <v>4422.2182663194399</v>
      </c>
      <c r="L14" s="13"/>
    </row>
    <row r="15" spans="1:12">
      <c r="A15" s="3">
        <v>13</v>
      </c>
      <c r="B15" s="3">
        <f>1000/52.45</f>
        <v>19.065776930409914</v>
      </c>
      <c r="C15" s="3">
        <f>1000/53.75</f>
        <v>18.604651162790699</v>
      </c>
      <c r="D15" s="3">
        <f>2000/106.2</f>
        <v>18.832391713747647</v>
      </c>
      <c r="E15" s="3">
        <f t="shared" si="0"/>
        <v>18.834273268982752</v>
      </c>
      <c r="F15" s="3">
        <f t="shared" si="1"/>
        <v>0.50546000000000002</v>
      </c>
      <c r="G15" s="3">
        <f t="shared" si="2"/>
        <v>0.200661059306111</v>
      </c>
      <c r="H15" s="3">
        <f t="shared" si="3"/>
        <v>93.861127485880701</v>
      </c>
      <c r="I15" s="3">
        <v>17.8</v>
      </c>
      <c r="J15" s="3">
        <v>1.0337000000000001E-2</v>
      </c>
      <c r="K15" s="3">
        <f t="shared" si="4"/>
        <v>4589.6338878797769</v>
      </c>
      <c r="L15" s="13"/>
    </row>
    <row r="16" spans="1:12">
      <c r="A16" s="3">
        <v>15</v>
      </c>
      <c r="B16" s="3">
        <f>1000/48.83</f>
        <v>20.47921359819783</v>
      </c>
      <c r="C16" s="3">
        <f>1000/49.69</f>
        <v>20.124773596297043</v>
      </c>
      <c r="D16" s="3">
        <f>2000/98.52</f>
        <v>20.300446609825418</v>
      </c>
      <c r="E16" s="3">
        <f t="shared" si="0"/>
        <v>20.30147793477343</v>
      </c>
      <c r="F16" s="3">
        <f t="shared" si="1"/>
        <v>0.50546000000000002</v>
      </c>
      <c r="G16" s="3">
        <f t="shared" si="2"/>
        <v>0.200661059306111</v>
      </c>
      <c r="H16" s="3">
        <f t="shared" si="3"/>
        <v>101.17298296428939</v>
      </c>
      <c r="I16" s="3">
        <v>17.8</v>
      </c>
      <c r="J16" s="3">
        <v>1.0337000000000001E-2</v>
      </c>
      <c r="K16" s="3">
        <f t="shared" si="4"/>
        <v>4947.1699689590514</v>
      </c>
      <c r="L16" s="13"/>
    </row>
    <row r="17" spans="1:11">
      <c r="A17" s="3">
        <v>16.899999999999999</v>
      </c>
      <c r="B17" s="3">
        <f>1000/46</f>
        <v>21.739130434782609</v>
      </c>
      <c r="C17" s="3">
        <f>1000/46.39</f>
        <v>21.556369907307609</v>
      </c>
      <c r="D17" s="3">
        <f>2000/92.39</f>
        <v>21.647364433380236</v>
      </c>
      <c r="E17" s="3">
        <f t="shared" si="0"/>
        <v>21.647621591823484</v>
      </c>
      <c r="F17" s="3">
        <f t="shared" si="1"/>
        <v>0.50546000000000002</v>
      </c>
      <c r="G17" s="3">
        <f t="shared" si="2"/>
        <v>0.200661059306111</v>
      </c>
      <c r="H17" s="3">
        <f t="shared" si="3"/>
        <v>107.88152752049295</v>
      </c>
      <c r="I17" s="3">
        <v>17.8</v>
      </c>
      <c r="J17" s="3">
        <v>1.0337000000000001E-2</v>
      </c>
      <c r="K17" s="3">
        <f t="shared" si="4"/>
        <v>5275.2052723719034</v>
      </c>
    </row>
    <row r="18" spans="1:11">
      <c r="A18" s="3">
        <v>19</v>
      </c>
      <c r="B18" s="3">
        <f>1000/43.33</f>
        <v>23.078698361412417</v>
      </c>
      <c r="C18" s="3">
        <f>1000/43.79</f>
        <v>22.836263987211694</v>
      </c>
      <c r="D18" s="3">
        <f>2000/87.12</f>
        <v>22.956841138659318</v>
      </c>
      <c r="E18" s="3">
        <f t="shared" si="0"/>
        <v>22.957267829094476</v>
      </c>
      <c r="F18" s="3">
        <f t="shared" si="1"/>
        <v>0.50546000000000002</v>
      </c>
      <c r="G18" s="3">
        <f t="shared" si="2"/>
        <v>0.200661059306111</v>
      </c>
      <c r="H18" s="3">
        <f t="shared" si="3"/>
        <v>114.40818616467519</v>
      </c>
      <c r="I18" s="3">
        <v>17.8</v>
      </c>
      <c r="J18" s="3">
        <v>1.0337000000000001E-2</v>
      </c>
      <c r="K18" s="3">
        <f t="shared" si="4"/>
        <v>5594.346694282357</v>
      </c>
    </row>
    <row r="19" spans="1:11">
      <c r="A19" s="3">
        <v>21</v>
      </c>
      <c r="B19" s="3">
        <f>1000/40.4</f>
        <v>24.752475247524753</v>
      </c>
      <c r="C19" s="3">
        <f>1000/41.67</f>
        <v>23.998080153587711</v>
      </c>
      <c r="D19" s="3">
        <f>2000/82.07</f>
        <v>24.369440721335447</v>
      </c>
      <c r="E19" s="3">
        <f t="shared" si="0"/>
        <v>24.373332040815971</v>
      </c>
      <c r="F19" s="3">
        <f t="shared" si="1"/>
        <v>0.50546000000000002</v>
      </c>
      <c r="G19" s="3">
        <f t="shared" si="2"/>
        <v>0.200661059306111</v>
      </c>
      <c r="H19" s="3">
        <f t="shared" si="3"/>
        <v>121.46518176022455</v>
      </c>
      <c r="I19" s="3">
        <v>17.8</v>
      </c>
      <c r="J19" s="3">
        <v>1.0337000000000001E-2</v>
      </c>
      <c r="K19" s="3">
        <f t="shared" si="4"/>
        <v>5939.4206029334528</v>
      </c>
    </row>
    <row r="20" spans="1:11">
      <c r="A20" s="3">
        <v>23</v>
      </c>
      <c r="B20" s="3">
        <f>1000/39.46</f>
        <v>25.342118601115054</v>
      </c>
      <c r="C20" s="3">
        <f>1000/39.11</f>
        <v>25.568908207619536</v>
      </c>
      <c r="D20" s="3">
        <f>2000/78.57</f>
        <v>25.455008272877691</v>
      </c>
      <c r="E20" s="3">
        <f t="shared" si="0"/>
        <v>25.455345027204093</v>
      </c>
      <c r="F20" s="3">
        <f t="shared" si="1"/>
        <v>0.50546000000000002</v>
      </c>
      <c r="G20" s="3">
        <f t="shared" si="2"/>
        <v>0.200661059306111</v>
      </c>
      <c r="H20" s="3">
        <f t="shared" si="3"/>
        <v>126.85742373347905</v>
      </c>
      <c r="I20" s="3">
        <v>17.8</v>
      </c>
      <c r="J20" s="3">
        <v>1.0337000000000001E-2</v>
      </c>
      <c r="K20" s="3">
        <f t="shared" si="4"/>
        <v>6203.0911676815631</v>
      </c>
    </row>
    <row r="21" spans="1:11">
      <c r="A21" s="3">
        <v>25</v>
      </c>
      <c r="B21" s="3">
        <f>1000/37.19</f>
        <v>26.888948642108094</v>
      </c>
      <c r="C21" s="3">
        <f>1000/37.89</f>
        <v>26.392187912377935</v>
      </c>
      <c r="D21" s="3">
        <f>2000/75.08</f>
        <v>26.638252530633991</v>
      </c>
      <c r="E21" s="3">
        <f t="shared" si="0"/>
        <v>26.639796361706672</v>
      </c>
      <c r="F21" s="3">
        <f t="shared" si="1"/>
        <v>0.50546000000000002</v>
      </c>
      <c r="G21" s="3">
        <f t="shared" si="2"/>
        <v>0.200661059306111</v>
      </c>
      <c r="H21" s="3">
        <f t="shared" si="3"/>
        <v>132.76017007897542</v>
      </c>
      <c r="I21" s="3">
        <v>17.8</v>
      </c>
      <c r="J21" s="3">
        <v>1.0337000000000001E-2</v>
      </c>
      <c r="K21" s="3">
        <f t="shared" si="4"/>
        <v>6491.7244430800929</v>
      </c>
    </row>
    <row r="23" spans="1:11">
      <c r="A23" s="3"/>
      <c r="B23" s="13"/>
      <c r="C23" s="13"/>
      <c r="D23" s="13"/>
      <c r="E23" s="13"/>
      <c r="F23" s="13"/>
      <c r="G23" s="13"/>
      <c r="H23" s="13"/>
      <c r="I23" s="13"/>
      <c r="J23" s="13"/>
      <c r="K23" s="13"/>
    </row>
  </sheetData>
  <pageMargins left="0.75" right="0.75" top="1" bottom="1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22"/>
  <sheetViews>
    <sheetView workbookViewId="0">
      <selection activeCell="F2" sqref="F2"/>
    </sheetView>
  </sheetViews>
  <sheetFormatPr defaultColWidth="11.33203125" defaultRowHeight="15" customHeight="1"/>
  <cols>
    <col min="1" max="1" width="6.6640625" customWidth="1"/>
    <col min="2" max="8" width="9.6640625" customWidth="1"/>
    <col min="9" max="9" width="6.6640625" customWidth="1"/>
    <col min="10" max="10" width="7.33203125" customWidth="1"/>
    <col min="11" max="11" width="9.6640625" customWidth="1"/>
    <col min="12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33</v>
      </c>
    </row>
    <row r="2" spans="1:12">
      <c r="A2" s="3">
        <v>0</v>
      </c>
      <c r="B2" s="13"/>
      <c r="C2" s="13"/>
      <c r="D2" s="13"/>
      <c r="E2" s="3">
        <f t="shared" ref="E2:E22" si="0">(B2+C2+D2)/3</f>
        <v>0</v>
      </c>
      <c r="F2" s="3">
        <v>0.63754</v>
      </c>
      <c r="G2" s="3">
        <f t="shared" ref="G2:G22" si="1">(F2^2)/4*PI()</f>
        <v>0.31923077890621454</v>
      </c>
      <c r="H2" s="3">
        <f t="shared" ref="H2:H22" si="2">E2/G2</f>
        <v>0</v>
      </c>
      <c r="I2" s="3">
        <v>17.8</v>
      </c>
      <c r="J2" s="3">
        <v>1.0161E-2</v>
      </c>
      <c r="K2" s="3">
        <f t="shared" ref="K2:K22" si="3">H2*F2/J2</f>
        <v>0</v>
      </c>
      <c r="L2" s="13"/>
    </row>
    <row r="3" spans="1:12">
      <c r="A3" s="3">
        <v>1.1000000000000001</v>
      </c>
      <c r="B3" s="3">
        <f>600/81.41</f>
        <v>7.3701019530770182</v>
      </c>
      <c r="C3" s="3">
        <f>400/54.92</f>
        <v>7.2833211944646754</v>
      </c>
      <c r="D3" s="3">
        <f>400/53.55</f>
        <v>7.469654528478058</v>
      </c>
      <c r="E3" s="3">
        <f t="shared" si="0"/>
        <v>7.3743592253399184</v>
      </c>
      <c r="F3" s="3">
        <v>0.63754</v>
      </c>
      <c r="G3" s="3">
        <f t="shared" si="1"/>
        <v>0.31923077890621454</v>
      </c>
      <c r="H3" s="3">
        <f t="shared" si="2"/>
        <v>23.100401692489683</v>
      </c>
      <c r="I3" s="3">
        <v>17.8</v>
      </c>
      <c r="J3" s="3">
        <v>1.0161E-2</v>
      </c>
      <c r="K3" s="3">
        <f t="shared" si="3"/>
        <v>1449.4075479805012</v>
      </c>
      <c r="L3" s="13"/>
    </row>
    <row r="4" spans="1:12">
      <c r="A4" s="3">
        <v>2.1</v>
      </c>
      <c r="B4" s="3">
        <f>600/52.13</f>
        <v>11.509687320161134</v>
      </c>
      <c r="C4" s="3">
        <f>600/53.01</f>
        <v>11.318619128466327</v>
      </c>
      <c r="D4" s="3">
        <f>600/53.08</f>
        <v>11.303692539562924</v>
      </c>
      <c r="E4" s="3">
        <f t="shared" si="0"/>
        <v>11.377332996063464</v>
      </c>
      <c r="F4" s="3">
        <v>0.63754</v>
      </c>
      <c r="G4" s="3">
        <f t="shared" si="1"/>
        <v>0.31923077890621454</v>
      </c>
      <c r="H4" s="3">
        <f t="shared" si="2"/>
        <v>35.639837220727273</v>
      </c>
      <c r="I4" s="3">
        <v>17.8</v>
      </c>
      <c r="J4" s="3">
        <v>1.0161E-2</v>
      </c>
      <c r="K4" s="3">
        <f t="shared" si="3"/>
        <v>2236.1796891745366</v>
      </c>
      <c r="L4" s="13"/>
    </row>
    <row r="5" spans="1:12">
      <c r="A5" s="3">
        <v>3</v>
      </c>
      <c r="B5" s="3">
        <f>1000/68.87</f>
        <v>14.52011035283868</v>
      </c>
      <c r="C5" s="3">
        <f>1000/70.59</f>
        <v>14.166312508853945</v>
      </c>
      <c r="D5" s="3">
        <f>2000/139.46</f>
        <v>14.341029685931449</v>
      </c>
      <c r="E5" s="3">
        <f t="shared" si="0"/>
        <v>14.34248418254136</v>
      </c>
      <c r="F5" s="3">
        <v>0.63754</v>
      </c>
      <c r="G5" s="3">
        <f t="shared" si="1"/>
        <v>0.31923077890621454</v>
      </c>
      <c r="H5" s="3">
        <f t="shared" si="2"/>
        <v>44.928262342632628</v>
      </c>
      <c r="I5" s="3">
        <v>17.8</v>
      </c>
      <c r="J5" s="3">
        <v>1.0161E-2</v>
      </c>
      <c r="K5" s="3">
        <f t="shared" si="3"/>
        <v>2818.9710042241909</v>
      </c>
      <c r="L5" s="13"/>
    </row>
    <row r="6" spans="1:12">
      <c r="A6" s="3">
        <v>4</v>
      </c>
      <c r="B6" s="3">
        <f>1000/57.64</f>
        <v>17.349063150589867</v>
      </c>
      <c r="C6" s="3">
        <f>1000/59.61</f>
        <v>16.77570877369569</v>
      </c>
      <c r="D6" s="3">
        <f>2000/117.25</f>
        <v>17.057569296375267</v>
      </c>
      <c r="E6" s="3">
        <f t="shared" si="0"/>
        <v>17.060780406886938</v>
      </c>
      <c r="F6" s="3">
        <v>0.63754</v>
      </c>
      <c r="G6" s="3">
        <f t="shared" si="1"/>
        <v>0.31923077890621454</v>
      </c>
      <c r="H6" s="3">
        <f t="shared" si="2"/>
        <v>53.443406883705137</v>
      </c>
      <c r="I6" s="3">
        <v>17.8</v>
      </c>
      <c r="J6" s="3">
        <v>1.0161E-2</v>
      </c>
      <c r="K6" s="3">
        <f t="shared" si="3"/>
        <v>3353.2437382774697</v>
      </c>
      <c r="L6" s="13"/>
    </row>
    <row r="7" spans="1:12">
      <c r="A7" s="3">
        <v>5.0999999999999996</v>
      </c>
      <c r="B7" s="3">
        <f>1000/50.63</f>
        <v>19.751135690302192</v>
      </c>
      <c r="C7" s="3">
        <f>1000/51.18</f>
        <v>19.538882375928097</v>
      </c>
      <c r="D7" s="3">
        <f>2000/101.81</f>
        <v>19.644435713584127</v>
      </c>
      <c r="E7" s="3">
        <f t="shared" si="0"/>
        <v>19.644817926604805</v>
      </c>
      <c r="F7" s="3">
        <v>0.63754</v>
      </c>
      <c r="G7" s="3">
        <f t="shared" si="1"/>
        <v>0.31923077890621454</v>
      </c>
      <c r="H7" s="3">
        <f t="shared" si="2"/>
        <v>61.537982001341334</v>
      </c>
      <c r="I7" s="3">
        <v>17.8</v>
      </c>
      <c r="J7" s="3">
        <v>1.0161E-2</v>
      </c>
      <c r="K7" s="3">
        <f t="shared" si="3"/>
        <v>3861.1283382674101</v>
      </c>
      <c r="L7" s="13"/>
    </row>
    <row r="8" spans="1:12">
      <c r="A8" s="3">
        <v>6.1</v>
      </c>
      <c r="B8" s="3">
        <f>1000/45.96</f>
        <v>21.758050478677109</v>
      </c>
      <c r="C8" s="3">
        <f>1000/47.54</f>
        <v>21.034917963819943</v>
      </c>
      <c r="D8" s="3">
        <f>2000/93.5</f>
        <v>21.390374331550802</v>
      </c>
      <c r="E8" s="3">
        <f t="shared" si="0"/>
        <v>21.394447591349287</v>
      </c>
      <c r="F8" s="3">
        <v>0.63754</v>
      </c>
      <c r="G8" s="3">
        <f t="shared" si="1"/>
        <v>0.31923077890621454</v>
      </c>
      <c r="H8" s="3">
        <f t="shared" si="2"/>
        <v>67.018749459727601</v>
      </c>
      <c r="I8" s="3">
        <v>17.8</v>
      </c>
      <c r="J8" s="3">
        <v>1.0161E-2</v>
      </c>
      <c r="K8" s="3">
        <f t="shared" si="3"/>
        <v>4205.0126494001315</v>
      </c>
      <c r="L8" s="13"/>
    </row>
    <row r="9" spans="1:12">
      <c r="A9" s="3">
        <v>7</v>
      </c>
      <c r="B9" s="3">
        <f>1000/42.91</f>
        <v>23.304591004427873</v>
      </c>
      <c r="C9" s="3">
        <f>1000/42.68</f>
        <v>23.430178069353328</v>
      </c>
      <c r="D9" s="3">
        <f>2000/85.59</f>
        <v>23.367215796237879</v>
      </c>
      <c r="E9" s="3">
        <f t="shared" si="0"/>
        <v>23.367328290006359</v>
      </c>
      <c r="F9" s="3">
        <v>0.63754</v>
      </c>
      <c r="G9" s="3">
        <f t="shared" si="1"/>
        <v>0.31923077890621454</v>
      </c>
      <c r="H9" s="3">
        <f t="shared" si="2"/>
        <v>73.198857485077738</v>
      </c>
      <c r="I9" s="3">
        <v>17.8</v>
      </c>
      <c r="J9" s="3">
        <v>1.0161E-2</v>
      </c>
      <c r="K9" s="3">
        <f t="shared" si="3"/>
        <v>4592.7762622809232</v>
      </c>
      <c r="L9" s="13"/>
    </row>
    <row r="10" spans="1:12">
      <c r="A10" s="3">
        <v>7.9</v>
      </c>
      <c r="B10" s="3">
        <f>1400/56.71</f>
        <v>24.687004055722095</v>
      </c>
      <c r="C10" s="3">
        <f>1400/56.31</f>
        <v>24.862369028591722</v>
      </c>
      <c r="D10" s="3">
        <f>1400/56.52</f>
        <v>24.769992922859164</v>
      </c>
      <c r="E10" s="3">
        <f t="shared" si="0"/>
        <v>24.773122002390991</v>
      </c>
      <c r="F10" s="3">
        <v>0.63754</v>
      </c>
      <c r="G10" s="3">
        <f t="shared" si="1"/>
        <v>0.31923077890621454</v>
      </c>
      <c r="H10" s="3">
        <f t="shared" si="2"/>
        <v>77.602548498836896</v>
      </c>
      <c r="I10" s="3">
        <v>17.8</v>
      </c>
      <c r="J10" s="3">
        <v>1.0161E-2</v>
      </c>
      <c r="K10" s="3">
        <f t="shared" si="3"/>
        <v>4869.0806780777957</v>
      </c>
      <c r="L10" s="13"/>
    </row>
    <row r="11" spans="1:12">
      <c r="A11" s="3">
        <v>9</v>
      </c>
      <c r="B11" s="3">
        <f>1800/67.28</f>
        <v>26.753864447086801</v>
      </c>
      <c r="C11" s="3">
        <f>1800/67.09</f>
        <v>26.82963183782978</v>
      </c>
      <c r="D11" s="3">
        <f>1400/52.9</f>
        <v>26.465028355387524</v>
      </c>
      <c r="E11" s="3">
        <f t="shared" si="0"/>
        <v>26.682841546768032</v>
      </c>
      <c r="F11" s="3">
        <v>0.63754</v>
      </c>
      <c r="G11" s="3">
        <f t="shared" si="1"/>
        <v>0.31923077890621454</v>
      </c>
      <c r="H11" s="3">
        <f t="shared" si="2"/>
        <v>83.58480231195712</v>
      </c>
      <c r="I11" s="3">
        <v>17.8</v>
      </c>
      <c r="J11" s="3">
        <v>1.0161E-2</v>
      </c>
      <c r="K11" s="3">
        <f t="shared" si="3"/>
        <v>5244.430161004344</v>
      </c>
      <c r="L11" s="13"/>
    </row>
    <row r="12" spans="1:12">
      <c r="A12" s="3">
        <v>10</v>
      </c>
      <c r="B12" s="3">
        <f>1800/63.35</f>
        <v>28.413575374901342</v>
      </c>
      <c r="C12" s="3">
        <f>1800/63.22</f>
        <v>28.472002530844669</v>
      </c>
      <c r="D12" s="3">
        <f>1800/63.75</f>
        <v>28.235294117647058</v>
      </c>
      <c r="E12" s="3">
        <f t="shared" si="0"/>
        <v>28.373624007797691</v>
      </c>
      <c r="F12" s="3">
        <v>0.63754</v>
      </c>
      <c r="G12" s="3">
        <f t="shared" si="1"/>
        <v>0.31923077890621454</v>
      </c>
      <c r="H12" s="3">
        <f t="shared" si="2"/>
        <v>88.88122913778767</v>
      </c>
      <c r="I12" s="3">
        <v>17.8</v>
      </c>
      <c r="J12" s="3">
        <v>1.0161E-2</v>
      </c>
      <c r="K12" s="3">
        <f t="shared" si="3"/>
        <v>5576.748235853277</v>
      </c>
      <c r="L12" s="13"/>
    </row>
    <row r="13" spans="1:12">
      <c r="A13" s="3">
        <v>11</v>
      </c>
      <c r="B13" s="3">
        <f>2000/67.26</f>
        <v>29.73535533749628</v>
      </c>
      <c r="C13" s="3">
        <f>2000/66.9</f>
        <v>29.89536621823617</v>
      </c>
      <c r="D13" s="3">
        <f>2000/67.03</f>
        <v>29.837386244964939</v>
      </c>
      <c r="E13" s="3">
        <f t="shared" si="0"/>
        <v>29.822702600232464</v>
      </c>
      <c r="F13" s="3">
        <v>0.63754</v>
      </c>
      <c r="G13" s="3">
        <f t="shared" si="1"/>
        <v>0.31923077890621454</v>
      </c>
      <c r="H13" s="3">
        <f t="shared" si="2"/>
        <v>93.420511337955759</v>
      </c>
      <c r="I13" s="3">
        <v>17.8</v>
      </c>
      <c r="J13" s="3">
        <v>1.0161E-2</v>
      </c>
      <c r="K13" s="3">
        <f t="shared" si="3"/>
        <v>5861.5601612440032</v>
      </c>
      <c r="L13" s="13"/>
    </row>
    <row r="14" spans="1:12">
      <c r="A14" s="3">
        <v>12</v>
      </c>
      <c r="B14" s="3">
        <f>2000/64.4</f>
        <v>31.05590062111801</v>
      </c>
      <c r="C14" s="3">
        <f>2000/64.28</f>
        <v>31.113876789047914</v>
      </c>
      <c r="D14" s="3">
        <f>2000/64.03</f>
        <v>31.235358425737935</v>
      </c>
      <c r="E14" s="3">
        <f t="shared" si="0"/>
        <v>31.135045278634617</v>
      </c>
      <c r="F14" s="3">
        <v>0.63754</v>
      </c>
      <c r="G14" s="3">
        <f t="shared" si="1"/>
        <v>0.31923077890621454</v>
      </c>
      <c r="H14" s="3">
        <f t="shared" si="2"/>
        <v>97.531464181847113</v>
      </c>
      <c r="I14" s="3">
        <v>17.8</v>
      </c>
      <c r="J14" s="3">
        <v>1.0161E-2</v>
      </c>
      <c r="K14" s="3">
        <f t="shared" si="3"/>
        <v>6119.4970647076871</v>
      </c>
      <c r="L14" s="13"/>
    </row>
    <row r="15" spans="1:12">
      <c r="A15" s="3">
        <v>13</v>
      </c>
      <c r="B15" s="3">
        <f>2000/61.33</f>
        <v>32.610467960215232</v>
      </c>
      <c r="C15" s="3">
        <f>2000/61.32</f>
        <v>32.615786040443574</v>
      </c>
      <c r="D15" s="3">
        <f>2000/61.25</f>
        <v>32.653061224489797</v>
      </c>
      <c r="E15" s="3">
        <f t="shared" si="0"/>
        <v>32.62643840838286</v>
      </c>
      <c r="F15" s="3">
        <v>0.63754</v>
      </c>
      <c r="G15" s="3">
        <f t="shared" si="1"/>
        <v>0.31923077890621454</v>
      </c>
      <c r="H15" s="3">
        <f t="shared" si="2"/>
        <v>102.20329794066645</v>
      </c>
      <c r="I15" s="3">
        <v>17.8</v>
      </c>
      <c r="J15" s="3">
        <v>1.0161E-2</v>
      </c>
      <c r="K15" s="3">
        <f t="shared" si="3"/>
        <v>6412.6257818219156</v>
      </c>
      <c r="L15" s="13"/>
    </row>
    <row r="16" spans="1:12">
      <c r="A16" s="3">
        <v>15</v>
      </c>
      <c r="B16" s="3">
        <f>2000/56.65</f>
        <v>35.304501323918799</v>
      </c>
      <c r="C16" s="3">
        <f>2000/56.97</f>
        <v>35.106196243637001</v>
      </c>
      <c r="D16" s="3">
        <f>2000/56.88</f>
        <v>35.161744022503512</v>
      </c>
      <c r="E16" s="3">
        <f t="shared" si="0"/>
        <v>35.190813863353107</v>
      </c>
      <c r="F16" s="3">
        <v>0.63754</v>
      </c>
      <c r="G16" s="3">
        <f t="shared" si="1"/>
        <v>0.31923077890621454</v>
      </c>
      <c r="H16" s="3">
        <f t="shared" si="2"/>
        <v>110.23628105011662</v>
      </c>
      <c r="I16" s="3">
        <v>17.8</v>
      </c>
      <c r="J16" s="3">
        <v>1.0161E-2</v>
      </c>
      <c r="K16" s="3">
        <f t="shared" si="3"/>
        <v>6916.6458636641419</v>
      </c>
      <c r="L16" s="13"/>
    </row>
    <row r="17" spans="1:11">
      <c r="A17" s="3">
        <v>17</v>
      </c>
      <c r="B17" s="3">
        <f>2000/53.5</f>
        <v>37.383177570093459</v>
      </c>
      <c r="C17" s="3">
        <f>2000/53.76</f>
        <v>37.202380952380956</v>
      </c>
      <c r="D17" s="3">
        <f>2000/52.68</f>
        <v>37.965072133637051</v>
      </c>
      <c r="E17" s="3">
        <f t="shared" si="0"/>
        <v>37.516876885370486</v>
      </c>
      <c r="F17" s="3">
        <v>0.63754</v>
      </c>
      <c r="G17" s="3">
        <f t="shared" si="1"/>
        <v>0.31923077890621454</v>
      </c>
      <c r="H17" s="3">
        <f t="shared" si="2"/>
        <v>117.52274330788264</v>
      </c>
      <c r="I17" s="3">
        <v>17.8</v>
      </c>
      <c r="J17" s="3">
        <v>1.0161E-2</v>
      </c>
      <c r="K17" s="3">
        <f t="shared" si="3"/>
        <v>7373.8263722574047</v>
      </c>
    </row>
    <row r="18" spans="1:11">
      <c r="A18" s="3">
        <v>19</v>
      </c>
      <c r="B18" s="3">
        <f>2000/50.7</f>
        <v>39.447731755424059</v>
      </c>
      <c r="C18" s="3">
        <f>2000/50.76</f>
        <v>39.401103230890463</v>
      </c>
      <c r="D18" s="3">
        <f>2000/50.27</f>
        <v>39.785160135269543</v>
      </c>
      <c r="E18" s="3">
        <f t="shared" si="0"/>
        <v>39.544665040528024</v>
      </c>
      <c r="F18" s="3">
        <v>0.63754</v>
      </c>
      <c r="G18" s="3">
        <f t="shared" si="1"/>
        <v>0.31923077890621454</v>
      </c>
      <c r="H18" s="3">
        <f t="shared" si="2"/>
        <v>123.87485058934648</v>
      </c>
      <c r="I18" s="3">
        <v>17.8</v>
      </c>
      <c r="J18" s="3">
        <v>1.0161E-2</v>
      </c>
      <c r="K18" s="3">
        <f t="shared" si="3"/>
        <v>7772.3818762653236</v>
      </c>
    </row>
    <row r="19" spans="1:11">
      <c r="A19" s="3">
        <v>20.9</v>
      </c>
      <c r="B19" s="3">
        <f>2000/48.2</f>
        <v>41.493775933609953</v>
      </c>
      <c r="C19" s="3">
        <f>2000/48.27</f>
        <v>41.433602651750569</v>
      </c>
      <c r="D19" s="3">
        <f>2000/48.19</f>
        <v>41.502386387217264</v>
      </c>
      <c r="E19" s="3">
        <f t="shared" si="0"/>
        <v>41.476588324192591</v>
      </c>
      <c r="F19" s="3">
        <v>0.63754</v>
      </c>
      <c r="G19" s="3">
        <f t="shared" si="1"/>
        <v>0.31923077890621454</v>
      </c>
      <c r="H19" s="3">
        <f t="shared" si="2"/>
        <v>129.9266582824641</v>
      </c>
      <c r="I19" s="3">
        <v>17.8</v>
      </c>
      <c r="J19" s="3">
        <v>1.0161E-2</v>
      </c>
      <c r="K19" s="3">
        <f t="shared" si="3"/>
        <v>8152.0954356266284</v>
      </c>
    </row>
    <row r="20" spans="1:11">
      <c r="A20" s="3">
        <v>22.9</v>
      </c>
      <c r="B20" s="3">
        <f>2000/45.65</f>
        <v>43.81161007667032</v>
      </c>
      <c r="C20" s="3">
        <f>2000/45.38</f>
        <v>44.072278536800347</v>
      </c>
      <c r="D20" s="3">
        <f>2000/45.41</f>
        <v>44.043162299053073</v>
      </c>
      <c r="E20" s="3">
        <f t="shared" si="0"/>
        <v>43.97568363750792</v>
      </c>
      <c r="F20" s="3">
        <v>0.63754</v>
      </c>
      <c r="G20" s="3">
        <f t="shared" si="1"/>
        <v>0.31923077890621454</v>
      </c>
      <c r="H20" s="3">
        <f t="shared" si="2"/>
        <v>137.7551493881088</v>
      </c>
      <c r="I20" s="3">
        <v>17.8</v>
      </c>
      <c r="J20" s="3">
        <v>1.0161E-2</v>
      </c>
      <c r="K20" s="3">
        <f t="shared" si="3"/>
        <v>8643.2849070854136</v>
      </c>
    </row>
    <row r="21" spans="1:11">
      <c r="A21" s="3">
        <v>24</v>
      </c>
      <c r="B21" s="3">
        <f>2000/44.09</f>
        <v>45.361760036289404</v>
      </c>
      <c r="C21" s="3">
        <f>2000/44.7</f>
        <v>44.742729306487696</v>
      </c>
      <c r="D21" s="3">
        <f>2000/44.77</f>
        <v>44.672771945499214</v>
      </c>
      <c r="E21" s="3">
        <f t="shared" si="0"/>
        <v>44.925753762758774</v>
      </c>
      <c r="F21" s="3">
        <v>0.63754</v>
      </c>
      <c r="G21" s="3">
        <f t="shared" si="1"/>
        <v>0.31923077890621454</v>
      </c>
      <c r="H21" s="3">
        <f t="shared" si="2"/>
        <v>140.73127258182495</v>
      </c>
      <c r="I21" s="3">
        <v>17.8</v>
      </c>
      <c r="J21" s="3">
        <v>1.0161E-2</v>
      </c>
      <c r="K21" s="3">
        <f t="shared" si="3"/>
        <v>8830.0182582242578</v>
      </c>
    </row>
    <row r="22" spans="1:11">
      <c r="A22" s="3">
        <v>25</v>
      </c>
      <c r="B22" s="3">
        <f>2000/43.1</f>
        <v>46.403712296983755</v>
      </c>
      <c r="C22" s="3">
        <f>2000/43.01</f>
        <v>46.500813764240874</v>
      </c>
      <c r="D22" s="3">
        <f>2000/43.43</f>
        <v>46.051116739580934</v>
      </c>
      <c r="E22" s="3">
        <f t="shared" si="0"/>
        <v>46.318547600268516</v>
      </c>
      <c r="F22" s="3">
        <v>0.63754</v>
      </c>
      <c r="G22" s="3">
        <f t="shared" si="1"/>
        <v>0.31923077890621454</v>
      </c>
      <c r="H22" s="3">
        <f t="shared" si="2"/>
        <v>145.09424109721027</v>
      </c>
      <c r="I22" s="3">
        <v>17.8</v>
      </c>
      <c r="J22" s="3">
        <v>1.0161E-2</v>
      </c>
      <c r="K22" s="3">
        <f t="shared" si="3"/>
        <v>9103.7675887329442</v>
      </c>
    </row>
  </sheetData>
  <pageMargins left="0.75" right="0.75" top="1" bottom="1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20"/>
  <sheetViews>
    <sheetView workbookViewId="0"/>
  </sheetViews>
  <sheetFormatPr defaultColWidth="11.33203125" defaultRowHeight="15" customHeight="1"/>
  <cols>
    <col min="1" max="1" width="6.6640625" customWidth="1"/>
    <col min="2" max="6" width="9.6640625" customWidth="1"/>
    <col min="7" max="7" width="17.33203125" customWidth="1"/>
    <col min="8" max="8" width="9.44140625" customWidth="1"/>
    <col min="9" max="9" width="7.88671875" customWidth="1"/>
    <col min="10" max="10" width="7.33203125" customWidth="1"/>
    <col min="11" max="11" width="9.6640625" customWidth="1"/>
    <col min="12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34</v>
      </c>
    </row>
    <row r="2" spans="1:12">
      <c r="A2" s="3">
        <v>0</v>
      </c>
      <c r="B2" s="3"/>
      <c r="C2" s="3"/>
      <c r="D2" s="3"/>
      <c r="E2" s="3">
        <f t="shared" ref="E2:E20" si="0">(B2+C2+D2)/3</f>
        <v>0</v>
      </c>
      <c r="F2" s="3">
        <f t="shared" ref="F2:F20" si="1">0.7747</f>
        <v>0.77470000000000006</v>
      </c>
      <c r="G2" s="3">
        <f t="shared" ref="G2:G20" si="2">3.14159*F2*F2/4</f>
        <v>0.47136423428577501</v>
      </c>
      <c r="H2" s="3">
        <f t="shared" ref="H2:H20" si="3">E2/G2</f>
        <v>0</v>
      </c>
      <c r="I2" s="3">
        <v>17.600000000000001</v>
      </c>
      <c r="J2" s="3">
        <v>1.0441000000000001E-2</v>
      </c>
      <c r="K2" s="3">
        <f t="shared" ref="K2:K20" si="4">H2*F2/J2</f>
        <v>0</v>
      </c>
      <c r="L2" s="13"/>
    </row>
    <row r="3" spans="1:12">
      <c r="A3" s="3">
        <v>1.1000000000000001</v>
      </c>
      <c r="B3" s="3">
        <f>1000/71.91</f>
        <v>13.906271728549576</v>
      </c>
      <c r="C3" s="3">
        <f>1000/75.35</f>
        <v>13.271400132714003</v>
      </c>
      <c r="D3" s="3">
        <f>1000/75.87</f>
        <v>13.180440226703571</v>
      </c>
      <c r="E3" s="3">
        <f t="shared" si="0"/>
        <v>13.452704029322383</v>
      </c>
      <c r="F3" s="3">
        <f t="shared" si="1"/>
        <v>0.77470000000000006</v>
      </c>
      <c r="G3" s="3">
        <f t="shared" si="2"/>
        <v>0.47136423428577501</v>
      </c>
      <c r="H3" s="3">
        <f t="shared" si="3"/>
        <v>28.539933772672246</v>
      </c>
      <c r="I3" s="3">
        <v>17.600000000000001</v>
      </c>
      <c r="J3" s="3">
        <v>1.0441000000000001E-2</v>
      </c>
      <c r="K3" s="3">
        <f t="shared" si="4"/>
        <v>2117.6024033798667</v>
      </c>
      <c r="L3" s="13"/>
    </row>
    <row r="4" spans="1:12">
      <c r="A4" s="3">
        <v>2</v>
      </c>
      <c r="B4" s="3">
        <f>1000/51.694</f>
        <v>19.344604789724144</v>
      </c>
      <c r="C4" s="3">
        <f>1000/52.55</f>
        <v>19.029495718363464</v>
      </c>
      <c r="D4" s="3">
        <f>1000/53.01</f>
        <v>18.864365214110546</v>
      </c>
      <c r="E4" s="3">
        <f t="shared" si="0"/>
        <v>19.079488574066051</v>
      </c>
      <c r="F4" s="3">
        <f t="shared" si="1"/>
        <v>0.77470000000000006</v>
      </c>
      <c r="G4" s="3">
        <f t="shared" si="2"/>
        <v>0.47136423428577501</v>
      </c>
      <c r="H4" s="3">
        <f t="shared" si="3"/>
        <v>40.477166459130814</v>
      </c>
      <c r="I4" s="3">
        <v>17.600000000000001</v>
      </c>
      <c r="J4" s="3">
        <v>1.0441000000000001E-2</v>
      </c>
      <c r="K4" s="3">
        <f t="shared" si="4"/>
        <v>3003.3196873756001</v>
      </c>
      <c r="L4" s="13"/>
    </row>
    <row r="5" spans="1:12">
      <c r="A5" s="3">
        <v>3</v>
      </c>
      <c r="B5" s="3">
        <f>1500/62.21</f>
        <v>24.111879119112682</v>
      </c>
      <c r="C5" s="3">
        <f>1500/63.68</f>
        <v>23.555276381909547</v>
      </c>
      <c r="D5" s="3">
        <f>3000/125.89</f>
        <v>23.830328064183018</v>
      </c>
      <c r="E5" s="3">
        <f t="shared" si="0"/>
        <v>23.832494521735082</v>
      </c>
      <c r="F5" s="3">
        <f t="shared" si="1"/>
        <v>0.77470000000000006</v>
      </c>
      <c r="G5" s="3">
        <f t="shared" si="2"/>
        <v>0.47136423428577501</v>
      </c>
      <c r="H5" s="3">
        <f t="shared" si="3"/>
        <v>50.560676411622069</v>
      </c>
      <c r="I5" s="3">
        <v>17.600000000000001</v>
      </c>
      <c r="J5" s="3">
        <v>1.0441000000000001E-2</v>
      </c>
      <c r="K5" s="3">
        <f t="shared" si="4"/>
        <v>3751.4946859576303</v>
      </c>
      <c r="L5" s="13"/>
    </row>
    <row r="6" spans="1:12">
      <c r="A6" s="3">
        <v>4</v>
      </c>
      <c r="B6" s="3">
        <f>1500/53.39</f>
        <v>28.095148904289193</v>
      </c>
      <c r="C6" s="3">
        <f>1500/53.83</f>
        <v>27.865502507895226</v>
      </c>
      <c r="D6" s="3">
        <f>3000/107.22</f>
        <v>27.979854504756574</v>
      </c>
      <c r="E6" s="3">
        <f t="shared" si="0"/>
        <v>27.980168638980331</v>
      </c>
      <c r="F6" s="3">
        <f t="shared" si="1"/>
        <v>0.77470000000000006</v>
      </c>
      <c r="G6" s="3">
        <f t="shared" si="2"/>
        <v>0.47136423428577501</v>
      </c>
      <c r="H6" s="3">
        <f t="shared" si="3"/>
        <v>59.359973888084035</v>
      </c>
      <c r="I6" s="3">
        <v>17.600000000000001</v>
      </c>
      <c r="J6" s="3">
        <v>1.0441000000000001E-2</v>
      </c>
      <c r="K6" s="3">
        <f t="shared" si="4"/>
        <v>4404.3838493533858</v>
      </c>
      <c r="L6" s="13"/>
    </row>
    <row r="7" spans="1:12">
      <c r="A7" s="3">
        <v>5</v>
      </c>
      <c r="B7" s="3">
        <f>1500/46.82</f>
        <v>32.037590773173854</v>
      </c>
      <c r="C7" s="3">
        <f>1500/47.9</f>
        <v>31.315240083507309</v>
      </c>
      <c r="D7" s="3">
        <f>3000/94.72</f>
        <v>31.672297297297298</v>
      </c>
      <c r="E7" s="3">
        <f t="shared" si="0"/>
        <v>31.675042717992824</v>
      </c>
      <c r="F7" s="3">
        <f t="shared" si="1"/>
        <v>0.77470000000000006</v>
      </c>
      <c r="G7" s="3">
        <f t="shared" si="2"/>
        <v>0.47136423428577501</v>
      </c>
      <c r="H7" s="3">
        <f t="shared" si="3"/>
        <v>67.198655337072367</v>
      </c>
      <c r="I7" s="3">
        <v>17.600000000000001</v>
      </c>
      <c r="J7" s="3">
        <v>1.0441000000000001E-2</v>
      </c>
      <c r="K7" s="3">
        <f t="shared" si="4"/>
        <v>4985.9973460042111</v>
      </c>
      <c r="L7" s="13"/>
    </row>
    <row r="8" spans="1:12">
      <c r="A8" s="3">
        <v>5.9</v>
      </c>
      <c r="B8" s="3">
        <f>2000/57.89</f>
        <v>34.548281223009155</v>
      </c>
      <c r="C8" s="3">
        <f>2000/57.76</f>
        <v>34.626038781163437</v>
      </c>
      <c r="D8" s="3">
        <f>4000/115.65</f>
        <v>34.587116299178554</v>
      </c>
      <c r="E8" s="3">
        <f t="shared" si="0"/>
        <v>34.587145434450377</v>
      </c>
      <c r="F8" s="3">
        <f t="shared" si="1"/>
        <v>0.77470000000000006</v>
      </c>
      <c r="G8" s="3">
        <f t="shared" si="2"/>
        <v>0.47136423428577501</v>
      </c>
      <c r="H8" s="3">
        <f t="shared" si="3"/>
        <v>73.376686050136669</v>
      </c>
      <c r="I8" s="3">
        <v>17.600000000000001</v>
      </c>
      <c r="J8" s="3">
        <v>1.0441000000000001E-2</v>
      </c>
      <c r="K8" s="3">
        <f t="shared" si="4"/>
        <v>5444.394088980067</v>
      </c>
      <c r="L8" s="13"/>
    </row>
    <row r="9" spans="1:12">
      <c r="A9" s="3">
        <v>7</v>
      </c>
      <c r="B9" s="3">
        <f>2000/51.95</f>
        <v>38.498556304138596</v>
      </c>
      <c r="C9" s="3">
        <f>2000/53.14</f>
        <v>37.636432066240118</v>
      </c>
      <c r="D9" s="3">
        <f>4000/105.09</f>
        <v>38.062612998382335</v>
      </c>
      <c r="E9" s="3">
        <f t="shared" si="0"/>
        <v>38.065867122920352</v>
      </c>
      <c r="F9" s="3">
        <f t="shared" si="1"/>
        <v>0.77470000000000006</v>
      </c>
      <c r="G9" s="3">
        <f t="shared" si="2"/>
        <v>0.47136423428577501</v>
      </c>
      <c r="H9" s="3">
        <f t="shared" si="3"/>
        <v>80.75679984629906</v>
      </c>
      <c r="I9" s="3">
        <v>17.600000000000001</v>
      </c>
      <c r="J9" s="3">
        <v>1.0441000000000001E-2</v>
      </c>
      <c r="K9" s="3">
        <f t="shared" si="4"/>
        <v>5991.9828408129379</v>
      </c>
      <c r="L9" s="13"/>
    </row>
    <row r="10" spans="1:12">
      <c r="A10" s="3">
        <v>8</v>
      </c>
      <c r="B10" s="3">
        <f>2000/49.02</f>
        <v>40.799673602611179</v>
      </c>
      <c r="C10" s="3">
        <f>2000/49.79</f>
        <v>40.168708576019284</v>
      </c>
      <c r="D10" s="3">
        <f>4000/98.81</f>
        <v>40.481732618156059</v>
      </c>
      <c r="E10" s="3">
        <f t="shared" si="0"/>
        <v>40.483371598928841</v>
      </c>
      <c r="F10" s="3">
        <f t="shared" si="1"/>
        <v>0.77470000000000006</v>
      </c>
      <c r="G10" s="3">
        <f t="shared" si="2"/>
        <v>0.47136423428577501</v>
      </c>
      <c r="H10" s="3">
        <f t="shared" si="3"/>
        <v>85.885539576990695</v>
      </c>
      <c r="I10" s="3">
        <v>17.600000000000001</v>
      </c>
      <c r="J10" s="3">
        <v>1.0441000000000001E-2</v>
      </c>
      <c r="K10" s="3">
        <f t="shared" si="4"/>
        <v>6372.5244239339809</v>
      </c>
      <c r="L10" s="13"/>
    </row>
    <row r="11" spans="1:12">
      <c r="A11" s="3">
        <v>9</v>
      </c>
      <c r="B11" s="3">
        <f>2500/57.08</f>
        <v>43.798177995795378</v>
      </c>
      <c r="C11" s="3">
        <f>2500/58.29</f>
        <v>42.889003259564248</v>
      </c>
      <c r="D11" s="3">
        <f>5000/115.37</f>
        <v>43.338822917569559</v>
      </c>
      <c r="E11" s="3">
        <f t="shared" si="0"/>
        <v>43.342001390976399</v>
      </c>
      <c r="F11" s="3">
        <f t="shared" si="1"/>
        <v>0.77470000000000006</v>
      </c>
      <c r="G11" s="3">
        <f t="shared" si="2"/>
        <v>0.47136423428577501</v>
      </c>
      <c r="H11" s="3">
        <f t="shared" si="3"/>
        <v>91.950127392778285</v>
      </c>
      <c r="I11" s="3">
        <v>17.600000000000001</v>
      </c>
      <c r="J11" s="3">
        <v>1.0441000000000001E-2</v>
      </c>
      <c r="K11" s="3">
        <f t="shared" si="4"/>
        <v>6822.5039451379507</v>
      </c>
      <c r="L11" s="13"/>
    </row>
    <row r="12" spans="1:12">
      <c r="A12" s="3">
        <v>10</v>
      </c>
      <c r="B12" s="3">
        <f>2500/54.56</f>
        <v>45.821114369501466</v>
      </c>
      <c r="C12" s="3">
        <f>2500/54.97</f>
        <v>45.479352374022191</v>
      </c>
      <c r="D12" s="3">
        <f>5000/109.53</f>
        <v>45.649593718615904</v>
      </c>
      <c r="E12" s="3">
        <f t="shared" si="0"/>
        <v>45.650020154046523</v>
      </c>
      <c r="F12" s="3">
        <f t="shared" si="1"/>
        <v>0.77470000000000006</v>
      </c>
      <c r="G12" s="3">
        <f t="shared" si="2"/>
        <v>0.47136423428577501</v>
      </c>
      <c r="H12" s="3">
        <f t="shared" si="3"/>
        <v>96.846593003002823</v>
      </c>
      <c r="I12" s="3">
        <v>17.600000000000001</v>
      </c>
      <c r="J12" s="3">
        <v>1.0441000000000001E-2</v>
      </c>
      <c r="K12" s="3">
        <f t="shared" si="4"/>
        <v>7185.8112823892625</v>
      </c>
      <c r="L12" s="13"/>
    </row>
    <row r="13" spans="1:12">
      <c r="A13" s="3">
        <v>11</v>
      </c>
      <c r="B13" s="3">
        <f>2500/52.25</f>
        <v>47.846889952153113</v>
      </c>
      <c r="C13" s="3">
        <f>2500/51.84</f>
        <v>48.225308641975303</v>
      </c>
      <c r="D13" s="3">
        <f>5000/104.09</f>
        <v>48.035354020559133</v>
      </c>
      <c r="E13" s="3">
        <f t="shared" si="0"/>
        <v>48.035850871562523</v>
      </c>
      <c r="F13" s="3">
        <f t="shared" si="1"/>
        <v>0.77470000000000006</v>
      </c>
      <c r="G13" s="3">
        <f t="shared" si="2"/>
        <v>0.47136423428577501</v>
      </c>
      <c r="H13" s="3">
        <f t="shared" si="3"/>
        <v>101.9081368028439</v>
      </c>
      <c r="I13" s="3">
        <v>17.600000000000001</v>
      </c>
      <c r="J13" s="3">
        <v>1.0441000000000001E-2</v>
      </c>
      <c r="K13" s="3">
        <f t="shared" si="4"/>
        <v>7561.3670703154085</v>
      </c>
      <c r="L13" s="13"/>
    </row>
    <row r="14" spans="1:12">
      <c r="A14" s="3">
        <v>13</v>
      </c>
      <c r="B14" s="3">
        <f>2500/47.45</f>
        <v>52.687038988408851</v>
      </c>
      <c r="C14" s="3">
        <f>2500/47.26</f>
        <v>52.89885738468049</v>
      </c>
      <c r="D14" s="3">
        <f>5000/94.71</f>
        <v>52.792735719564995</v>
      </c>
      <c r="E14" s="3">
        <f t="shared" si="0"/>
        <v>52.792877364218107</v>
      </c>
      <c r="F14" s="3">
        <f t="shared" si="1"/>
        <v>0.77470000000000006</v>
      </c>
      <c r="G14" s="3">
        <f t="shared" si="2"/>
        <v>0.47136423428577501</v>
      </c>
      <c r="H14" s="3">
        <f t="shared" si="3"/>
        <v>112.0001763481513</v>
      </c>
      <c r="I14" s="3">
        <v>17.600000000000001</v>
      </c>
      <c r="J14" s="3">
        <v>1.0441000000000001E-2</v>
      </c>
      <c r="K14" s="3">
        <f t="shared" si="4"/>
        <v>8310.1749465484918</v>
      </c>
      <c r="L14" s="13"/>
    </row>
    <row r="15" spans="1:12">
      <c r="A15" s="3">
        <v>15</v>
      </c>
      <c r="B15" s="3">
        <f>2500/44.01</f>
        <v>56.80527152919791</v>
      </c>
      <c r="C15" s="3">
        <f>2500/44.33</f>
        <v>56.395217685540267</v>
      </c>
      <c r="D15" s="3">
        <f>5000/88.34</f>
        <v>56.599501924383063</v>
      </c>
      <c r="E15" s="3">
        <f t="shared" si="0"/>
        <v>56.599997046373744</v>
      </c>
      <c r="F15" s="3">
        <f t="shared" si="1"/>
        <v>0.77470000000000006</v>
      </c>
      <c r="G15" s="3">
        <f t="shared" si="2"/>
        <v>0.47136423428577501</v>
      </c>
      <c r="H15" s="3">
        <f t="shared" si="3"/>
        <v>120.07698702922535</v>
      </c>
      <c r="I15" s="3">
        <v>17.600000000000001</v>
      </c>
      <c r="J15" s="3">
        <v>1.0441000000000001E-2</v>
      </c>
      <c r="K15" s="3">
        <f t="shared" si="4"/>
        <v>8909.4571259018176</v>
      </c>
      <c r="L15" s="13"/>
    </row>
    <row r="16" spans="1:12">
      <c r="A16" s="3">
        <v>17</v>
      </c>
      <c r="B16" s="3">
        <f>2500/41.09</f>
        <v>60.84205402774397</v>
      </c>
      <c r="C16" s="3">
        <f>2500/41.94</f>
        <v>59.60896518836433</v>
      </c>
      <c r="D16" s="3">
        <f>5000/83.03</f>
        <v>60.219197880284234</v>
      </c>
      <c r="E16" s="3">
        <f t="shared" si="0"/>
        <v>60.223405698797514</v>
      </c>
      <c r="F16" s="3">
        <f t="shared" si="1"/>
        <v>0.77470000000000006</v>
      </c>
      <c r="G16" s="3">
        <f t="shared" si="2"/>
        <v>0.47136423428577501</v>
      </c>
      <c r="H16" s="3">
        <f t="shared" si="3"/>
        <v>127.76405445790726</v>
      </c>
      <c r="I16" s="3">
        <v>17.600000000000001</v>
      </c>
      <c r="J16" s="3">
        <v>1.0441000000000001E-2</v>
      </c>
      <c r="K16" s="3">
        <f t="shared" si="4"/>
        <v>9479.8211846126578</v>
      </c>
      <c r="L16" s="13"/>
    </row>
    <row r="17" spans="1:11">
      <c r="A17" s="3">
        <v>19</v>
      </c>
      <c r="B17" s="3">
        <f>2500/39.01</f>
        <v>64.086131761086904</v>
      </c>
      <c r="C17" s="3">
        <f>2500/39.11</f>
        <v>63.922270519048837</v>
      </c>
      <c r="D17" s="3">
        <f>5000/78.12</f>
        <v>64.004096262160772</v>
      </c>
      <c r="E17" s="3">
        <f t="shared" si="0"/>
        <v>64.004166180765495</v>
      </c>
      <c r="F17" s="3">
        <f t="shared" si="1"/>
        <v>0.77470000000000006</v>
      </c>
      <c r="G17" s="3">
        <f t="shared" si="2"/>
        <v>0.47136423428577501</v>
      </c>
      <c r="H17" s="3">
        <f t="shared" si="3"/>
        <v>135.78494405233459</v>
      </c>
      <c r="I17" s="3">
        <v>17.600000000000001</v>
      </c>
      <c r="J17" s="3">
        <v>1.0441000000000001E-2</v>
      </c>
      <c r="K17" s="3">
        <f t="shared" si="4"/>
        <v>10074.954138238063</v>
      </c>
    </row>
    <row r="18" spans="1:11">
      <c r="A18" s="3">
        <v>21</v>
      </c>
      <c r="B18" s="3">
        <f>2500/36.77</f>
        <v>67.990209409844979</v>
      </c>
      <c r="C18" s="3">
        <f>2500/36.94</f>
        <v>67.677314564158095</v>
      </c>
      <c r="D18" s="3">
        <f>5000/73.71</f>
        <v>67.833401166734504</v>
      </c>
      <c r="E18" s="3">
        <f t="shared" si="0"/>
        <v>67.833641713579198</v>
      </c>
      <c r="F18" s="3">
        <f t="shared" si="1"/>
        <v>0.77470000000000006</v>
      </c>
      <c r="G18" s="3">
        <f t="shared" si="2"/>
        <v>0.47136423428577501</v>
      </c>
      <c r="H18" s="3">
        <f t="shared" si="3"/>
        <v>143.90918270742949</v>
      </c>
      <c r="I18" s="3">
        <v>17.600000000000001</v>
      </c>
      <c r="J18" s="3">
        <v>1.0441000000000001E-2</v>
      </c>
      <c r="K18" s="3">
        <f t="shared" si="4"/>
        <v>10677.755372420806</v>
      </c>
    </row>
    <row r="19" spans="1:11">
      <c r="A19" s="3">
        <v>23</v>
      </c>
      <c r="B19" s="3">
        <f>2500/35.25</f>
        <v>70.921985815602838</v>
      </c>
      <c r="C19" s="3">
        <f>2500/34.75</f>
        <v>71.942446043165461</v>
      </c>
      <c r="D19" s="3">
        <f>5000/70</f>
        <v>71.428571428571431</v>
      </c>
      <c r="E19" s="3">
        <f t="shared" si="0"/>
        <v>71.431001095779905</v>
      </c>
      <c r="F19" s="3">
        <f t="shared" si="1"/>
        <v>0.77470000000000006</v>
      </c>
      <c r="G19" s="3">
        <f t="shared" si="2"/>
        <v>0.47136423428577501</v>
      </c>
      <c r="H19" s="3">
        <f t="shared" si="3"/>
        <v>151.54098656639545</v>
      </c>
      <c r="I19" s="3">
        <v>17.600000000000001</v>
      </c>
      <c r="J19" s="3">
        <v>1.0441000000000001E-2</v>
      </c>
      <c r="K19" s="3">
        <f t="shared" si="4"/>
        <v>11244.018991761954</v>
      </c>
    </row>
    <row r="20" spans="1:11">
      <c r="A20" s="3">
        <v>25</v>
      </c>
      <c r="B20" s="3">
        <f>2500/34.09</f>
        <v>73.335288941038414</v>
      </c>
      <c r="C20" s="3">
        <f>3000/40.97</f>
        <v>73.224310471076393</v>
      </c>
      <c r="D20" s="3">
        <f>3000/40.53</f>
        <v>74.019245003700959</v>
      </c>
      <c r="E20" s="3">
        <f t="shared" si="0"/>
        <v>73.526281471938589</v>
      </c>
      <c r="F20" s="3">
        <f t="shared" si="1"/>
        <v>0.77470000000000006</v>
      </c>
      <c r="G20" s="3">
        <f t="shared" si="2"/>
        <v>0.47136423428577501</v>
      </c>
      <c r="H20" s="3">
        <f t="shared" si="3"/>
        <v>155.98612733812479</v>
      </c>
      <c r="I20" s="3">
        <v>17.600000000000001</v>
      </c>
      <c r="J20" s="3">
        <v>1.0441000000000001E-2</v>
      </c>
      <c r="K20" s="3">
        <f t="shared" si="4"/>
        <v>11573.83898561874</v>
      </c>
    </row>
  </sheetData>
  <pageMargins left="0.75" right="0.75" top="1" bottom="1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14"/>
  <sheetViews>
    <sheetView workbookViewId="0"/>
  </sheetViews>
  <sheetFormatPr defaultColWidth="11.33203125" defaultRowHeight="15" customHeight="1"/>
  <cols>
    <col min="1" max="1" width="8.5546875" customWidth="1"/>
    <col min="2" max="4" width="9.6640625" customWidth="1"/>
    <col min="5" max="5" width="12" customWidth="1"/>
    <col min="6" max="6" width="9.6640625" customWidth="1"/>
    <col min="7" max="7" width="15.88671875" customWidth="1"/>
    <col min="8" max="8" width="9.44140625" customWidth="1"/>
    <col min="9" max="10" width="8.5546875" customWidth="1"/>
    <col min="11" max="11" width="9.6640625" customWidth="1"/>
    <col min="12" max="26" width="8.554687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35</v>
      </c>
    </row>
    <row r="2" spans="1:12">
      <c r="A2" s="3">
        <v>0</v>
      </c>
      <c r="B2" s="13"/>
      <c r="C2" s="13"/>
      <c r="D2" s="13"/>
      <c r="E2" s="3">
        <f t="shared" ref="E2:E11" si="0">(B2+C2+D2)/3</f>
        <v>0</v>
      </c>
      <c r="F2" s="3">
        <v>0.14000000000000001</v>
      </c>
      <c r="G2" s="3">
        <f t="shared" ref="G2:G14" si="1">3.14159*F2*F2/4</f>
        <v>1.5393791000000002E-2</v>
      </c>
      <c r="H2" s="3">
        <f t="shared" ref="H2:H14" si="2">E2/G2</f>
        <v>0</v>
      </c>
      <c r="I2" s="3">
        <v>30.8</v>
      </c>
      <c r="J2" s="3">
        <v>1.0276E-2</v>
      </c>
      <c r="K2" s="3">
        <f t="shared" ref="K2:K14" si="3">H2*F2/J2</f>
        <v>0</v>
      </c>
      <c r="L2" s="13"/>
    </row>
    <row r="3" spans="1:12">
      <c r="A3" s="3">
        <v>3</v>
      </c>
      <c r="B3" s="3">
        <f>5/81.94</f>
        <v>6.1020258725896996E-2</v>
      </c>
      <c r="C3" s="3">
        <f>5/73.88</f>
        <v>6.7677314564158098E-2</v>
      </c>
      <c r="D3" s="3">
        <f>5/79.14</f>
        <v>6.3179176143543084E-2</v>
      </c>
      <c r="E3" s="3">
        <f t="shared" si="0"/>
        <v>6.3958916477866057E-2</v>
      </c>
      <c r="F3" s="3">
        <v>0.14000000000000001</v>
      </c>
      <c r="G3" s="3">
        <f t="shared" si="1"/>
        <v>1.5393791000000002E-2</v>
      </c>
      <c r="H3" s="3">
        <f t="shared" si="2"/>
        <v>4.1548515552709562</v>
      </c>
      <c r="I3" s="3">
        <v>30.8</v>
      </c>
      <c r="J3" s="3">
        <v>1.0276E-2</v>
      </c>
      <c r="K3" s="3">
        <f t="shared" si="3"/>
        <v>56.605607020040281</v>
      </c>
      <c r="L3" s="13"/>
    </row>
    <row r="4" spans="1:12">
      <c r="A4" s="3">
        <v>5</v>
      </c>
      <c r="B4" s="3">
        <f>10/84.27</f>
        <v>0.11866619200189867</v>
      </c>
      <c r="C4" s="3">
        <f>10/84.29</f>
        <v>0.11863803535413453</v>
      </c>
      <c r="D4" s="3">
        <f>10/79.26</f>
        <v>0.12616704516780217</v>
      </c>
      <c r="E4" s="3">
        <f t="shared" si="0"/>
        <v>0.12115709084127846</v>
      </c>
      <c r="F4" s="3">
        <v>0.14000000000000001</v>
      </c>
      <c r="G4" s="3">
        <f t="shared" si="1"/>
        <v>1.5393791000000002E-2</v>
      </c>
      <c r="H4" s="3">
        <f t="shared" si="2"/>
        <v>7.8705168103996241</v>
      </c>
      <c r="I4" s="3">
        <v>30.8</v>
      </c>
      <c r="J4" s="3">
        <v>1.0276E-2</v>
      </c>
      <c r="K4" s="3">
        <f t="shared" si="3"/>
        <v>107.22774946048536</v>
      </c>
      <c r="L4" s="13"/>
    </row>
    <row r="5" spans="1:12">
      <c r="A5" s="3">
        <v>7</v>
      </c>
      <c r="B5" s="3">
        <f>10/57.63</f>
        <v>0.17352073572791948</v>
      </c>
      <c r="C5" s="3">
        <f>10/56.14</f>
        <v>0.17812611328820804</v>
      </c>
      <c r="D5" s="3">
        <f>10/56.43</f>
        <v>0.17721070352649301</v>
      </c>
      <c r="E5" s="3">
        <f t="shared" si="0"/>
        <v>0.1762858508475402</v>
      </c>
      <c r="F5" s="3">
        <v>0.14000000000000001</v>
      </c>
      <c r="G5" s="3">
        <f t="shared" si="1"/>
        <v>1.5393791000000002E-2</v>
      </c>
      <c r="H5" s="3">
        <f t="shared" si="2"/>
        <v>11.451750309429313</v>
      </c>
      <c r="I5" s="3">
        <v>30.8</v>
      </c>
      <c r="J5" s="3">
        <v>1.0276E-2</v>
      </c>
      <c r="K5" s="3">
        <f t="shared" si="3"/>
        <v>156.01839658623044</v>
      </c>
      <c r="L5" s="13"/>
    </row>
    <row r="6" spans="1:12">
      <c r="A6" s="3">
        <v>9</v>
      </c>
      <c r="B6" s="3">
        <f>10/43.65</f>
        <v>0.22909507445589922</v>
      </c>
      <c r="C6" s="3">
        <f>10/40.58</f>
        <v>0.24642681123706262</v>
      </c>
      <c r="D6" s="3">
        <f>10/38.61</f>
        <v>0.25900025900025903</v>
      </c>
      <c r="E6" s="3">
        <f t="shared" si="0"/>
        <v>0.24484071489774029</v>
      </c>
      <c r="F6" s="3">
        <v>0.14000000000000001</v>
      </c>
      <c r="G6" s="3">
        <f t="shared" si="1"/>
        <v>1.5393791000000002E-2</v>
      </c>
      <c r="H6" s="3">
        <f t="shared" si="2"/>
        <v>15.905160392117851</v>
      </c>
      <c r="I6" s="3">
        <v>30.8</v>
      </c>
      <c r="J6" s="3">
        <v>1.0276E-2</v>
      </c>
      <c r="K6" s="3">
        <f t="shared" si="3"/>
        <v>216.69155847572003</v>
      </c>
      <c r="L6" s="13"/>
    </row>
    <row r="7" spans="1:12">
      <c r="A7" s="3">
        <v>11</v>
      </c>
      <c r="B7" s="3">
        <f>25/80.9</f>
        <v>0.30902348578491962</v>
      </c>
      <c r="C7" s="3">
        <f>25/82.86</f>
        <v>0.30171373400917212</v>
      </c>
      <c r="D7" s="3">
        <f>25/87.62</f>
        <v>0.28532298561972153</v>
      </c>
      <c r="E7" s="3">
        <f t="shared" si="0"/>
        <v>0.2986867351379377</v>
      </c>
      <c r="F7" s="3">
        <v>0.14000000000000001</v>
      </c>
      <c r="G7" s="3">
        <f t="shared" si="1"/>
        <v>1.5393791000000002E-2</v>
      </c>
      <c r="H7" s="3">
        <f t="shared" si="2"/>
        <v>19.403065504652989</v>
      </c>
      <c r="I7" s="3">
        <v>30.8</v>
      </c>
      <c r="J7" s="3">
        <v>1.0276E-2</v>
      </c>
      <c r="K7" s="3">
        <f t="shared" si="3"/>
        <v>264.34694148028598</v>
      </c>
      <c r="L7" s="13"/>
    </row>
    <row r="8" spans="1:12">
      <c r="A8" s="3">
        <v>13</v>
      </c>
      <c r="B8" s="3">
        <f>25/69.53</f>
        <v>0.35955702574428305</v>
      </c>
      <c r="C8" s="3">
        <f>25/69.36</f>
        <v>0.36043829296424451</v>
      </c>
      <c r="D8" s="3">
        <f>25/72.68</f>
        <v>0.34397358282883872</v>
      </c>
      <c r="E8" s="3">
        <f t="shared" si="0"/>
        <v>0.35465630051245539</v>
      </c>
      <c r="F8" s="3">
        <v>0.14000000000000001</v>
      </c>
      <c r="G8" s="3">
        <f t="shared" si="1"/>
        <v>1.5393791000000002E-2</v>
      </c>
      <c r="H8" s="3">
        <f t="shared" si="2"/>
        <v>23.038918776567471</v>
      </c>
      <c r="I8" s="3">
        <v>30.8</v>
      </c>
      <c r="J8" s="3">
        <v>1.0276E-2</v>
      </c>
      <c r="K8" s="3">
        <f t="shared" si="3"/>
        <v>313.88172720119172</v>
      </c>
      <c r="L8" s="13"/>
    </row>
    <row r="9" spans="1:12">
      <c r="A9" s="3">
        <v>15</v>
      </c>
      <c r="B9" s="3">
        <f>25/62.14</f>
        <v>0.4023173479240425</v>
      </c>
      <c r="C9" s="3">
        <f>25/59.01</f>
        <v>0.42365700728690053</v>
      </c>
      <c r="D9" s="3">
        <f>25/63.04</f>
        <v>0.39657360406091369</v>
      </c>
      <c r="E9" s="3">
        <f t="shared" si="0"/>
        <v>0.4075159864239522</v>
      </c>
      <c r="F9" s="3">
        <v>0.14000000000000001</v>
      </c>
      <c r="G9" s="3">
        <f t="shared" si="1"/>
        <v>1.5393791000000002E-2</v>
      </c>
      <c r="H9" s="3">
        <f t="shared" si="2"/>
        <v>26.472750372143686</v>
      </c>
      <c r="I9" s="3">
        <v>30.8</v>
      </c>
      <c r="J9" s="3">
        <v>1.0276E-2</v>
      </c>
      <c r="K9" s="3">
        <f t="shared" si="3"/>
        <v>360.66417400740715</v>
      </c>
      <c r="L9" s="13"/>
    </row>
    <row r="10" spans="1:12">
      <c r="A10" s="3">
        <v>17</v>
      </c>
      <c r="B10" s="3">
        <f>25/56.44</f>
        <v>0.44294826364280654</v>
      </c>
      <c r="C10" s="3">
        <f>25/52.47</f>
        <v>0.47646274061368404</v>
      </c>
      <c r="D10" s="3">
        <f>25/54.51</f>
        <v>0.458631443771785</v>
      </c>
      <c r="E10" s="3">
        <f t="shared" si="0"/>
        <v>0.45934748267609188</v>
      </c>
      <c r="F10" s="3">
        <v>0.14000000000000001</v>
      </c>
      <c r="G10" s="3">
        <f t="shared" si="1"/>
        <v>1.5393791000000002E-2</v>
      </c>
      <c r="H10" s="3">
        <f t="shared" si="2"/>
        <v>29.839789475905697</v>
      </c>
      <c r="I10" s="3">
        <v>30.8</v>
      </c>
      <c r="J10" s="3">
        <v>1.0276E-2</v>
      </c>
      <c r="K10" s="3">
        <f t="shared" si="3"/>
        <v>406.53664136111303</v>
      </c>
      <c r="L10" s="13"/>
    </row>
    <row r="11" spans="1:12">
      <c r="A11" s="3">
        <v>19</v>
      </c>
      <c r="B11" s="3">
        <f>25/48.27</f>
        <v>0.51792003314688206</v>
      </c>
      <c r="C11" s="3">
        <f>25/48.26</f>
        <v>0.51802735184417736</v>
      </c>
      <c r="D11" s="3">
        <f>25/46.47</f>
        <v>0.53798149343662582</v>
      </c>
      <c r="E11" s="3">
        <f t="shared" si="0"/>
        <v>0.52464295947589512</v>
      </c>
      <c r="F11" s="3">
        <v>0.14000000000000001</v>
      </c>
      <c r="G11" s="3">
        <f t="shared" si="1"/>
        <v>1.5393791000000002E-2</v>
      </c>
      <c r="H11" s="3">
        <f t="shared" si="2"/>
        <v>34.081465668586446</v>
      </c>
      <c r="I11" s="3">
        <v>30.8</v>
      </c>
      <c r="J11" s="3">
        <v>1.0276E-2</v>
      </c>
      <c r="K11" s="3">
        <f t="shared" si="3"/>
        <v>464.32514534858922</v>
      </c>
      <c r="L11" s="13"/>
    </row>
    <row r="12" spans="1:12">
      <c r="A12" s="3">
        <v>21</v>
      </c>
      <c r="B12" s="3">
        <f>25/45.89</f>
        <v>0.54478099803878843</v>
      </c>
      <c r="C12" s="3">
        <f>25/44.11</f>
        <v>0.56676490591702566</v>
      </c>
      <c r="D12" s="3">
        <f>20/35.96</f>
        <v>0.55617352614015569</v>
      </c>
      <c r="E12" s="3">
        <f>(B12+C12+B13)/3</f>
        <v>0.56444905354884289</v>
      </c>
      <c r="F12" s="3">
        <v>0.14000000000000001</v>
      </c>
      <c r="G12" s="3">
        <f t="shared" si="1"/>
        <v>1.5393791000000002E-2</v>
      </c>
      <c r="H12" s="3">
        <f t="shared" si="2"/>
        <v>36.667319541290567</v>
      </c>
      <c r="I12" s="3">
        <v>30.8</v>
      </c>
      <c r="J12" s="3">
        <v>1.0276E-2</v>
      </c>
      <c r="K12" s="3">
        <f t="shared" si="3"/>
        <v>499.55476214292327</v>
      </c>
      <c r="L12" s="13"/>
    </row>
    <row r="13" spans="1:12">
      <c r="A13" s="3">
        <v>23</v>
      </c>
      <c r="B13" s="3">
        <f>25/42.97</f>
        <v>0.58180125669071447</v>
      </c>
      <c r="C13" s="3">
        <f>20/32.97</f>
        <v>0.60661207158022445</v>
      </c>
      <c r="D13" s="3">
        <f>20/33.4</f>
        <v>0.5988023952095809</v>
      </c>
      <c r="E13" s="3">
        <f>(D12+C13+D13)/3</f>
        <v>0.58719599764332042</v>
      </c>
      <c r="F13" s="3">
        <v>0.14000000000000001</v>
      </c>
      <c r="G13" s="3">
        <f t="shared" si="1"/>
        <v>1.5393791000000002E-2</v>
      </c>
      <c r="H13" s="3">
        <f t="shared" si="2"/>
        <v>38.144989602841846</v>
      </c>
      <c r="I13" s="3">
        <v>30.8</v>
      </c>
      <c r="J13" s="3">
        <v>1.0276E-2</v>
      </c>
      <c r="K13" s="3">
        <f t="shared" si="3"/>
        <v>519.68650685070634</v>
      </c>
      <c r="L13" s="13"/>
    </row>
    <row r="14" spans="1:12">
      <c r="A14" s="3">
        <v>25</v>
      </c>
      <c r="B14" s="3">
        <f>50/75.39</f>
        <v>0.66321793341291946</v>
      </c>
      <c r="C14" s="3">
        <f>50/82.26</f>
        <v>0.60782883539995136</v>
      </c>
      <c r="D14" s="3">
        <f>50/73.79</f>
        <v>0.67759859059493155</v>
      </c>
      <c r="E14" s="3">
        <f>(B14+C14+D14)/3</f>
        <v>0.64954845313593412</v>
      </c>
      <c r="F14" s="3">
        <v>0.14000000000000001</v>
      </c>
      <c r="G14" s="3">
        <f t="shared" si="1"/>
        <v>1.5393791000000002E-2</v>
      </c>
      <c r="H14" s="3">
        <f t="shared" si="2"/>
        <v>42.195483434583075</v>
      </c>
      <c r="I14" s="3">
        <v>30.8</v>
      </c>
      <c r="J14" s="3">
        <v>1.0276E-2</v>
      </c>
      <c r="K14" s="3">
        <f t="shared" si="3"/>
        <v>574.87034652020543</v>
      </c>
      <c r="L14" s="13"/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26"/>
  <sheetViews>
    <sheetView workbookViewId="0">
      <selection activeCell="A3" sqref="A3"/>
    </sheetView>
  </sheetViews>
  <sheetFormatPr defaultColWidth="11.33203125" defaultRowHeight="15" customHeight="1"/>
  <cols>
    <col min="1" max="1" width="6.6640625" customWidth="1"/>
    <col min="2" max="4" width="9.6640625" customWidth="1"/>
    <col min="5" max="5" width="11.6640625" customWidth="1"/>
    <col min="6" max="6" width="9.6640625" customWidth="1"/>
    <col min="7" max="7" width="17.33203125" customWidth="1"/>
    <col min="8" max="8" width="9.44140625" customWidth="1"/>
    <col min="9" max="9" width="7.88671875" customWidth="1"/>
    <col min="10" max="10" width="7.33203125" customWidth="1"/>
    <col min="11" max="11" width="9.6640625" customWidth="1"/>
    <col min="12" max="26" width="6.6640625" customWidth="1"/>
  </cols>
  <sheetData>
    <row r="1" spans="1:17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13"/>
      <c r="M1" s="13"/>
      <c r="N1" s="13"/>
      <c r="O1" s="13"/>
      <c r="P1" s="13"/>
      <c r="Q1" s="13"/>
    </row>
    <row r="2" spans="1:17">
      <c r="A2" s="3">
        <v>0</v>
      </c>
      <c r="B2" s="3"/>
      <c r="C2" s="3"/>
      <c r="D2" s="3"/>
      <c r="E2" s="3">
        <v>0</v>
      </c>
      <c r="F2" s="3">
        <v>0.254</v>
      </c>
      <c r="G2" s="3">
        <f t="shared" ref="G2:G25" si="0">(F2^2)/4*PI()</f>
        <v>5.0670747909749778E-2</v>
      </c>
      <c r="H2" s="3">
        <f t="shared" ref="H2:H25" si="1">E2/G2</f>
        <v>0</v>
      </c>
      <c r="I2" s="3">
        <v>30.6</v>
      </c>
      <c r="J2" s="3">
        <v>8.9370000000000005E-3</v>
      </c>
      <c r="K2" s="3">
        <f t="shared" ref="K2:K25" si="2">H2*F2/J2</f>
        <v>0</v>
      </c>
      <c r="L2" s="3"/>
      <c r="M2" s="3"/>
      <c r="N2" s="3"/>
      <c r="O2" s="3"/>
      <c r="P2" s="3"/>
      <c r="Q2" s="3"/>
    </row>
    <row r="3" spans="1:17">
      <c r="A3" s="3">
        <v>2.2000000000000002</v>
      </c>
      <c r="B3" s="3">
        <f>30/50.39</f>
        <v>0.59535622147251444</v>
      </c>
      <c r="C3" s="3">
        <f>30/50.4</f>
        <v>0.59523809523809523</v>
      </c>
      <c r="D3" s="3">
        <f>30/51.44</f>
        <v>0.58320373250388802</v>
      </c>
      <c r="E3" s="3">
        <f t="shared" ref="E3:E25" si="3">SUM(B3:D3)/3</f>
        <v>0.59126601640483256</v>
      </c>
      <c r="F3" s="3">
        <v>0.254</v>
      </c>
      <c r="G3" s="3">
        <f t="shared" si="0"/>
        <v>5.0670747909749778E-2</v>
      </c>
      <c r="H3" s="3">
        <f t="shared" si="1"/>
        <v>11.66878407751042</v>
      </c>
      <c r="I3" s="3">
        <v>30.6</v>
      </c>
      <c r="J3" s="3">
        <v>8.9370000000000005E-3</v>
      </c>
      <c r="K3" s="3">
        <f t="shared" si="2"/>
        <v>331.64050080425721</v>
      </c>
      <c r="L3" s="3"/>
      <c r="M3" s="3"/>
      <c r="N3" s="3"/>
      <c r="O3" s="3"/>
      <c r="P3" s="3"/>
      <c r="Q3" s="3"/>
    </row>
    <row r="4" spans="1:17">
      <c r="A4" s="3">
        <v>3.1</v>
      </c>
      <c r="B4" s="3">
        <f>50/52.38</f>
        <v>0.95456281023291323</v>
      </c>
      <c r="C4" s="3">
        <f>50/58.25</f>
        <v>0.85836909871244638</v>
      </c>
      <c r="D4" s="3">
        <f>50/59.65</f>
        <v>0.83822296730930435</v>
      </c>
      <c r="E4" s="3">
        <f t="shared" si="3"/>
        <v>0.88371829208488795</v>
      </c>
      <c r="F4" s="3">
        <v>0.254</v>
      </c>
      <c r="G4" s="3">
        <f t="shared" si="0"/>
        <v>5.0670747909749778E-2</v>
      </c>
      <c r="H4" s="3">
        <f t="shared" si="1"/>
        <v>17.440403557075737</v>
      </c>
      <c r="I4" s="3">
        <v>30.6</v>
      </c>
      <c r="J4" s="3">
        <v>8.9370000000000005E-3</v>
      </c>
      <c r="K4" s="3">
        <f t="shared" si="2"/>
        <v>495.67668160425609</v>
      </c>
      <c r="L4" s="3"/>
      <c r="M4" s="3"/>
      <c r="N4" s="3"/>
      <c r="O4" s="3"/>
      <c r="P4" s="3"/>
      <c r="Q4" s="3"/>
    </row>
    <row r="5" spans="1:17">
      <c r="A5" s="3">
        <v>4.3</v>
      </c>
      <c r="B5" s="3">
        <f>50/39.08</f>
        <v>1.2794268167860798</v>
      </c>
      <c r="C5" s="3">
        <f>50/43.3</f>
        <v>1.1547344110854505</v>
      </c>
      <c r="D5" s="3">
        <f>50/43.2</f>
        <v>1.1574074074074074</v>
      </c>
      <c r="E5" s="3">
        <f t="shared" si="3"/>
        <v>1.1971895450929793</v>
      </c>
      <c r="F5" s="3">
        <v>0.254</v>
      </c>
      <c r="G5" s="3">
        <f t="shared" si="0"/>
        <v>5.0670747909749778E-2</v>
      </c>
      <c r="H5" s="3">
        <f t="shared" si="1"/>
        <v>23.626837859691879</v>
      </c>
      <c r="I5" s="3">
        <v>30.6</v>
      </c>
      <c r="J5" s="3">
        <v>8.9370000000000005E-3</v>
      </c>
      <c r="K5" s="3">
        <f t="shared" si="2"/>
        <v>671.50238518090384</v>
      </c>
      <c r="L5" s="3"/>
      <c r="M5" s="3"/>
      <c r="N5" s="3"/>
      <c r="O5" s="3"/>
      <c r="P5" s="3"/>
      <c r="Q5" s="3"/>
    </row>
    <row r="6" spans="1:17">
      <c r="A6" s="3">
        <v>5.2</v>
      </c>
      <c r="B6" s="3">
        <f>50/32.57</f>
        <v>1.5351550506601166</v>
      </c>
      <c r="C6" s="3">
        <f>50/34.33</f>
        <v>1.4564520827264784</v>
      </c>
      <c r="D6" s="3">
        <f>50/35.29</f>
        <v>1.4168319637291018</v>
      </c>
      <c r="E6" s="3">
        <f t="shared" si="3"/>
        <v>1.4694796990385657</v>
      </c>
      <c r="F6" s="3">
        <v>0.254</v>
      </c>
      <c r="G6" s="3">
        <f t="shared" si="0"/>
        <v>5.0670747909749778E-2</v>
      </c>
      <c r="H6" s="3">
        <f t="shared" si="1"/>
        <v>29.000552777627675</v>
      </c>
      <c r="I6" s="3">
        <v>30.6</v>
      </c>
      <c r="J6" s="3">
        <v>8.9370000000000005E-3</v>
      </c>
      <c r="K6" s="3">
        <f t="shared" si="2"/>
        <v>824.22965262587331</v>
      </c>
      <c r="L6" s="3"/>
      <c r="M6" s="3"/>
      <c r="N6" s="3"/>
      <c r="O6" s="3"/>
      <c r="P6" s="3"/>
      <c r="Q6" s="3"/>
    </row>
    <row r="7" spans="1:17">
      <c r="A7" s="3">
        <v>6.2</v>
      </c>
      <c r="B7" s="3">
        <f>100/58.27</f>
        <v>1.716148961729878</v>
      </c>
      <c r="C7" s="3">
        <f>100/59.11</f>
        <v>1.6917611233293859</v>
      </c>
      <c r="D7" s="3">
        <f>100/59.12</f>
        <v>1.6914749661705009</v>
      </c>
      <c r="E7" s="3">
        <f t="shared" si="3"/>
        <v>1.6997950170765883</v>
      </c>
      <c r="F7" s="3">
        <v>0.254</v>
      </c>
      <c r="G7" s="3">
        <f t="shared" si="0"/>
        <v>5.0670747909749778E-2</v>
      </c>
      <c r="H7" s="3">
        <f t="shared" si="1"/>
        <v>33.545883713895677</v>
      </c>
      <c r="I7" s="3">
        <v>30.6</v>
      </c>
      <c r="J7" s="3">
        <v>8.9370000000000005E-3</v>
      </c>
      <c r="K7" s="3">
        <f t="shared" si="2"/>
        <v>953.41327775869991</v>
      </c>
      <c r="L7" s="3"/>
      <c r="M7" s="3"/>
      <c r="N7" s="3"/>
      <c r="O7" s="3"/>
      <c r="P7" s="3"/>
      <c r="Q7" s="3"/>
    </row>
    <row r="8" spans="1:17">
      <c r="A8" s="3">
        <v>7.1</v>
      </c>
      <c r="B8" s="3">
        <f>100/51.31</f>
        <v>1.9489378288832586</v>
      </c>
      <c r="C8" s="3">
        <f>100/52.01</f>
        <v>1.9227071716977504</v>
      </c>
      <c r="D8" s="3">
        <f>100/52</f>
        <v>1.9230769230769231</v>
      </c>
      <c r="E8" s="3">
        <f t="shared" si="3"/>
        <v>1.9315739745526441</v>
      </c>
      <c r="F8" s="3">
        <v>0.254</v>
      </c>
      <c r="G8" s="3">
        <f t="shared" si="0"/>
        <v>5.0670747909749778E-2</v>
      </c>
      <c r="H8" s="3">
        <f t="shared" si="1"/>
        <v>38.120099943916195</v>
      </c>
      <c r="I8" s="3">
        <v>30.6</v>
      </c>
      <c r="J8" s="3">
        <v>8.9370000000000005E-3</v>
      </c>
      <c r="K8" s="3">
        <f t="shared" si="2"/>
        <v>1083.4178567477582</v>
      </c>
      <c r="L8" s="3"/>
      <c r="M8" s="3"/>
      <c r="N8" s="3"/>
      <c r="O8" s="3"/>
      <c r="P8" s="3"/>
      <c r="Q8" s="3"/>
    </row>
    <row r="9" spans="1:17">
      <c r="A9" s="3">
        <v>8.1999999999999993</v>
      </c>
      <c r="B9" s="3">
        <f>100/45.39</f>
        <v>2.2031284423881914</v>
      </c>
      <c r="C9" s="3">
        <f>100/44.78</f>
        <v>2.2331397945511386</v>
      </c>
      <c r="D9" s="3">
        <f>100/47.05</f>
        <v>2.1253985122210417</v>
      </c>
      <c r="E9" s="3">
        <f t="shared" si="3"/>
        <v>2.1872222497201239</v>
      </c>
      <c r="F9" s="3">
        <v>0.254</v>
      </c>
      <c r="G9" s="3">
        <f t="shared" si="0"/>
        <v>5.0670747909749778E-2</v>
      </c>
      <c r="H9" s="3">
        <f t="shared" si="1"/>
        <v>43.165383183524533</v>
      </c>
      <c r="I9" s="3">
        <v>30.6</v>
      </c>
      <c r="J9" s="3">
        <v>8.9370000000000005E-3</v>
      </c>
      <c r="K9" s="3">
        <f t="shared" si="2"/>
        <v>1226.8107114932561</v>
      </c>
      <c r="L9" s="3"/>
      <c r="M9" s="3"/>
      <c r="N9" s="3"/>
      <c r="O9" s="3"/>
      <c r="P9" s="3"/>
      <c r="Q9" s="3"/>
    </row>
    <row r="10" spans="1:17">
      <c r="A10" s="3">
        <v>9.3000000000000007</v>
      </c>
      <c r="B10" s="3">
        <f>150/62.81</f>
        <v>2.3881547524279574</v>
      </c>
      <c r="C10" s="3">
        <f>150/63.6</f>
        <v>2.358490566037736</v>
      </c>
      <c r="D10" s="3">
        <f>150/63.59</f>
        <v>2.3588614562038055</v>
      </c>
      <c r="E10" s="3">
        <f t="shared" si="3"/>
        <v>2.3685022582231663</v>
      </c>
      <c r="F10" s="3">
        <v>0.254</v>
      </c>
      <c r="G10" s="3">
        <f t="shared" si="0"/>
        <v>5.0670747909749778E-2</v>
      </c>
      <c r="H10" s="3">
        <f t="shared" si="1"/>
        <v>46.742989908925985</v>
      </c>
      <c r="I10" s="3">
        <v>30.6</v>
      </c>
      <c r="J10" s="3">
        <v>8.9370000000000005E-3</v>
      </c>
      <c r="K10" s="3">
        <f t="shared" si="2"/>
        <v>1328.4904819141993</v>
      </c>
      <c r="L10" s="3"/>
      <c r="M10" s="3"/>
      <c r="N10" s="3"/>
      <c r="O10" s="3"/>
      <c r="P10" s="3"/>
      <c r="Q10" s="3"/>
    </row>
    <row r="11" spans="1:17">
      <c r="A11" s="3">
        <v>10.3</v>
      </c>
      <c r="B11" s="3">
        <f>150/57.77</f>
        <v>2.5965033754543878</v>
      </c>
      <c r="C11" s="3">
        <f>150/58.14</f>
        <v>2.5799793601651189</v>
      </c>
      <c r="D11" s="3">
        <f>150/58.09</f>
        <v>2.5822000344293334</v>
      </c>
      <c r="E11" s="3">
        <f t="shared" si="3"/>
        <v>2.5862275900162799</v>
      </c>
      <c r="F11" s="3">
        <v>0.254</v>
      </c>
      <c r="G11" s="3">
        <f t="shared" si="0"/>
        <v>5.0670747909749778E-2</v>
      </c>
      <c r="H11" s="3">
        <f t="shared" si="1"/>
        <v>51.039854288763173</v>
      </c>
      <c r="I11" s="3">
        <v>30.6</v>
      </c>
      <c r="J11" s="3">
        <v>8.9370000000000005E-3</v>
      </c>
      <c r="K11" s="3">
        <f t="shared" si="2"/>
        <v>1450.6123967042458</v>
      </c>
      <c r="L11" s="3"/>
      <c r="M11" s="3"/>
      <c r="N11" s="3"/>
      <c r="O11" s="3"/>
      <c r="P11" s="3"/>
      <c r="Q11" s="3"/>
    </row>
    <row r="12" spans="1:17">
      <c r="A12" s="3">
        <v>11.4</v>
      </c>
      <c r="B12" s="3">
        <f>150/54.33</f>
        <v>2.7609055770292659</v>
      </c>
      <c r="C12" s="3">
        <f>150/54.28</f>
        <v>2.7634487840825348</v>
      </c>
      <c r="D12" s="3">
        <f>150/54.32</f>
        <v>2.7614138438880707</v>
      </c>
      <c r="E12" s="3">
        <f t="shared" si="3"/>
        <v>2.7619227349999576</v>
      </c>
      <c r="F12" s="3">
        <v>0.254</v>
      </c>
      <c r="G12" s="3">
        <f t="shared" si="0"/>
        <v>5.0670747909749778E-2</v>
      </c>
      <c r="H12" s="3">
        <f t="shared" si="1"/>
        <v>54.507242322912781</v>
      </c>
      <c r="I12" s="3">
        <v>30.6</v>
      </c>
      <c r="J12" s="3">
        <v>8.9370000000000005E-3</v>
      </c>
      <c r="K12" s="3">
        <f t="shared" si="2"/>
        <v>1549.159622918188</v>
      </c>
      <c r="L12" s="3"/>
      <c r="M12" s="3"/>
      <c r="N12" s="3"/>
      <c r="O12" s="3"/>
      <c r="P12" s="3"/>
      <c r="Q12" s="3"/>
    </row>
    <row r="13" spans="1:17">
      <c r="A13" s="3">
        <v>12.3</v>
      </c>
      <c r="B13" s="3">
        <f>150/51.01</f>
        <v>2.9405998823760049</v>
      </c>
      <c r="C13" s="3">
        <f>150/50.78</f>
        <v>2.9539188656951554</v>
      </c>
      <c r="D13" s="3">
        <f>150/50.84</f>
        <v>2.9504327301337527</v>
      </c>
      <c r="E13" s="3">
        <f t="shared" si="3"/>
        <v>2.9483171594016375</v>
      </c>
      <c r="F13" s="3">
        <v>0.254</v>
      </c>
      <c r="G13" s="3">
        <f t="shared" si="0"/>
        <v>5.0670747909749778E-2</v>
      </c>
      <c r="H13" s="3">
        <f t="shared" si="1"/>
        <v>58.185783337023508</v>
      </c>
      <c r="I13" s="3">
        <v>30.6</v>
      </c>
      <c r="J13" s="3">
        <v>8.9370000000000005E-3</v>
      </c>
      <c r="K13" s="3">
        <f t="shared" si="2"/>
        <v>1653.7080639592673</v>
      </c>
      <c r="L13" s="3"/>
      <c r="M13" s="3"/>
      <c r="N13" s="3"/>
      <c r="O13" s="3"/>
      <c r="P13" s="3"/>
      <c r="Q13" s="3"/>
    </row>
    <row r="14" spans="1:17">
      <c r="A14" s="3">
        <v>13.1</v>
      </c>
      <c r="B14" s="3">
        <f>150/51.56</f>
        <v>2.9092319627618308</v>
      </c>
      <c r="C14" s="3">
        <f>150/50.28</f>
        <v>2.9832935560859188</v>
      </c>
      <c r="D14" s="3">
        <f>150/50.72</f>
        <v>2.9574132492113567</v>
      </c>
      <c r="E14" s="3">
        <f t="shared" si="3"/>
        <v>2.9499795893530352</v>
      </c>
      <c r="F14" s="3">
        <v>0.254</v>
      </c>
      <c r="G14" s="3">
        <f t="shared" si="0"/>
        <v>5.0670747909749778E-2</v>
      </c>
      <c r="H14" s="3">
        <f t="shared" si="1"/>
        <v>58.218591811734768</v>
      </c>
      <c r="I14" s="3">
        <v>30.6</v>
      </c>
      <c r="J14" s="3">
        <v>8.9370000000000005E-3</v>
      </c>
      <c r="K14" s="3">
        <f t="shared" si="2"/>
        <v>1654.6405192100963</v>
      </c>
      <c r="L14" s="3"/>
      <c r="M14" s="3"/>
      <c r="N14" s="3"/>
      <c r="O14" s="3"/>
      <c r="P14" s="3"/>
      <c r="Q14" s="3"/>
    </row>
    <row r="15" spans="1:17">
      <c r="A15" s="3">
        <v>14.1</v>
      </c>
      <c r="B15" s="3">
        <f>150/48.25</f>
        <v>3.1088082901554404</v>
      </c>
      <c r="C15" s="3">
        <f>150/48.07</f>
        <v>3.1204493447056376</v>
      </c>
      <c r="D15" s="3">
        <f>150/48.34</f>
        <v>3.1030202730657837</v>
      </c>
      <c r="E15" s="3">
        <f t="shared" si="3"/>
        <v>3.1107593026422875</v>
      </c>
      <c r="F15" s="3">
        <v>0.254</v>
      </c>
      <c r="G15" s="3">
        <f t="shared" si="0"/>
        <v>5.0670747909749778E-2</v>
      </c>
      <c r="H15" s="3">
        <f t="shared" si="1"/>
        <v>61.391620036532615</v>
      </c>
      <c r="I15" s="3">
        <v>30.6</v>
      </c>
      <c r="J15" s="3">
        <v>8.9370000000000005E-3</v>
      </c>
      <c r="K15" s="3">
        <f t="shared" si="2"/>
        <v>1744.8216951190873</v>
      </c>
      <c r="L15" s="3"/>
      <c r="M15" s="3"/>
      <c r="N15" s="3"/>
      <c r="O15" s="3"/>
      <c r="P15" s="3"/>
      <c r="Q15" s="3"/>
    </row>
    <row r="16" spans="1:17">
      <c r="A16" s="3">
        <v>15.1</v>
      </c>
      <c r="B16" s="3">
        <f>150/45.26</f>
        <v>3.3141847105612019</v>
      </c>
      <c r="C16" s="3">
        <f t="shared" ref="C16:D16" si="4">150/44.95</f>
        <v>3.3370411568409342</v>
      </c>
      <c r="D16" s="3">
        <f t="shared" si="4"/>
        <v>3.3370411568409342</v>
      </c>
      <c r="E16" s="3">
        <f t="shared" si="3"/>
        <v>3.3294223414143569</v>
      </c>
      <c r="F16" s="3">
        <v>0.254</v>
      </c>
      <c r="G16" s="3">
        <f t="shared" si="0"/>
        <v>5.0670747909749778E-2</v>
      </c>
      <c r="H16" s="3">
        <f t="shared" si="1"/>
        <v>65.706990300289775</v>
      </c>
      <c r="I16" s="3">
        <v>30.6</v>
      </c>
      <c r="J16" s="3">
        <v>8.9370000000000005E-3</v>
      </c>
      <c r="K16" s="3">
        <f t="shared" si="2"/>
        <v>1867.469568789706</v>
      </c>
      <c r="L16" s="3"/>
      <c r="M16" s="3"/>
      <c r="N16" s="3"/>
      <c r="O16" s="3"/>
      <c r="P16" s="3"/>
      <c r="Q16" s="3"/>
    </row>
    <row r="17" spans="1:17">
      <c r="A17" s="3">
        <v>16.2</v>
      </c>
      <c r="B17" s="3">
        <f>150/41.56</f>
        <v>3.6092396535129931</v>
      </c>
      <c r="C17" s="3">
        <f>150/40.44</f>
        <v>3.7091988130563802</v>
      </c>
      <c r="D17" s="3">
        <f>150/42.15</f>
        <v>3.5587188612099645</v>
      </c>
      <c r="E17" s="3">
        <f t="shared" si="3"/>
        <v>3.6257191092597796</v>
      </c>
      <c r="F17" s="3">
        <v>0.254</v>
      </c>
      <c r="G17" s="3">
        <f t="shared" si="0"/>
        <v>5.0670747909749778E-2</v>
      </c>
      <c r="H17" s="3">
        <f t="shared" si="1"/>
        <v>71.554481803141869</v>
      </c>
      <c r="I17" s="3">
        <v>30.6</v>
      </c>
      <c r="J17" s="3">
        <v>8.9370000000000005E-3</v>
      </c>
      <c r="K17" s="3">
        <f t="shared" si="2"/>
        <v>2033.6621212932791</v>
      </c>
      <c r="L17" s="3"/>
      <c r="M17" s="3"/>
      <c r="N17" s="3"/>
      <c r="O17" s="3"/>
      <c r="P17" s="3"/>
      <c r="Q17" s="3"/>
    </row>
    <row r="18" spans="1:17">
      <c r="A18" s="3">
        <v>17.100000000000001</v>
      </c>
      <c r="B18" s="3">
        <f>150/39.27</f>
        <v>3.8197097020626432</v>
      </c>
      <c r="C18" s="3">
        <f>150/38.41</f>
        <v>3.9052330122363972</v>
      </c>
      <c r="D18" s="3">
        <f>150/38.81</f>
        <v>3.8649832517392424</v>
      </c>
      <c r="E18" s="3">
        <f t="shared" si="3"/>
        <v>3.8633086553460942</v>
      </c>
      <c r="F18" s="3">
        <v>0.254</v>
      </c>
      <c r="G18" s="3">
        <f t="shared" si="0"/>
        <v>5.0670747909749778E-2</v>
      </c>
      <c r="H18" s="3">
        <f t="shared" si="1"/>
        <v>76.243371466059187</v>
      </c>
      <c r="I18" s="3">
        <v>30.6</v>
      </c>
      <c r="J18" s="3">
        <v>8.9370000000000005E-3</v>
      </c>
      <c r="K18" s="3">
        <f t="shared" si="2"/>
        <v>2166.9258534607848</v>
      </c>
      <c r="L18" s="3"/>
      <c r="M18" s="3"/>
      <c r="N18" s="3"/>
      <c r="O18" s="3"/>
      <c r="P18" s="3"/>
      <c r="Q18" s="3"/>
    </row>
    <row r="19" spans="1:17">
      <c r="A19" s="3">
        <v>18.3</v>
      </c>
      <c r="B19" s="3">
        <f>150/38.5</f>
        <v>3.8961038961038961</v>
      </c>
      <c r="C19" s="3">
        <f>150/39.02</f>
        <v>3.8441824705279339</v>
      </c>
      <c r="D19" s="3">
        <f>150/38.2</f>
        <v>3.9267015706806281</v>
      </c>
      <c r="E19" s="3">
        <f t="shared" si="3"/>
        <v>3.8889959791041524</v>
      </c>
      <c r="F19" s="3">
        <v>0.254</v>
      </c>
      <c r="G19" s="3">
        <f t="shared" si="0"/>
        <v>5.0670747909749778E-2</v>
      </c>
      <c r="H19" s="3">
        <f t="shared" si="1"/>
        <v>76.750317284262024</v>
      </c>
      <c r="I19" s="3">
        <v>30.6</v>
      </c>
      <c r="J19" s="3">
        <v>8.9370000000000005E-3</v>
      </c>
      <c r="K19" s="3">
        <f t="shared" si="2"/>
        <v>2181.3338469511641</v>
      </c>
      <c r="L19" s="3"/>
      <c r="M19" s="3"/>
      <c r="N19" s="3"/>
      <c r="O19" s="3"/>
      <c r="P19" s="3"/>
      <c r="Q19" s="3"/>
    </row>
    <row r="20" spans="1:17">
      <c r="A20" s="3">
        <v>19.2</v>
      </c>
      <c r="B20" s="3">
        <f>200/48.09</f>
        <v>4.1588687876897481</v>
      </c>
      <c r="C20" s="3">
        <f>200/48.93</f>
        <v>4.0874718986306968</v>
      </c>
      <c r="D20" s="3">
        <f>200/48.9</f>
        <v>4.0899795501022496</v>
      </c>
      <c r="E20" s="3">
        <f t="shared" si="3"/>
        <v>4.1121067454742315</v>
      </c>
      <c r="F20" s="3">
        <v>0.254</v>
      </c>
      <c r="G20" s="3">
        <f t="shared" si="0"/>
        <v>5.0670747909749778E-2</v>
      </c>
      <c r="H20" s="3">
        <f t="shared" si="1"/>
        <v>81.153464574834175</v>
      </c>
      <c r="I20" s="3">
        <v>30.6</v>
      </c>
      <c r="J20" s="3">
        <v>8.9370000000000005E-3</v>
      </c>
      <c r="K20" s="3">
        <f t="shared" si="2"/>
        <v>2306.4764464594246</v>
      </c>
      <c r="L20" s="3"/>
      <c r="M20" s="3"/>
      <c r="N20" s="3"/>
      <c r="O20" s="3"/>
      <c r="P20" s="3"/>
      <c r="Q20" s="3"/>
    </row>
    <row r="21" spans="1:17">
      <c r="A21" s="3">
        <v>20.3</v>
      </c>
      <c r="B21" s="3">
        <f>200/46.44</f>
        <v>4.3066322136089576</v>
      </c>
      <c r="C21" s="3">
        <f>200/47.03</f>
        <v>4.2526047203912398</v>
      </c>
      <c r="D21" s="3">
        <f>200/46.94</f>
        <v>4.2607584149978699</v>
      </c>
      <c r="E21" s="3">
        <f t="shared" si="3"/>
        <v>4.2733317829993558</v>
      </c>
      <c r="F21" s="3">
        <v>0.254</v>
      </c>
      <c r="G21" s="3">
        <f t="shared" si="0"/>
        <v>5.0670747909749778E-2</v>
      </c>
      <c r="H21" s="3">
        <f t="shared" si="1"/>
        <v>84.335281385832985</v>
      </c>
      <c r="I21" s="3">
        <v>30.6</v>
      </c>
      <c r="J21" s="3">
        <v>8.9370000000000005E-3</v>
      </c>
      <c r="K21" s="3">
        <f t="shared" si="2"/>
        <v>2396.9074042745415</v>
      </c>
      <c r="L21" s="3"/>
      <c r="M21" s="3"/>
      <c r="N21" s="3"/>
      <c r="O21" s="3"/>
      <c r="P21" s="3"/>
      <c r="Q21" s="3"/>
    </row>
    <row r="22" spans="1:17">
      <c r="A22" s="3">
        <v>21.3</v>
      </c>
      <c r="B22" s="3">
        <f>200/42.56</f>
        <v>4.6992481203007515</v>
      </c>
      <c r="C22" s="3">
        <f>200/43.7</f>
        <v>4.5766590389016013</v>
      </c>
      <c r="D22" s="3">
        <f>200/45.18</f>
        <v>4.426737494466578</v>
      </c>
      <c r="E22" s="3">
        <f t="shared" si="3"/>
        <v>4.5675482178896436</v>
      </c>
      <c r="F22" s="3">
        <v>0.254</v>
      </c>
      <c r="G22" s="3">
        <f t="shared" si="0"/>
        <v>5.0670747909749778E-2</v>
      </c>
      <c r="H22" s="3">
        <f t="shared" si="1"/>
        <v>90.141716992710542</v>
      </c>
      <c r="I22" s="3">
        <v>30.6</v>
      </c>
      <c r="J22" s="3">
        <v>8.9370000000000005E-3</v>
      </c>
      <c r="K22" s="3">
        <f t="shared" si="2"/>
        <v>2561.9331001620762</v>
      </c>
      <c r="L22" s="3"/>
      <c r="M22" s="3"/>
      <c r="N22" s="3"/>
      <c r="O22" s="3"/>
      <c r="P22" s="3"/>
      <c r="Q22" s="3"/>
    </row>
    <row r="23" spans="1:17">
      <c r="A23" s="3">
        <v>22.1</v>
      </c>
      <c r="B23" s="3">
        <f>200/44.25</f>
        <v>4.5197740112994351</v>
      </c>
      <c r="C23" s="3">
        <f>200/43.66</f>
        <v>4.5808520384791578</v>
      </c>
      <c r="D23" s="3">
        <f>200/42.16</f>
        <v>4.7438330170777991</v>
      </c>
      <c r="E23" s="3">
        <f t="shared" si="3"/>
        <v>4.6148196889521307</v>
      </c>
      <c r="F23" s="3">
        <v>0.254</v>
      </c>
      <c r="G23" s="3">
        <f t="shared" si="0"/>
        <v>5.0670747909749778E-2</v>
      </c>
      <c r="H23" s="3">
        <f t="shared" si="1"/>
        <v>91.074631406105084</v>
      </c>
      <c r="I23" s="3">
        <v>30.6</v>
      </c>
      <c r="J23" s="3">
        <v>8.9370000000000005E-3</v>
      </c>
      <c r="K23" s="3">
        <f t="shared" si="2"/>
        <v>2588.4476196878918</v>
      </c>
      <c r="L23" s="3"/>
      <c r="M23" s="3"/>
      <c r="N23" s="3"/>
      <c r="O23" s="3"/>
      <c r="P23" s="3"/>
      <c r="Q23" s="3"/>
    </row>
    <row r="24" spans="1:17">
      <c r="A24" s="3">
        <v>23.2</v>
      </c>
      <c r="B24" s="3">
        <f>200/42.84</f>
        <v>4.6685340802987856</v>
      </c>
      <c r="C24" s="3">
        <f>200/42.85</f>
        <v>4.6674445740956827</v>
      </c>
      <c r="D24" s="3">
        <f>200/42.4</f>
        <v>4.716981132075472</v>
      </c>
      <c r="E24" s="3">
        <f t="shared" si="3"/>
        <v>4.6843199288233137</v>
      </c>
      <c r="F24" s="3">
        <v>0.254</v>
      </c>
      <c r="G24" s="3">
        <f t="shared" si="0"/>
        <v>5.0670747909749778E-2</v>
      </c>
      <c r="H24" s="3">
        <f t="shared" si="1"/>
        <v>92.446236182789463</v>
      </c>
      <c r="I24" s="3">
        <v>30.6</v>
      </c>
      <c r="J24" s="3">
        <v>8.9370000000000005E-3</v>
      </c>
      <c r="K24" s="3">
        <f t="shared" si="2"/>
        <v>2627.4302327882424</v>
      </c>
      <c r="L24" s="3"/>
      <c r="M24" s="3"/>
      <c r="N24" s="3"/>
      <c r="O24" s="3"/>
      <c r="P24" s="3"/>
      <c r="Q24" s="3"/>
    </row>
    <row r="25" spans="1:17">
      <c r="A25" s="3">
        <v>24.1</v>
      </c>
      <c r="B25" s="3">
        <f>250/51.91</f>
        <v>4.8160277403197842</v>
      </c>
      <c r="C25" s="3">
        <f>250/52.28</f>
        <v>4.7819433817903594</v>
      </c>
      <c r="D25" s="3">
        <f>250/52.02</f>
        <v>4.805843906189927</v>
      </c>
      <c r="E25" s="3">
        <f t="shared" si="3"/>
        <v>4.8012716761000229</v>
      </c>
      <c r="F25" s="3">
        <v>0.254</v>
      </c>
      <c r="G25" s="3">
        <f t="shared" si="0"/>
        <v>5.0670747909749778E-2</v>
      </c>
      <c r="H25" s="3">
        <f t="shared" si="1"/>
        <v>94.754308435541944</v>
      </c>
      <c r="I25" s="3">
        <v>30.6</v>
      </c>
      <c r="J25" s="3">
        <v>8.9370000000000005E-3</v>
      </c>
      <c r="K25" s="3">
        <f t="shared" si="2"/>
        <v>2693.0283476141494</v>
      </c>
      <c r="L25" s="13"/>
      <c r="M25" s="13"/>
      <c r="N25" s="13"/>
      <c r="O25" s="13"/>
      <c r="P25" s="13"/>
      <c r="Q25" s="13"/>
    </row>
    <row r="26" spans="1:17" ht="1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</sheetData>
  <pageMargins left="0.75" right="0.75" top="1" bottom="1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"/>
  <sheetViews>
    <sheetView workbookViewId="0"/>
  </sheetViews>
  <sheetFormatPr defaultColWidth="11.33203125" defaultRowHeight="15" customHeight="1"/>
  <cols>
    <col min="1" max="1" width="6.6640625" customWidth="1"/>
    <col min="2" max="6" width="9.6640625" customWidth="1"/>
    <col min="7" max="7" width="17.33203125" customWidth="1"/>
    <col min="8" max="8" width="9.44140625" customWidth="1"/>
    <col min="9" max="9" width="7.88671875" customWidth="1"/>
    <col min="10" max="10" width="8.109375" customWidth="1"/>
    <col min="11" max="11" width="9.6640625" customWidth="1"/>
    <col min="12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14</v>
      </c>
    </row>
    <row r="2" spans="1:12">
      <c r="A2" s="3">
        <v>0</v>
      </c>
      <c r="B2" s="3"/>
      <c r="C2" s="3"/>
      <c r="D2" s="3"/>
      <c r="E2" s="3">
        <f t="shared" ref="E2:E20" si="0">(B2+C2+D2)/3</f>
        <v>0</v>
      </c>
      <c r="F2" s="3">
        <v>0.38100000000000001</v>
      </c>
      <c r="G2" s="3">
        <f t="shared" ref="G2:G20" si="1">3.14159*F2*F2/4</f>
        <v>0.11400908649750001</v>
      </c>
      <c r="H2" s="3">
        <f t="shared" ref="H2:H20" si="2">E2/G2</f>
        <v>0</v>
      </c>
      <c r="I2" s="3">
        <v>1.95</v>
      </c>
      <c r="J2" s="3">
        <v>1.0311499999999999E-2</v>
      </c>
      <c r="K2" s="3">
        <f t="shared" ref="K2:K20" si="3">H2*F2/J2</f>
        <v>0</v>
      </c>
      <c r="L2" s="13"/>
    </row>
    <row r="3" spans="1:12">
      <c r="A3" s="3">
        <v>1</v>
      </c>
      <c r="B3" s="3">
        <f>250/74.96</f>
        <v>3.3351120597652084</v>
      </c>
      <c r="C3" s="3">
        <f>250/76.86</f>
        <v>3.2526671870934165</v>
      </c>
      <c r="D3" s="3">
        <f>250/73.96</f>
        <v>3.380205516495403</v>
      </c>
      <c r="E3" s="3">
        <f t="shared" si="0"/>
        <v>3.3226615877846761</v>
      </c>
      <c r="F3" s="3">
        <v>0.38100000000000001</v>
      </c>
      <c r="G3" s="3">
        <f t="shared" si="1"/>
        <v>0.11400908649750001</v>
      </c>
      <c r="H3" s="3">
        <f t="shared" si="2"/>
        <v>29.143831337141144</v>
      </c>
      <c r="I3" s="3">
        <v>1.95</v>
      </c>
      <c r="J3" s="3">
        <v>1.0311499999999999E-2</v>
      </c>
      <c r="K3" s="3">
        <f t="shared" si="3"/>
        <v>1076.8365164574288</v>
      </c>
      <c r="L3" s="13"/>
    </row>
    <row r="4" spans="1:12">
      <c r="A4" s="3">
        <v>2</v>
      </c>
      <c r="B4" s="3">
        <f>500/95.78</f>
        <v>5.2202965128419292</v>
      </c>
      <c r="C4" s="3">
        <f>500/98.11</f>
        <v>5.0963204566303126</v>
      </c>
      <c r="D4" s="3">
        <f>500/101.68</f>
        <v>4.9173878835562546</v>
      </c>
      <c r="E4" s="3">
        <f t="shared" si="0"/>
        <v>5.0780016176761658</v>
      </c>
      <c r="F4" s="3">
        <v>0.38100000000000001</v>
      </c>
      <c r="G4" s="3">
        <f t="shared" si="1"/>
        <v>0.11400908649750001</v>
      </c>
      <c r="H4" s="3">
        <f t="shared" si="2"/>
        <v>44.540323702949031</v>
      </c>
      <c r="I4" s="3">
        <v>1.95</v>
      </c>
      <c r="J4" s="3">
        <v>1.0311499999999999E-2</v>
      </c>
      <c r="K4" s="3">
        <f t="shared" si="3"/>
        <v>1645.722089979497</v>
      </c>
      <c r="L4" s="13"/>
    </row>
    <row r="5" spans="1:12">
      <c r="A5" s="3">
        <v>3</v>
      </c>
      <c r="B5" s="3">
        <f>500/76.89</f>
        <v>6.5027962023670174</v>
      </c>
      <c r="C5" s="3">
        <f>500/76.18</f>
        <v>6.5634024678393272</v>
      </c>
      <c r="D5" s="3">
        <f>500/79.38</f>
        <v>6.2988158226253468</v>
      </c>
      <c r="E5" s="3">
        <f t="shared" si="0"/>
        <v>6.4550048309438965</v>
      </c>
      <c r="F5" s="3">
        <v>0.38100000000000001</v>
      </c>
      <c r="G5" s="3">
        <f t="shared" si="1"/>
        <v>0.11400908649750001</v>
      </c>
      <c r="H5" s="3">
        <f t="shared" si="2"/>
        <v>56.618336566405539</v>
      </c>
      <c r="I5" s="3">
        <v>1.95</v>
      </c>
      <c r="J5" s="3">
        <v>1.0311499999999999E-2</v>
      </c>
      <c r="K5" s="3">
        <f t="shared" si="3"/>
        <v>2091.993039984533</v>
      </c>
      <c r="L5" s="13"/>
    </row>
    <row r="6" spans="1:12">
      <c r="A6" s="3">
        <v>4</v>
      </c>
      <c r="B6" s="3">
        <f>500/64.81</f>
        <v>7.7148588180836288</v>
      </c>
      <c r="C6" s="3">
        <f>500/65.69</f>
        <v>7.6115086010047195</v>
      </c>
      <c r="D6" s="3">
        <f>500/67.27</f>
        <v>7.4327337594767364</v>
      </c>
      <c r="E6" s="3">
        <f t="shared" si="0"/>
        <v>7.5863670595216952</v>
      </c>
      <c r="F6" s="3">
        <v>0.38100000000000001</v>
      </c>
      <c r="G6" s="3">
        <f t="shared" si="1"/>
        <v>0.11400908649750001</v>
      </c>
      <c r="H6" s="3">
        <f t="shared" si="2"/>
        <v>66.541775682836033</v>
      </c>
      <c r="I6" s="3">
        <v>1.95</v>
      </c>
      <c r="J6" s="3">
        <v>1.0311499999999999E-2</v>
      </c>
      <c r="K6" s="3">
        <f t="shared" si="3"/>
        <v>2458.6545638520615</v>
      </c>
      <c r="L6" s="13"/>
    </row>
    <row r="7" spans="1:12">
      <c r="A7" s="3">
        <v>5</v>
      </c>
      <c r="B7" s="3">
        <f>500/56.2</f>
        <v>8.8967971530249113</v>
      </c>
      <c r="C7" s="3">
        <f>500/56.45</f>
        <v>8.8573959255978743</v>
      </c>
      <c r="D7" s="3">
        <f>500/59.79</f>
        <v>8.362602441879913</v>
      </c>
      <c r="E7" s="3">
        <f t="shared" si="0"/>
        <v>8.7055985068342334</v>
      </c>
      <c r="F7" s="3">
        <v>0.38100000000000001</v>
      </c>
      <c r="G7" s="3">
        <f t="shared" si="1"/>
        <v>0.11400908649750001</v>
      </c>
      <c r="H7" s="3">
        <f t="shared" si="2"/>
        <v>76.358812918171481</v>
      </c>
      <c r="I7" s="3">
        <v>1.95</v>
      </c>
      <c r="J7" s="3">
        <v>1.0311499999999999E-2</v>
      </c>
      <c r="K7" s="3">
        <f t="shared" si="3"/>
        <v>2821.3846406268085</v>
      </c>
      <c r="L7" s="13"/>
    </row>
    <row r="8" spans="1:12">
      <c r="A8" s="3">
        <v>6</v>
      </c>
      <c r="B8" s="3">
        <f>500/52</f>
        <v>9.615384615384615</v>
      </c>
      <c r="C8" s="3">
        <f>500/51.25</f>
        <v>9.7560975609756095</v>
      </c>
      <c r="D8" s="3">
        <f>500/53.01</f>
        <v>9.4321826070552728</v>
      </c>
      <c r="E8" s="3">
        <f t="shared" si="0"/>
        <v>9.6012215944718324</v>
      </c>
      <c r="F8" s="3">
        <v>0.38100000000000001</v>
      </c>
      <c r="G8" s="3">
        <f t="shared" si="1"/>
        <v>0.11400908649750001</v>
      </c>
      <c r="H8" s="3">
        <f t="shared" si="2"/>
        <v>84.214529643497912</v>
      </c>
      <c r="I8" s="3">
        <v>1.95</v>
      </c>
      <c r="J8" s="3">
        <v>1.0311499999999999E-2</v>
      </c>
      <c r="K8" s="3">
        <f t="shared" si="3"/>
        <v>3111.6458123621887</v>
      </c>
      <c r="L8" s="13"/>
    </row>
    <row r="9" spans="1:12">
      <c r="A9" s="3">
        <v>7</v>
      </c>
      <c r="B9" s="3">
        <f>500/47.28</f>
        <v>10.575296108291031</v>
      </c>
      <c r="C9" s="3">
        <f>500/46.68</f>
        <v>10.711225364181663</v>
      </c>
      <c r="D9" s="3">
        <f>500/48.79</f>
        <v>10.248001639680263</v>
      </c>
      <c r="E9" s="3">
        <f t="shared" si="0"/>
        <v>10.511507704050985</v>
      </c>
      <c r="F9" s="3">
        <v>0.38100000000000001</v>
      </c>
      <c r="G9" s="3">
        <f t="shared" si="1"/>
        <v>0.11400908649750001</v>
      </c>
      <c r="H9" s="3">
        <f t="shared" si="2"/>
        <v>92.198859117088716</v>
      </c>
      <c r="I9" s="3">
        <v>1.95</v>
      </c>
      <c r="J9" s="3">
        <v>1.0311499999999999E-2</v>
      </c>
      <c r="K9" s="3">
        <f t="shared" si="3"/>
        <v>3406.6591013539064</v>
      </c>
      <c r="L9" s="13"/>
    </row>
    <row r="10" spans="1:12">
      <c r="A10" s="3">
        <v>8</v>
      </c>
      <c r="B10" s="3">
        <f>500/43.95</f>
        <v>11.376564277588168</v>
      </c>
      <c r="C10" s="3">
        <f>500/43.69</f>
        <v>11.444266422522317</v>
      </c>
      <c r="D10" s="3">
        <f>500/45</f>
        <v>11.111111111111111</v>
      </c>
      <c r="E10" s="3">
        <f t="shared" si="0"/>
        <v>11.310647270407197</v>
      </c>
      <c r="F10" s="3">
        <v>0.38100000000000001</v>
      </c>
      <c r="G10" s="3">
        <f t="shared" si="1"/>
        <v>0.11400908649750001</v>
      </c>
      <c r="H10" s="3">
        <f t="shared" si="2"/>
        <v>99.208296618140309</v>
      </c>
      <c r="I10" s="3">
        <v>1.95</v>
      </c>
      <c r="J10" s="3">
        <v>1.0311499999999999E-2</v>
      </c>
      <c r="K10" s="3">
        <f t="shared" si="3"/>
        <v>3665.6510703109598</v>
      </c>
      <c r="L10" s="13"/>
    </row>
    <row r="11" spans="1:12">
      <c r="A11" s="3">
        <v>9</v>
      </c>
      <c r="B11" s="3">
        <f>500/40.2</f>
        <v>12.437810945273631</v>
      </c>
      <c r="C11" s="3">
        <f>500/40.44</f>
        <v>12.363996043521267</v>
      </c>
      <c r="D11" s="3">
        <f>500/43.18</f>
        <v>11.579434923575729</v>
      </c>
      <c r="E11" s="3">
        <f t="shared" si="0"/>
        <v>12.127080637456876</v>
      </c>
      <c r="F11" s="3">
        <v>0.38100000000000001</v>
      </c>
      <c r="G11" s="3">
        <f t="shared" si="1"/>
        <v>0.11400908649750001</v>
      </c>
      <c r="H11" s="3">
        <f t="shared" si="2"/>
        <v>106.36942203481999</v>
      </c>
      <c r="I11" s="3">
        <v>1.95</v>
      </c>
      <c r="J11" s="3">
        <v>1.0311499999999999E-2</v>
      </c>
      <c r="K11" s="3">
        <f t="shared" si="3"/>
        <v>3930.2477617481859</v>
      </c>
      <c r="L11" s="13"/>
    </row>
    <row r="12" spans="1:12">
      <c r="A12" s="3">
        <v>10</v>
      </c>
      <c r="B12" s="3">
        <f>1000/77.59</f>
        <v>12.888258796236627</v>
      </c>
      <c r="C12" s="3">
        <f>1000/78.53</f>
        <v>12.733987011333248</v>
      </c>
      <c r="D12" s="3">
        <f>1000/78.22</f>
        <v>12.784454103809768</v>
      </c>
      <c r="E12" s="3">
        <f t="shared" si="0"/>
        <v>12.802233303793216</v>
      </c>
      <c r="F12" s="3">
        <v>0.38100000000000001</v>
      </c>
      <c r="G12" s="3">
        <f t="shared" si="1"/>
        <v>0.11400908649750001</v>
      </c>
      <c r="H12" s="3">
        <f t="shared" si="2"/>
        <v>112.29134183154729</v>
      </c>
      <c r="I12" s="3">
        <v>1.95</v>
      </c>
      <c r="J12" s="3">
        <v>1.0311499999999999E-2</v>
      </c>
      <c r="K12" s="3">
        <f t="shared" si="3"/>
        <v>4149.0569982853631</v>
      </c>
      <c r="L12" s="13"/>
    </row>
    <row r="13" spans="1:12">
      <c r="A13" s="3">
        <v>11</v>
      </c>
      <c r="B13" s="3">
        <f>1000/74.58</f>
        <v>13.408420488066506</v>
      </c>
      <c r="C13" s="3">
        <f>1000/73.51</f>
        <v>13.603591348115902</v>
      </c>
      <c r="D13" s="3">
        <f>1000/73.79</f>
        <v>13.55197181189863</v>
      </c>
      <c r="E13" s="3">
        <f t="shared" si="0"/>
        <v>13.521327882693681</v>
      </c>
      <c r="F13" s="3">
        <v>0.38100000000000001</v>
      </c>
      <c r="G13" s="3">
        <f t="shared" si="1"/>
        <v>0.11400908649750001</v>
      </c>
      <c r="H13" s="3">
        <f t="shared" si="2"/>
        <v>118.5986862809411</v>
      </c>
      <c r="I13" s="3">
        <v>1.95</v>
      </c>
      <c r="J13" s="3">
        <v>1.0311499999999999E-2</v>
      </c>
      <c r="K13" s="3">
        <f t="shared" si="3"/>
        <v>4382.1073047605651</v>
      </c>
      <c r="L13" s="13"/>
    </row>
    <row r="14" spans="1:12">
      <c r="A14" s="3">
        <v>13</v>
      </c>
      <c r="B14" s="3">
        <f>1000/67.45</f>
        <v>14.825796886582653</v>
      </c>
      <c r="C14" s="3">
        <f>1000/67.05</f>
        <v>14.914243102162565</v>
      </c>
      <c r="D14" s="3">
        <f>1000/68.19</f>
        <v>14.664906877841327</v>
      </c>
      <c r="E14" s="3">
        <f t="shared" si="0"/>
        <v>14.801648955528847</v>
      </c>
      <c r="F14" s="3">
        <v>0.38100000000000001</v>
      </c>
      <c r="G14" s="3">
        <f t="shared" si="1"/>
        <v>0.11400908649750001</v>
      </c>
      <c r="H14" s="3">
        <f t="shared" si="2"/>
        <v>129.8286777857256</v>
      </c>
      <c r="I14" s="3">
        <v>1.95</v>
      </c>
      <c r="J14" s="3">
        <v>1.0311499999999999E-2</v>
      </c>
      <c r="K14" s="3">
        <f t="shared" si="3"/>
        <v>4797.0446817981338</v>
      </c>
      <c r="L14" s="13"/>
    </row>
    <row r="15" spans="1:12">
      <c r="A15" s="3">
        <v>15</v>
      </c>
      <c r="B15" s="3">
        <f>1000/63.46</f>
        <v>15.75795776867318</v>
      </c>
      <c r="C15" s="3">
        <f>1000/61.19</f>
        <v>16.342539630658607</v>
      </c>
      <c r="D15" s="3">
        <f>1000/62.76</f>
        <v>15.933715742511154</v>
      </c>
      <c r="E15" s="3">
        <f t="shared" si="0"/>
        <v>16.011404380614312</v>
      </c>
      <c r="F15" s="3">
        <v>0.38100000000000001</v>
      </c>
      <c r="G15" s="3">
        <f t="shared" si="1"/>
        <v>0.11400908649750001</v>
      </c>
      <c r="H15" s="3">
        <f t="shared" si="2"/>
        <v>140.43972171433379</v>
      </c>
      <c r="I15" s="3">
        <v>1.95</v>
      </c>
      <c r="J15" s="3">
        <v>1.0311499999999999E-2</v>
      </c>
      <c r="K15" s="3">
        <f t="shared" si="3"/>
        <v>5189.1125416439099</v>
      </c>
      <c r="L15" s="13"/>
    </row>
    <row r="16" spans="1:12">
      <c r="A16" s="3">
        <v>17</v>
      </c>
      <c r="B16" s="3">
        <f>1000/59.83</f>
        <v>16.714023065351832</v>
      </c>
      <c r="C16" s="3">
        <f>1000/56.48</f>
        <v>17.705382436260624</v>
      </c>
      <c r="D16" s="3">
        <f>1000/59.66</f>
        <v>16.761649346295677</v>
      </c>
      <c r="E16" s="3">
        <f t="shared" si="0"/>
        <v>17.060351615969378</v>
      </c>
      <c r="F16" s="3">
        <v>0.38100000000000001</v>
      </c>
      <c r="G16" s="3">
        <f t="shared" si="1"/>
        <v>0.11400908649750001</v>
      </c>
      <c r="H16" s="3">
        <f t="shared" si="2"/>
        <v>149.6402799117549</v>
      </c>
      <c r="I16" s="3">
        <v>1.95</v>
      </c>
      <c r="J16" s="3">
        <v>1.0311499999999999E-2</v>
      </c>
      <c r="K16" s="3">
        <f t="shared" si="3"/>
        <v>5529.0643113396327</v>
      </c>
      <c r="L16" s="13"/>
    </row>
    <row r="17" spans="1:11">
      <c r="A17" s="3">
        <v>19</v>
      </c>
      <c r="B17" s="3">
        <f>1000/54.65</f>
        <v>18.298261665141812</v>
      </c>
      <c r="C17" s="3">
        <f>1000/53.85</f>
        <v>18.570102135561743</v>
      </c>
      <c r="D17" s="3">
        <f>1000/55.65</f>
        <v>17.969451931716083</v>
      </c>
      <c r="E17" s="3">
        <f t="shared" si="0"/>
        <v>18.279271910806546</v>
      </c>
      <c r="F17" s="3">
        <v>0.38100000000000001</v>
      </c>
      <c r="G17" s="3">
        <f t="shared" si="1"/>
        <v>0.11400908649750001</v>
      </c>
      <c r="H17" s="3">
        <f t="shared" si="2"/>
        <v>160.33171102732564</v>
      </c>
      <c r="I17" s="3">
        <v>1.95</v>
      </c>
      <c r="J17" s="3">
        <v>1.0311499999999999E-2</v>
      </c>
      <c r="K17" s="3">
        <f t="shared" si="3"/>
        <v>5924.1024003695939</v>
      </c>
    </row>
    <row r="18" spans="1:11">
      <c r="A18" s="3">
        <v>21</v>
      </c>
      <c r="B18" s="3">
        <f>2000/105.65</f>
        <v>18.930430667297681</v>
      </c>
      <c r="C18" s="3">
        <f>1000/52.19</f>
        <v>19.160758766047135</v>
      </c>
      <c r="D18" s="3">
        <f>1000/51.93</f>
        <v>19.256691700365877</v>
      </c>
      <c r="E18" s="3">
        <f t="shared" si="0"/>
        <v>19.115960377903566</v>
      </c>
      <c r="F18" s="3">
        <v>0.38100000000000001</v>
      </c>
      <c r="G18" s="3">
        <f t="shared" si="1"/>
        <v>0.11400908649750001</v>
      </c>
      <c r="H18" s="3">
        <f t="shared" si="2"/>
        <v>167.67049859944927</v>
      </c>
      <c r="I18" s="3">
        <v>1.95</v>
      </c>
      <c r="J18" s="3">
        <v>1.0311499999999999E-2</v>
      </c>
      <c r="K18" s="3">
        <f t="shared" si="3"/>
        <v>6195.2635374475267</v>
      </c>
    </row>
    <row r="19" spans="1:11">
      <c r="A19" s="3">
        <v>23</v>
      </c>
      <c r="B19" s="3">
        <f>1000/50.57</f>
        <v>19.774569903104606</v>
      </c>
      <c r="C19" s="3">
        <f>1000/49.83</f>
        <v>20.068231988761791</v>
      </c>
      <c r="D19" s="3">
        <f>1000/49.72</f>
        <v>20.11263073209976</v>
      </c>
      <c r="E19" s="3">
        <f t="shared" si="0"/>
        <v>19.985144207988721</v>
      </c>
      <c r="F19" s="3">
        <v>0.38100000000000001</v>
      </c>
      <c r="G19" s="3">
        <f t="shared" si="1"/>
        <v>0.11400908649750001</v>
      </c>
      <c r="H19" s="3">
        <f t="shared" si="2"/>
        <v>175.29431049714583</v>
      </c>
      <c r="I19" s="3">
        <v>1.95</v>
      </c>
      <c r="J19" s="3">
        <v>1.0311499999999999E-2</v>
      </c>
      <c r="K19" s="3">
        <f t="shared" si="3"/>
        <v>6476.9560490144559</v>
      </c>
    </row>
    <row r="20" spans="1:11">
      <c r="A20" s="3">
        <v>25</v>
      </c>
      <c r="B20" s="3">
        <f>1500/72.09</f>
        <v>20.807324178110694</v>
      </c>
      <c r="C20" s="3">
        <f>1500/70.97</f>
        <v>21.135691137100185</v>
      </c>
      <c r="D20" s="3">
        <f>1500/71.08</f>
        <v>21.102982554867754</v>
      </c>
      <c r="E20" s="3">
        <f t="shared" si="0"/>
        <v>21.015332623359544</v>
      </c>
      <c r="F20" s="3">
        <v>0.38100000000000001</v>
      </c>
      <c r="G20" s="3">
        <f t="shared" si="1"/>
        <v>0.11400908649750001</v>
      </c>
      <c r="H20" s="3">
        <f t="shared" si="2"/>
        <v>184.33033075675391</v>
      </c>
      <c r="I20" s="3">
        <v>1.95</v>
      </c>
      <c r="J20" s="3">
        <v>1.0311499999999999E-2</v>
      </c>
      <c r="K20" s="3">
        <f t="shared" si="3"/>
        <v>6810.8283002786457</v>
      </c>
    </row>
  </sheetData>
  <pageMargins left="0.75" right="0.75" top="1" bottom="1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29"/>
  <sheetViews>
    <sheetView workbookViewId="0"/>
  </sheetViews>
  <sheetFormatPr defaultColWidth="11.33203125" defaultRowHeight="15" customHeight="1"/>
  <cols>
    <col min="1" max="1" width="6.6640625" customWidth="1"/>
    <col min="2" max="5" width="9.6640625" customWidth="1"/>
    <col min="6" max="6" width="6.6640625" customWidth="1"/>
    <col min="7" max="8" width="9.6640625" customWidth="1"/>
    <col min="9" max="9" width="7.88671875" customWidth="1"/>
    <col min="10" max="10" width="9" customWidth="1"/>
    <col min="11" max="11" width="9.6640625" customWidth="1"/>
    <col min="12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36</v>
      </c>
    </row>
    <row r="2" spans="1:12">
      <c r="A2" s="3">
        <v>0</v>
      </c>
      <c r="B2" s="3"/>
      <c r="C2" s="3"/>
      <c r="D2" s="3"/>
      <c r="E2" s="3">
        <f t="shared" ref="E2:E27" si="0">(B2+C2+D2)/3</f>
        <v>0</v>
      </c>
      <c r="F2" s="3">
        <v>0.38100000000000001</v>
      </c>
      <c r="G2" s="3">
        <f t="shared" ref="G2:G27" si="1">3.14159*F2*F2/4</f>
        <v>0.11400908649750001</v>
      </c>
      <c r="H2" s="3">
        <f t="shared" ref="H2:H27" si="2">E2/G2</f>
        <v>0</v>
      </c>
      <c r="I2" s="3">
        <v>30.7</v>
      </c>
      <c r="J2" s="3">
        <v>1.0338E-2</v>
      </c>
      <c r="K2" s="3">
        <f t="shared" ref="K2:K27" si="3">H2*F2/J2</f>
        <v>0</v>
      </c>
      <c r="L2" s="13"/>
    </row>
    <row r="3" spans="1:12">
      <c r="A3" s="3">
        <v>1</v>
      </c>
      <c r="B3" s="3">
        <f>50/64.26</f>
        <v>0.77808901338313097</v>
      </c>
      <c r="C3" s="3">
        <f>50/60.37</f>
        <v>0.82822594003644201</v>
      </c>
      <c r="D3" s="3">
        <f>50/63.18</f>
        <v>0.79138968027856915</v>
      </c>
      <c r="E3" s="3">
        <f t="shared" si="0"/>
        <v>0.79923487789938064</v>
      </c>
      <c r="F3" s="3">
        <v>0.38100000000000001</v>
      </c>
      <c r="G3" s="3">
        <f t="shared" si="1"/>
        <v>0.11400908649750001</v>
      </c>
      <c r="H3" s="3">
        <f t="shared" si="2"/>
        <v>7.0102735005854662</v>
      </c>
      <c r="I3" s="3">
        <v>30.7</v>
      </c>
      <c r="J3" s="3">
        <v>1.0338E-2</v>
      </c>
      <c r="K3" s="3">
        <f t="shared" si="3"/>
        <v>258.35888989389269</v>
      </c>
      <c r="L3" s="13"/>
    </row>
    <row r="4" spans="1:12">
      <c r="A4" s="3">
        <v>2</v>
      </c>
      <c r="B4" s="3">
        <f>100/47.95</f>
        <v>2.0855057351407713</v>
      </c>
      <c r="C4" s="3">
        <f>100/43.08</f>
        <v>2.3212627669452184</v>
      </c>
      <c r="D4" s="3">
        <f>100/52.3</f>
        <v>1.9120458891013385</v>
      </c>
      <c r="E4" s="3">
        <f t="shared" si="0"/>
        <v>2.1062714637291093</v>
      </c>
      <c r="F4" s="3">
        <v>0.38100000000000001</v>
      </c>
      <c r="G4" s="3">
        <f t="shared" si="1"/>
        <v>0.11400908649750001</v>
      </c>
      <c r="H4" s="3">
        <f t="shared" si="2"/>
        <v>18.47459293321586</v>
      </c>
      <c r="I4" s="3">
        <v>30.7</v>
      </c>
      <c r="J4" s="3">
        <v>1.0338E-2</v>
      </c>
      <c r="K4" s="3">
        <f t="shared" si="3"/>
        <v>680.86863102681787</v>
      </c>
      <c r="L4" s="13"/>
    </row>
    <row r="5" spans="1:12">
      <c r="A5" s="3">
        <v>3</v>
      </c>
      <c r="B5" s="3">
        <f>150/55.04</f>
        <v>2.7252906976744184</v>
      </c>
      <c r="C5" s="3">
        <f>150/50</f>
        <v>3</v>
      </c>
      <c r="D5" s="3">
        <f>150/57.19</f>
        <v>2.6228361601678616</v>
      </c>
      <c r="E5" s="3">
        <f t="shared" si="0"/>
        <v>2.7827089526140938</v>
      </c>
      <c r="F5" s="3">
        <v>0.38100000000000001</v>
      </c>
      <c r="G5" s="3">
        <f t="shared" si="1"/>
        <v>0.11400908649750001</v>
      </c>
      <c r="H5" s="3">
        <f t="shared" si="2"/>
        <v>24.407782204930772</v>
      </c>
      <c r="I5" s="3">
        <v>30.7</v>
      </c>
      <c r="J5" s="3">
        <v>1.0338E-2</v>
      </c>
      <c r="K5" s="3">
        <f t="shared" si="3"/>
        <v>899.53230993215561</v>
      </c>
      <c r="L5" s="13"/>
    </row>
    <row r="6" spans="1:12">
      <c r="A6" s="3">
        <v>4</v>
      </c>
      <c r="B6" s="3">
        <f>200/59.7</f>
        <v>3.350083752093802</v>
      </c>
      <c r="C6" s="3">
        <f>200/51.82</f>
        <v>3.8595137012736394</v>
      </c>
      <c r="D6" s="3">
        <f>200/57.8</f>
        <v>3.4602076124567476</v>
      </c>
      <c r="E6" s="3">
        <f t="shared" si="0"/>
        <v>3.5566016886080631</v>
      </c>
      <c r="F6" s="3">
        <v>0.38100000000000001</v>
      </c>
      <c r="G6" s="3">
        <f t="shared" si="1"/>
        <v>0.11400908649750001</v>
      </c>
      <c r="H6" s="3">
        <f t="shared" si="2"/>
        <v>31.195773932335229</v>
      </c>
      <c r="I6" s="3">
        <v>30.7</v>
      </c>
      <c r="J6" s="3">
        <v>1.0338E-2</v>
      </c>
      <c r="K6" s="3">
        <f t="shared" si="3"/>
        <v>1149.6991553704509</v>
      </c>
      <c r="L6" s="13"/>
    </row>
    <row r="7" spans="1:12">
      <c r="A7" s="3">
        <v>5</v>
      </c>
      <c r="B7" s="3">
        <f>250/59.68</f>
        <v>4.1890080428954422</v>
      </c>
      <c r="C7" s="3">
        <f>250/58.14</f>
        <v>4.2999656002751978</v>
      </c>
      <c r="D7" s="3">
        <f>250/57.86</f>
        <v>4.3207742827514695</v>
      </c>
      <c r="E7" s="3">
        <f t="shared" si="0"/>
        <v>4.2699159753073701</v>
      </c>
      <c r="F7" s="3">
        <v>0.38100000000000001</v>
      </c>
      <c r="G7" s="3">
        <f t="shared" si="1"/>
        <v>0.11400908649750001</v>
      </c>
      <c r="H7" s="3">
        <f t="shared" si="2"/>
        <v>37.452418105297255</v>
      </c>
      <c r="I7" s="3">
        <v>30.7</v>
      </c>
      <c r="J7" s="3">
        <v>1.0338E-2</v>
      </c>
      <c r="K7" s="3">
        <f t="shared" si="3"/>
        <v>1380.2835459584305</v>
      </c>
      <c r="L7" s="13"/>
    </row>
    <row r="8" spans="1:12">
      <c r="A8" s="3">
        <v>6</v>
      </c>
      <c r="B8" s="3">
        <f>300/60.51</f>
        <v>4.9578582052553299</v>
      </c>
      <c r="C8" s="3">
        <f>300/62.11</f>
        <v>4.8301400740621476</v>
      </c>
      <c r="D8" s="3">
        <f>300/61.33</f>
        <v>4.8915701940322842</v>
      </c>
      <c r="E8" s="3">
        <f t="shared" si="0"/>
        <v>4.893189491116587</v>
      </c>
      <c r="F8" s="3">
        <v>0.38100000000000001</v>
      </c>
      <c r="G8" s="3">
        <f t="shared" si="1"/>
        <v>0.11400908649750001</v>
      </c>
      <c r="H8" s="3">
        <f t="shared" si="2"/>
        <v>42.919293904033559</v>
      </c>
      <c r="I8" s="3">
        <v>30.7</v>
      </c>
      <c r="J8" s="3">
        <v>1.0338E-2</v>
      </c>
      <c r="K8" s="3">
        <f t="shared" si="3"/>
        <v>1581.7615571132508</v>
      </c>
      <c r="L8" s="13"/>
    </row>
    <row r="9" spans="1:12">
      <c r="A9" s="3">
        <v>6.9</v>
      </c>
      <c r="B9" s="3">
        <f>300/56.26</f>
        <v>5.3323853537148951</v>
      </c>
      <c r="C9" s="3">
        <f>300/56.69</f>
        <v>5.2919386135120838</v>
      </c>
      <c r="D9" s="3">
        <f>300/54.93</f>
        <v>5.4614964500273073</v>
      </c>
      <c r="E9" s="3">
        <f t="shared" si="0"/>
        <v>5.3619401390847621</v>
      </c>
      <c r="F9" s="3">
        <v>0.38100000000000001</v>
      </c>
      <c r="G9" s="3">
        <f t="shared" si="1"/>
        <v>0.11400908649750001</v>
      </c>
      <c r="H9" s="3">
        <f t="shared" si="2"/>
        <v>47.030813979922016</v>
      </c>
      <c r="I9" s="3">
        <v>30.7</v>
      </c>
      <c r="J9" s="3">
        <v>1.0338E-2</v>
      </c>
      <c r="K9" s="3">
        <f t="shared" si="3"/>
        <v>1733.2888495212121</v>
      </c>
      <c r="L9" s="13"/>
    </row>
    <row r="10" spans="1:12">
      <c r="A10" s="3">
        <v>8</v>
      </c>
      <c r="B10" s="3">
        <f>300/51.57</f>
        <v>5.8173356602675979</v>
      </c>
      <c r="C10" s="3">
        <f>300/50.37</f>
        <v>5.9559261465157833</v>
      </c>
      <c r="D10" s="3">
        <f>300/50.76</f>
        <v>5.9101654846335698</v>
      </c>
      <c r="E10" s="3">
        <f t="shared" si="0"/>
        <v>5.8944757638056506</v>
      </c>
      <c r="F10" s="3">
        <v>0.38100000000000001</v>
      </c>
      <c r="G10" s="3">
        <f t="shared" si="1"/>
        <v>0.11400908649750001</v>
      </c>
      <c r="H10" s="3">
        <f t="shared" si="2"/>
        <v>51.701806802345573</v>
      </c>
      <c r="I10" s="3">
        <v>30.7</v>
      </c>
      <c r="J10" s="3">
        <v>1.0338E-2</v>
      </c>
      <c r="K10" s="3">
        <f t="shared" si="3"/>
        <v>1905.4351317173207</v>
      </c>
      <c r="L10" s="13"/>
    </row>
    <row r="11" spans="1:12">
      <c r="A11" s="3">
        <v>9</v>
      </c>
      <c r="B11" s="3">
        <f>300/47.9</f>
        <v>6.2630480167014619</v>
      </c>
      <c r="C11" s="3">
        <f>300/46.69</f>
        <v>6.42535874919683</v>
      </c>
      <c r="D11" s="3">
        <f>300/47.11</f>
        <v>6.3680747187433671</v>
      </c>
      <c r="E11" s="3">
        <f t="shared" si="0"/>
        <v>6.352160494880553</v>
      </c>
      <c r="F11" s="3">
        <v>0.38100000000000001</v>
      </c>
      <c r="G11" s="3">
        <f t="shared" si="1"/>
        <v>0.11400908649750001</v>
      </c>
      <c r="H11" s="3">
        <f t="shared" si="2"/>
        <v>55.716265168213965</v>
      </c>
      <c r="I11" s="3">
        <v>30.7</v>
      </c>
      <c r="J11" s="3">
        <v>1.0338E-2</v>
      </c>
      <c r="K11" s="3">
        <f t="shared" si="3"/>
        <v>2053.3852804304047</v>
      </c>
      <c r="L11" s="13"/>
    </row>
    <row r="12" spans="1:12">
      <c r="A12" s="3">
        <v>10</v>
      </c>
      <c r="B12" s="3">
        <f>400/55.02</f>
        <v>7.2700836059614682</v>
      </c>
      <c r="C12" s="3">
        <f>400/54.68</f>
        <v>7.3152889539136794</v>
      </c>
      <c r="D12" s="3">
        <f>400/54.75</f>
        <v>7.3059360730593603</v>
      </c>
      <c r="E12" s="3">
        <f t="shared" si="0"/>
        <v>7.2971028776448357</v>
      </c>
      <c r="F12" s="3">
        <v>0.38100000000000001</v>
      </c>
      <c r="G12" s="3">
        <f t="shared" si="1"/>
        <v>0.11400908649750001</v>
      </c>
      <c r="H12" s="3">
        <f t="shared" si="2"/>
        <v>64.004572809245744</v>
      </c>
      <c r="I12" s="3">
        <v>30.7</v>
      </c>
      <c r="J12" s="3">
        <v>1.0338E-2</v>
      </c>
      <c r="K12" s="3">
        <f t="shared" si="3"/>
        <v>2358.8452544324459</v>
      </c>
      <c r="L12" s="13"/>
    </row>
    <row r="13" spans="1:12">
      <c r="A13" s="3">
        <v>11</v>
      </c>
      <c r="B13" s="3">
        <f>400/52.62</f>
        <v>7.6016723679209433</v>
      </c>
      <c r="C13" s="3">
        <f>400/51.93</f>
        <v>7.7026766801463511</v>
      </c>
      <c r="D13" s="3">
        <f>400/52.58</f>
        <v>7.6074553062000767</v>
      </c>
      <c r="E13" s="3">
        <f t="shared" si="0"/>
        <v>7.637268118089124</v>
      </c>
      <c r="F13" s="3">
        <v>0.38100000000000001</v>
      </c>
      <c r="G13" s="3">
        <f t="shared" si="1"/>
        <v>0.11400908649750001</v>
      </c>
      <c r="H13" s="3">
        <f t="shared" si="2"/>
        <v>66.988240610598993</v>
      </c>
      <c r="I13" s="3">
        <v>30.7</v>
      </c>
      <c r="J13" s="3">
        <v>1.0338E-2</v>
      </c>
      <c r="K13" s="3">
        <f t="shared" si="3"/>
        <v>2468.8063138555058</v>
      </c>
      <c r="L13" s="13"/>
    </row>
    <row r="14" spans="1:12">
      <c r="A14" s="3">
        <v>12</v>
      </c>
      <c r="B14" s="3">
        <f>600/76.18</f>
        <v>7.8760829614071932</v>
      </c>
      <c r="C14" s="3">
        <f>600/74.94</f>
        <v>8.0064051240992793</v>
      </c>
      <c r="D14" s="3">
        <f>600/74.25</f>
        <v>8.0808080808080813</v>
      </c>
      <c r="E14" s="3">
        <f t="shared" si="0"/>
        <v>7.9877653887715185</v>
      </c>
      <c r="F14" s="3">
        <v>0.38100000000000001</v>
      </c>
      <c r="G14" s="3">
        <f t="shared" si="1"/>
        <v>0.11400908649750001</v>
      </c>
      <c r="H14" s="3">
        <f t="shared" si="2"/>
        <v>70.062533032809398</v>
      </c>
      <c r="I14" s="3">
        <v>30.7</v>
      </c>
      <c r="J14" s="3">
        <v>1.0338E-2</v>
      </c>
      <c r="K14" s="3">
        <f t="shared" si="3"/>
        <v>2582.1072824047574</v>
      </c>
      <c r="L14" s="13"/>
    </row>
    <row r="15" spans="1:12">
      <c r="A15" s="3">
        <v>13</v>
      </c>
      <c r="B15" s="3">
        <f>600/73.61</f>
        <v>8.1510664311914134</v>
      </c>
      <c r="C15" s="3">
        <f>600/69.83</f>
        <v>8.5922955749677783</v>
      </c>
      <c r="D15" s="3">
        <f>600/72.11</f>
        <v>8.3206212730550551</v>
      </c>
      <c r="E15" s="3">
        <f t="shared" si="0"/>
        <v>8.3546610930714156</v>
      </c>
      <c r="F15" s="3">
        <v>0.38100000000000001</v>
      </c>
      <c r="G15" s="3">
        <f t="shared" si="1"/>
        <v>0.11400908649750001</v>
      </c>
      <c r="H15" s="3">
        <f t="shared" si="2"/>
        <v>73.280659899460005</v>
      </c>
      <c r="I15" s="3">
        <v>30.7</v>
      </c>
      <c r="J15" s="3">
        <v>1.0338E-2</v>
      </c>
      <c r="K15" s="3">
        <f t="shared" si="3"/>
        <v>2700.7091721507313</v>
      </c>
      <c r="L15" s="13"/>
    </row>
    <row r="16" spans="1:12">
      <c r="A16" s="3">
        <v>13.9</v>
      </c>
      <c r="B16" s="3">
        <f>600/68.43</f>
        <v>8.7680841736080666</v>
      </c>
      <c r="C16" s="3">
        <f>600/69.43</f>
        <v>8.6417974938787268</v>
      </c>
      <c r="D16" s="3">
        <f>600/67.44</f>
        <v>8.8967971530249113</v>
      </c>
      <c r="E16" s="3">
        <f t="shared" si="0"/>
        <v>8.7688929401705682</v>
      </c>
      <c r="F16" s="3">
        <v>0.38100000000000001</v>
      </c>
      <c r="G16" s="3">
        <f t="shared" si="1"/>
        <v>0.11400908649750001</v>
      </c>
      <c r="H16" s="3">
        <f t="shared" si="2"/>
        <v>76.913982995231279</v>
      </c>
      <c r="I16" s="3">
        <v>30.7</v>
      </c>
      <c r="J16" s="3">
        <v>1.0338E-2</v>
      </c>
      <c r="K16" s="3">
        <f t="shared" si="3"/>
        <v>2834.6128381875719</v>
      </c>
      <c r="L16" s="13"/>
    </row>
    <row r="17" spans="1:11">
      <c r="A17" s="3">
        <v>15</v>
      </c>
      <c r="B17" s="3">
        <f>600/67.97</f>
        <v>8.8274238634691784</v>
      </c>
      <c r="C17" s="3">
        <f>600/66.11</f>
        <v>9.0757827862653162</v>
      </c>
      <c r="D17" s="3">
        <f>600/68.37</f>
        <v>8.7757788503729692</v>
      </c>
      <c r="E17" s="3">
        <f t="shared" si="0"/>
        <v>8.8929951667024874</v>
      </c>
      <c r="F17" s="3">
        <v>0.38100000000000001</v>
      </c>
      <c r="G17" s="3">
        <f t="shared" si="1"/>
        <v>0.11400908649750001</v>
      </c>
      <c r="H17" s="3">
        <f t="shared" si="2"/>
        <v>78.002512254999019</v>
      </c>
      <c r="I17" s="3">
        <v>30.7</v>
      </c>
      <c r="J17" s="3">
        <v>1.0338E-2</v>
      </c>
      <c r="K17" s="3">
        <f t="shared" si="3"/>
        <v>2874.7298480513277</v>
      </c>
    </row>
    <row r="18" spans="1:11">
      <c r="A18" s="3">
        <v>16.2</v>
      </c>
      <c r="B18" s="3">
        <f>600/66.47</f>
        <v>9.0266285542349927</v>
      </c>
      <c r="C18" s="3">
        <f>600/66.86</f>
        <v>8.9739754711337127</v>
      </c>
      <c r="D18" s="3">
        <f>600/65.58</f>
        <v>9.149130832570906</v>
      </c>
      <c r="E18" s="3">
        <f t="shared" si="0"/>
        <v>9.049911619313205</v>
      </c>
      <c r="F18" s="3">
        <v>0.38100000000000001</v>
      </c>
      <c r="G18" s="3">
        <f t="shared" si="1"/>
        <v>0.11400908649750001</v>
      </c>
      <c r="H18" s="3">
        <f t="shared" si="2"/>
        <v>79.378862662070816</v>
      </c>
      <c r="I18" s="3">
        <v>30.7</v>
      </c>
      <c r="J18" s="3">
        <v>1.0338E-2</v>
      </c>
      <c r="K18" s="3">
        <f t="shared" si="3"/>
        <v>2925.4543116897835</v>
      </c>
    </row>
    <row r="19" spans="1:11">
      <c r="A19" s="3">
        <v>16.899999999999999</v>
      </c>
      <c r="B19" s="3">
        <f>600/68.12</f>
        <v>8.8079859072225481</v>
      </c>
      <c r="C19" s="3">
        <f>600/60.75</f>
        <v>9.8765432098765427</v>
      </c>
      <c r="D19" s="3">
        <f>600/60.89</f>
        <v>9.8538347840367884</v>
      </c>
      <c r="E19" s="3">
        <f t="shared" si="0"/>
        <v>9.5127879670452931</v>
      </c>
      <c r="F19" s="3">
        <v>0.38100000000000001</v>
      </c>
      <c r="G19" s="3">
        <f t="shared" si="1"/>
        <v>0.11400908649750001</v>
      </c>
      <c r="H19" s="3">
        <f t="shared" si="2"/>
        <v>83.438857895365118</v>
      </c>
      <c r="I19" s="3">
        <v>30.7</v>
      </c>
      <c r="J19" s="3">
        <v>1.0338E-2</v>
      </c>
      <c r="K19" s="3">
        <f t="shared" si="3"/>
        <v>3075.0826908622666</v>
      </c>
    </row>
    <row r="20" spans="1:11">
      <c r="A20" s="3">
        <v>18</v>
      </c>
      <c r="B20" s="3">
        <f>600/61.16</f>
        <v>9.8103335513407455</v>
      </c>
      <c r="C20" s="3">
        <f>600/60.6</f>
        <v>9.9009900990099009</v>
      </c>
      <c r="D20" s="3">
        <f>600/60.19</f>
        <v>9.9684332945672036</v>
      </c>
      <c r="E20" s="3">
        <f t="shared" si="0"/>
        <v>9.8932523149726155</v>
      </c>
      <c r="F20" s="3">
        <v>0.38100000000000001</v>
      </c>
      <c r="G20" s="3">
        <f t="shared" si="1"/>
        <v>0.11400908649750001</v>
      </c>
      <c r="H20" s="3">
        <f t="shared" si="2"/>
        <v>86.775998465609618</v>
      </c>
      <c r="I20" s="3">
        <v>30.7</v>
      </c>
      <c r="J20" s="3">
        <v>1.0338E-2</v>
      </c>
      <c r="K20" s="3">
        <f t="shared" si="3"/>
        <v>3198.0707501835232</v>
      </c>
    </row>
    <row r="21" spans="1:11">
      <c r="A21" s="3">
        <v>19</v>
      </c>
      <c r="B21" s="3">
        <f>600/58.57</f>
        <v>10.244152296397473</v>
      </c>
      <c r="C21" s="3">
        <f>600/60.04</f>
        <v>9.9933377748167889</v>
      </c>
      <c r="D21" s="3">
        <f>600/57.84</f>
        <v>10.373443983402488</v>
      </c>
      <c r="E21" s="3">
        <f t="shared" si="0"/>
        <v>10.20364468487225</v>
      </c>
      <c r="F21" s="3">
        <v>0.38100000000000001</v>
      </c>
      <c r="G21" s="3">
        <f t="shared" si="1"/>
        <v>0.11400908649750001</v>
      </c>
      <c r="H21" s="3">
        <f t="shared" si="2"/>
        <v>89.498521550701099</v>
      </c>
      <c r="I21" s="3">
        <v>30.7</v>
      </c>
      <c r="J21" s="3">
        <v>1.0338E-2</v>
      </c>
      <c r="K21" s="3">
        <f t="shared" si="3"/>
        <v>3298.4074976607776</v>
      </c>
    </row>
    <row r="22" spans="1:11">
      <c r="A22" s="3">
        <v>19.899999999999999</v>
      </c>
      <c r="B22" s="3">
        <f>600/58.39</f>
        <v>10.275732145915397</v>
      </c>
      <c r="C22" s="3">
        <f>600/55.61</f>
        <v>10.789426362165079</v>
      </c>
      <c r="D22" s="3">
        <f>600/57.14</f>
        <v>10.500525026251312</v>
      </c>
      <c r="E22" s="3">
        <f t="shared" si="0"/>
        <v>10.52189451144393</v>
      </c>
      <c r="F22" s="3">
        <v>0.38100000000000001</v>
      </c>
      <c r="G22" s="3">
        <f t="shared" si="1"/>
        <v>0.11400908649750001</v>
      </c>
      <c r="H22" s="3">
        <f t="shared" si="2"/>
        <v>92.28996420100826</v>
      </c>
      <c r="I22" s="3">
        <v>30.7</v>
      </c>
      <c r="J22" s="3">
        <v>1.0338E-2</v>
      </c>
      <c r="K22" s="3">
        <f t="shared" si="3"/>
        <v>3401.2842291143502</v>
      </c>
    </row>
    <row r="23" spans="1:11">
      <c r="A23" s="3">
        <v>20.9</v>
      </c>
      <c r="B23" s="3">
        <f>600/53.66</f>
        <v>11.181513231457325</v>
      </c>
      <c r="C23" s="3">
        <f>600/55.75</f>
        <v>10.762331838565023</v>
      </c>
      <c r="D23" s="3">
        <f>600/54.7</f>
        <v>10.968921389396709</v>
      </c>
      <c r="E23" s="3">
        <f t="shared" si="0"/>
        <v>10.970922153139687</v>
      </c>
      <c r="F23" s="3">
        <v>0.38100000000000001</v>
      </c>
      <c r="G23" s="3">
        <f t="shared" si="1"/>
        <v>0.11400908649750001</v>
      </c>
      <c r="H23" s="3">
        <f t="shared" si="2"/>
        <v>96.22848923870869</v>
      </c>
      <c r="I23" s="3">
        <v>30.7</v>
      </c>
      <c r="J23" s="3">
        <v>1.0338E-2</v>
      </c>
      <c r="K23" s="3">
        <f t="shared" si="3"/>
        <v>3546.4359063598386</v>
      </c>
    </row>
    <row r="24" spans="1:11">
      <c r="A24" s="3">
        <v>22.1</v>
      </c>
      <c r="B24" s="3">
        <f>600/52.93</f>
        <v>11.335726431135463</v>
      </c>
      <c r="C24" s="3">
        <f>600/55.33</f>
        <v>10.844026748599314</v>
      </c>
      <c r="D24" s="3">
        <f>600/53.04</f>
        <v>11.312217194570136</v>
      </c>
      <c r="E24" s="3">
        <f t="shared" si="0"/>
        <v>11.163990124768304</v>
      </c>
      <c r="F24" s="3">
        <v>0.38100000000000001</v>
      </c>
      <c r="G24" s="3">
        <f t="shared" si="1"/>
        <v>0.11400908649750001</v>
      </c>
      <c r="H24" s="3">
        <f t="shared" si="2"/>
        <v>97.921932959379589</v>
      </c>
      <c r="I24" s="3">
        <v>30.7</v>
      </c>
      <c r="J24" s="3">
        <v>1.0338E-2</v>
      </c>
      <c r="K24" s="3">
        <f t="shared" si="3"/>
        <v>3608.8466296695324</v>
      </c>
    </row>
    <row r="25" spans="1:11">
      <c r="A25" s="3">
        <v>23</v>
      </c>
      <c r="B25" s="3">
        <f>600/51.83</f>
        <v>11.576307158016593</v>
      </c>
      <c r="C25" s="3">
        <f>600/53.26</f>
        <v>11.265490048817124</v>
      </c>
      <c r="D25" s="3">
        <f>600/51.54</f>
        <v>11.641443538998836</v>
      </c>
      <c r="E25" s="3">
        <f t="shared" si="0"/>
        <v>11.494413581944185</v>
      </c>
      <c r="F25" s="3">
        <v>0.38100000000000001</v>
      </c>
      <c r="G25" s="3">
        <f t="shared" si="1"/>
        <v>0.11400908649750001</v>
      </c>
      <c r="H25" s="3">
        <f t="shared" si="2"/>
        <v>100.82015333221914</v>
      </c>
      <c r="I25" s="3">
        <v>30.7</v>
      </c>
      <c r="J25" s="3">
        <v>1.0338E-2</v>
      </c>
      <c r="K25" s="3">
        <f t="shared" si="3"/>
        <v>3715.6585818896783</v>
      </c>
    </row>
    <row r="26" spans="1:11">
      <c r="A26" s="3">
        <v>23.9</v>
      </c>
      <c r="B26" s="3">
        <f>600/53.25</f>
        <v>11.267605633802816</v>
      </c>
      <c r="C26" s="3">
        <f>600/50.18</f>
        <v>11.95695496213631</v>
      </c>
      <c r="D26" s="3">
        <f>600/50.55</f>
        <v>11.869436201780417</v>
      </c>
      <c r="E26" s="3">
        <f t="shared" si="0"/>
        <v>11.69799893257318</v>
      </c>
      <c r="F26" s="3">
        <v>0.38100000000000001</v>
      </c>
      <c r="G26" s="3">
        <f t="shared" si="1"/>
        <v>0.11400908649750001</v>
      </c>
      <c r="H26" s="3">
        <f t="shared" si="2"/>
        <v>102.60584741050174</v>
      </c>
      <c r="I26" s="3">
        <v>30.7</v>
      </c>
      <c r="J26" s="3">
        <v>1.0338E-2</v>
      </c>
      <c r="K26" s="3">
        <f t="shared" si="3"/>
        <v>3781.4691297544168</v>
      </c>
    </row>
    <row r="27" spans="1:11">
      <c r="A27" s="3">
        <v>25</v>
      </c>
      <c r="B27" s="3">
        <f>600/52.94</f>
        <v>11.333585190782017</v>
      </c>
      <c r="C27" s="3">
        <f>600/49.26</f>
        <v>12.180267965895251</v>
      </c>
      <c r="D27" s="3">
        <f>600/49.69</f>
        <v>12.074864157778226</v>
      </c>
      <c r="E27" s="3">
        <f t="shared" si="0"/>
        <v>11.862905771485165</v>
      </c>
      <c r="F27" s="3">
        <v>0.38100000000000001</v>
      </c>
      <c r="G27" s="3">
        <f t="shared" si="1"/>
        <v>0.11400908649750001</v>
      </c>
      <c r="H27" s="3">
        <f t="shared" si="2"/>
        <v>104.05228333923451</v>
      </c>
      <c r="I27" s="3">
        <v>30.7</v>
      </c>
      <c r="J27" s="3">
        <v>1.0338E-2</v>
      </c>
      <c r="K27" s="3">
        <f t="shared" si="3"/>
        <v>3834.7765479056247</v>
      </c>
    </row>
    <row r="29" spans="1:11">
      <c r="A29" s="3"/>
      <c r="B29" s="13"/>
      <c r="C29" s="13"/>
      <c r="D29" s="13"/>
      <c r="E29" s="13"/>
      <c r="F29" s="13"/>
      <c r="G29" s="13"/>
      <c r="H29" s="13"/>
      <c r="I29" s="13"/>
      <c r="J29" s="13"/>
      <c r="K29" s="13"/>
    </row>
  </sheetData>
  <pageMargins left="0.75" right="0.75" top="1" bottom="1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27"/>
  <sheetViews>
    <sheetView workbookViewId="0">
      <selection activeCell="K8" sqref="K8"/>
    </sheetView>
  </sheetViews>
  <sheetFormatPr defaultColWidth="11.33203125" defaultRowHeight="15" customHeight="1"/>
  <cols>
    <col min="1" max="1" width="6.6640625" customWidth="1"/>
    <col min="2" max="5" width="9.6640625" customWidth="1"/>
    <col min="6" max="6" width="6.6640625" customWidth="1"/>
    <col min="7" max="7" width="9.6640625" customWidth="1"/>
    <col min="8" max="8" width="9.44140625" customWidth="1"/>
    <col min="9" max="9" width="7.88671875" customWidth="1"/>
    <col min="10" max="10" width="7.33203125" customWidth="1"/>
    <col min="11" max="11" width="9.6640625" customWidth="1"/>
    <col min="12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37</v>
      </c>
    </row>
    <row r="2" spans="1:12">
      <c r="A2" s="3">
        <v>0</v>
      </c>
      <c r="B2" s="3"/>
      <c r="C2" s="3"/>
      <c r="D2" s="3"/>
      <c r="E2" s="3">
        <f t="shared" ref="E2:E25" si="0">(B2+C2+D2)/3</f>
        <v>0</v>
      </c>
      <c r="F2" s="3">
        <f t="shared" ref="F2:F25" si="1">0.50546</f>
        <v>0.50546000000000002</v>
      </c>
      <c r="G2" s="3">
        <f t="shared" ref="G2:G25" si="2">3.14159*F2*F2/4</f>
        <v>0.200661059306111</v>
      </c>
      <c r="H2" s="3">
        <f t="shared" ref="H2:H25" si="3">E2/G2</f>
        <v>0</v>
      </c>
      <c r="I2" s="3">
        <v>30.7</v>
      </c>
      <c r="J2" s="3">
        <v>1.0248E-2</v>
      </c>
      <c r="K2" s="3">
        <f t="shared" ref="K2:K25" si="4">H2*F2/J2</f>
        <v>0</v>
      </c>
      <c r="L2" s="13"/>
    </row>
    <row r="3" spans="1:12">
      <c r="A3" s="3">
        <v>1</v>
      </c>
      <c r="B3" s="3">
        <f>300/96.82</f>
        <v>3.0985333608758525</v>
      </c>
      <c r="C3" s="3">
        <f>300/96.57</f>
        <v>3.1065548306927617</v>
      </c>
      <c r="D3" s="3">
        <f>300/98.18</f>
        <v>3.0556121409655734</v>
      </c>
      <c r="E3" s="3">
        <f t="shared" si="0"/>
        <v>3.0869001108447294</v>
      </c>
      <c r="F3" s="3">
        <f t="shared" si="1"/>
        <v>0.50546000000000002</v>
      </c>
      <c r="G3" s="3">
        <f t="shared" si="2"/>
        <v>0.200661059306111</v>
      </c>
      <c r="H3" s="3">
        <f t="shared" si="3"/>
        <v>15.383653019271787</v>
      </c>
      <c r="I3" s="3">
        <v>30.7</v>
      </c>
      <c r="J3" s="3">
        <v>1.0248E-2</v>
      </c>
      <c r="K3" s="3">
        <f t="shared" si="4"/>
        <v>758.76475947708013</v>
      </c>
      <c r="L3" s="13"/>
    </row>
    <row r="4" spans="1:12">
      <c r="A4" s="3">
        <v>2</v>
      </c>
      <c r="B4" s="3">
        <f>600/113.37</f>
        <v>5.2924053982535062</v>
      </c>
      <c r="C4" s="3">
        <f>600/113.91</f>
        <v>5.2673163023439562</v>
      </c>
      <c r="D4" s="3">
        <f>600/113.86</f>
        <v>5.2696293694010192</v>
      </c>
      <c r="E4" s="3">
        <f t="shared" si="0"/>
        <v>5.2764503566661602</v>
      </c>
      <c r="F4" s="3">
        <f t="shared" si="1"/>
        <v>0.50546000000000002</v>
      </c>
      <c r="G4" s="3">
        <f t="shared" si="2"/>
        <v>0.200661059306111</v>
      </c>
      <c r="H4" s="3">
        <f t="shared" si="3"/>
        <v>26.295337894219266</v>
      </c>
      <c r="I4" s="3">
        <v>30.7</v>
      </c>
      <c r="J4" s="3">
        <v>1.0248E-2</v>
      </c>
      <c r="K4" s="3">
        <f t="shared" si="4"/>
        <v>1296.9595523040662</v>
      </c>
      <c r="L4" s="13"/>
    </row>
    <row r="5" spans="1:12">
      <c r="A5" s="3">
        <v>3</v>
      </c>
      <c r="B5" s="3">
        <f>600/85.13</f>
        <v>7.048044167743452</v>
      </c>
      <c r="C5" s="3">
        <f>600/86</f>
        <v>6.9767441860465116</v>
      </c>
      <c r="D5" s="3">
        <f>600/87.84</f>
        <v>6.8306010928961749</v>
      </c>
      <c r="E5" s="3">
        <f t="shared" si="0"/>
        <v>6.9517964822287128</v>
      </c>
      <c r="F5" s="3">
        <f t="shared" si="1"/>
        <v>0.50546000000000002</v>
      </c>
      <c r="G5" s="3">
        <f t="shared" si="2"/>
        <v>0.200661059306111</v>
      </c>
      <c r="H5" s="3">
        <f t="shared" si="3"/>
        <v>34.644472157518408</v>
      </c>
      <c r="I5" s="3">
        <v>30.7</v>
      </c>
      <c r="J5" s="3">
        <v>1.0248E-2</v>
      </c>
      <c r="K5" s="3">
        <f t="shared" si="4"/>
        <v>1708.7621874257663</v>
      </c>
      <c r="L5" s="13"/>
    </row>
    <row r="6" spans="1:12">
      <c r="A6" s="3">
        <v>3.9</v>
      </c>
      <c r="B6" s="3">
        <f>600/72.57</f>
        <v>8.2678792889623818</v>
      </c>
      <c r="C6" s="3">
        <f>600/72.83</f>
        <v>8.2383633118220523</v>
      </c>
      <c r="D6" s="3">
        <f>600/73.04</f>
        <v>8.2146768893756832</v>
      </c>
      <c r="E6" s="3">
        <f t="shared" si="0"/>
        <v>8.2403064967200379</v>
      </c>
      <c r="F6" s="3">
        <f t="shared" si="1"/>
        <v>0.50546000000000002</v>
      </c>
      <c r="G6" s="3">
        <f t="shared" si="2"/>
        <v>0.200661059306111</v>
      </c>
      <c r="H6" s="3">
        <f t="shared" si="3"/>
        <v>41.06579784446042</v>
      </c>
      <c r="I6" s="3">
        <v>30.7</v>
      </c>
      <c r="J6" s="3">
        <v>1.0248E-2</v>
      </c>
      <c r="K6" s="3">
        <f t="shared" si="4"/>
        <v>2025.4799159310073</v>
      </c>
      <c r="L6" s="13"/>
    </row>
    <row r="7" spans="1:12">
      <c r="A7" s="3">
        <v>5</v>
      </c>
      <c r="B7" s="3">
        <f>600/62.69</f>
        <v>9.5709044504705698</v>
      </c>
      <c r="C7" s="3">
        <f>600/63.33</f>
        <v>9.4741828517290383</v>
      </c>
      <c r="D7" s="3">
        <f>600/62.51</f>
        <v>9.5984642457206846</v>
      </c>
      <c r="E7" s="3">
        <f t="shared" si="0"/>
        <v>9.5478505159734315</v>
      </c>
      <c r="F7" s="3">
        <f t="shared" si="1"/>
        <v>0.50546000000000002</v>
      </c>
      <c r="G7" s="3">
        <f t="shared" si="2"/>
        <v>0.200661059306111</v>
      </c>
      <c r="H7" s="3">
        <f t="shared" si="3"/>
        <v>47.58198002636906</v>
      </c>
      <c r="I7" s="3">
        <v>30.7</v>
      </c>
      <c r="J7" s="3">
        <v>1.0248E-2</v>
      </c>
      <c r="K7" s="3">
        <f t="shared" si="4"/>
        <v>2346.8762318626568</v>
      </c>
      <c r="L7" s="13"/>
    </row>
    <row r="8" spans="1:12">
      <c r="A8" s="3">
        <v>5.9</v>
      </c>
      <c r="B8" s="3">
        <f>600/56.63</f>
        <v>10.595090941197245</v>
      </c>
      <c r="C8" s="3">
        <f>600/56.69</f>
        <v>10.583877227024168</v>
      </c>
      <c r="D8" s="3">
        <f>600/56.9</f>
        <v>10.54481546572935</v>
      </c>
      <c r="E8" s="3">
        <f t="shared" si="0"/>
        <v>10.574594544650255</v>
      </c>
      <c r="F8" s="3">
        <f t="shared" si="1"/>
        <v>0.50546000000000002</v>
      </c>
      <c r="G8" s="3">
        <f t="shared" si="2"/>
        <v>0.200661059306111</v>
      </c>
      <c r="H8" s="3">
        <f t="shared" si="3"/>
        <v>52.698787603421231</v>
      </c>
      <c r="I8" s="3">
        <v>30.7</v>
      </c>
      <c r="J8" s="3">
        <v>1.0248E-2</v>
      </c>
      <c r="K8" s="3">
        <f t="shared" si="4"/>
        <v>2599.2514814622655</v>
      </c>
      <c r="L8" s="13"/>
    </row>
    <row r="9" spans="1:12">
      <c r="A9" s="3">
        <v>7</v>
      </c>
      <c r="B9" s="3">
        <f>800/69.39</f>
        <v>11.529038766392851</v>
      </c>
      <c r="C9" s="3">
        <f>800/69.26</f>
        <v>11.550678602367888</v>
      </c>
      <c r="D9" s="3">
        <f>800/69.32</f>
        <v>11.540680900173111</v>
      </c>
      <c r="E9" s="3">
        <f t="shared" si="0"/>
        <v>11.540132756311285</v>
      </c>
      <c r="F9" s="3">
        <f t="shared" si="1"/>
        <v>0.50546000000000002</v>
      </c>
      <c r="G9" s="3">
        <f t="shared" si="2"/>
        <v>0.200661059306111</v>
      </c>
      <c r="H9" s="3">
        <f t="shared" si="3"/>
        <v>57.510574279918785</v>
      </c>
      <c r="I9" s="3">
        <v>30.7</v>
      </c>
      <c r="J9" s="3">
        <v>1.0248E-2</v>
      </c>
      <c r="K9" s="3">
        <f t="shared" si="4"/>
        <v>2836.5822478071573</v>
      </c>
      <c r="L9" s="13"/>
    </row>
    <row r="10" spans="1:12">
      <c r="A10" s="3">
        <v>8</v>
      </c>
      <c r="B10" s="3">
        <f>800/63.63</f>
        <v>12.572685840012571</v>
      </c>
      <c r="C10" s="3">
        <f>800/64.71</f>
        <v>12.362849636841293</v>
      </c>
      <c r="D10" s="3">
        <f>800/64.67</f>
        <v>12.370496366166693</v>
      </c>
      <c r="E10" s="3">
        <f t="shared" si="0"/>
        <v>12.435343947673518</v>
      </c>
      <c r="F10" s="3">
        <f t="shared" si="1"/>
        <v>0.50546000000000002</v>
      </c>
      <c r="G10" s="3">
        <f t="shared" si="2"/>
        <v>0.200661059306111</v>
      </c>
      <c r="H10" s="3">
        <f t="shared" si="3"/>
        <v>61.971884284250898</v>
      </c>
      <c r="I10" s="3">
        <v>30.7</v>
      </c>
      <c r="J10" s="3">
        <v>1.0248E-2</v>
      </c>
      <c r="K10" s="3">
        <f t="shared" si="4"/>
        <v>3056.6265252066219</v>
      </c>
      <c r="L10" s="13"/>
    </row>
    <row r="11" spans="1:12">
      <c r="A11" s="3">
        <v>9</v>
      </c>
      <c r="B11" s="3">
        <f>800/60.53</f>
        <v>13.216586816454651</v>
      </c>
      <c r="C11" s="3">
        <f>800/59.61</f>
        <v>13.42056701895655</v>
      </c>
      <c r="D11" s="3">
        <f>800/60.57</f>
        <v>13.207858675912167</v>
      </c>
      <c r="E11" s="3">
        <f t="shared" si="0"/>
        <v>13.281670837107789</v>
      </c>
      <c r="F11" s="3">
        <f t="shared" si="1"/>
        <v>0.50546000000000002</v>
      </c>
      <c r="G11" s="3">
        <f t="shared" si="2"/>
        <v>0.200661059306111</v>
      </c>
      <c r="H11" s="3">
        <f t="shared" si="3"/>
        <v>66.189578003006716</v>
      </c>
      <c r="I11" s="3">
        <v>30.7</v>
      </c>
      <c r="J11" s="3">
        <v>1.0248E-2</v>
      </c>
      <c r="K11" s="3">
        <f t="shared" si="4"/>
        <v>3264.654966569065</v>
      </c>
      <c r="L11" s="13"/>
    </row>
    <row r="12" spans="1:12">
      <c r="A12" s="3">
        <v>10</v>
      </c>
      <c r="B12" s="3">
        <f>800/57.5</f>
        <v>13.913043478260869</v>
      </c>
      <c r="C12" s="3">
        <f>800/56.33</f>
        <v>14.202023788389846</v>
      </c>
      <c r="D12" s="3">
        <f>800/56.92</f>
        <v>14.054813773717498</v>
      </c>
      <c r="E12" s="3">
        <f t="shared" si="0"/>
        <v>14.056627013456071</v>
      </c>
      <c r="F12" s="3">
        <f t="shared" si="1"/>
        <v>0.50546000000000002</v>
      </c>
      <c r="G12" s="3">
        <f t="shared" si="2"/>
        <v>0.200661059306111</v>
      </c>
      <c r="H12" s="3">
        <f t="shared" si="3"/>
        <v>70.051593777408044</v>
      </c>
      <c r="I12" s="3">
        <v>30.7</v>
      </c>
      <c r="J12" s="3">
        <v>1.0248E-2</v>
      </c>
      <c r="K12" s="3">
        <f t="shared" si="4"/>
        <v>3455.140377705764</v>
      </c>
      <c r="L12" s="13"/>
    </row>
    <row r="13" spans="1:12">
      <c r="A13" s="3">
        <v>10.9</v>
      </c>
      <c r="B13" s="3">
        <f>800/53.71</f>
        <v>14.894805436603985</v>
      </c>
      <c r="C13" s="3">
        <f>800/54.32</f>
        <v>14.727540500736376</v>
      </c>
      <c r="D13" s="3">
        <f>800/54.02</f>
        <v>14.809329877823028</v>
      </c>
      <c r="E13" s="3">
        <f t="shared" si="0"/>
        <v>14.810558605054462</v>
      </c>
      <c r="F13" s="3">
        <f t="shared" si="1"/>
        <v>0.50546000000000002</v>
      </c>
      <c r="G13" s="3">
        <f t="shared" si="2"/>
        <v>0.200661059306111</v>
      </c>
      <c r="H13" s="3">
        <f t="shared" si="3"/>
        <v>73.808832945812199</v>
      </c>
      <c r="I13" s="3">
        <v>30.7</v>
      </c>
      <c r="J13" s="3">
        <v>1.0248E-2</v>
      </c>
      <c r="K13" s="3">
        <f t="shared" si="4"/>
        <v>3640.4579138163776</v>
      </c>
      <c r="L13" s="13"/>
    </row>
    <row r="14" spans="1:12">
      <c r="A14" s="3">
        <v>12</v>
      </c>
      <c r="B14" s="3">
        <f>800/50.83</f>
        <v>15.73873696635845</v>
      </c>
      <c r="C14" s="3">
        <f>800/51.43</f>
        <v>15.555123468792534</v>
      </c>
      <c r="D14" s="3">
        <f>800/51.13</f>
        <v>15.646391550948561</v>
      </c>
      <c r="E14" s="3">
        <f t="shared" si="0"/>
        <v>15.646750662033179</v>
      </c>
      <c r="F14" s="3">
        <f t="shared" si="1"/>
        <v>0.50546000000000002</v>
      </c>
      <c r="G14" s="3">
        <f t="shared" si="2"/>
        <v>0.200661059306111</v>
      </c>
      <c r="H14" s="3">
        <f t="shared" si="3"/>
        <v>77.976019443632367</v>
      </c>
      <c r="I14" s="3">
        <v>30.7</v>
      </c>
      <c r="J14" s="3">
        <v>1.0248E-2</v>
      </c>
      <c r="K14" s="3">
        <f t="shared" si="4"/>
        <v>3845.9951978901654</v>
      </c>
      <c r="L14" s="13"/>
    </row>
    <row r="15" spans="1:12">
      <c r="A15" s="3">
        <v>13</v>
      </c>
      <c r="B15" s="3">
        <f>800/47.27</f>
        <v>16.924053310767928</v>
      </c>
      <c r="C15" s="3">
        <f>800/49.51</f>
        <v>16.158351848111494</v>
      </c>
      <c r="D15" s="3">
        <f>800/48.35</f>
        <v>16.546018614270942</v>
      </c>
      <c r="E15" s="3">
        <f t="shared" si="0"/>
        <v>16.542807924383457</v>
      </c>
      <c r="F15" s="3">
        <f t="shared" si="1"/>
        <v>0.50546000000000002</v>
      </c>
      <c r="G15" s="3">
        <f t="shared" si="2"/>
        <v>0.200661059306111</v>
      </c>
      <c r="H15" s="3">
        <f t="shared" si="3"/>
        <v>82.441545866391508</v>
      </c>
      <c r="I15" s="3">
        <v>30.7</v>
      </c>
      <c r="J15" s="3">
        <v>1.0248E-2</v>
      </c>
      <c r="K15" s="3">
        <f t="shared" si="4"/>
        <v>4066.24744083004</v>
      </c>
      <c r="L15" s="13"/>
    </row>
    <row r="16" spans="1:12">
      <c r="A16" s="3">
        <v>14.1</v>
      </c>
      <c r="B16" s="3">
        <f>800/47.19</f>
        <v>16.952744225471498</v>
      </c>
      <c r="C16" s="3">
        <f>800/47.4</f>
        <v>16.877637130801688</v>
      </c>
      <c r="D16" s="3">
        <f>800/47.3</f>
        <v>16.913319238900634</v>
      </c>
      <c r="E16" s="3">
        <f t="shared" si="0"/>
        <v>16.914566865057939</v>
      </c>
      <c r="F16" s="3">
        <f t="shared" si="1"/>
        <v>0.50546000000000002</v>
      </c>
      <c r="G16" s="3">
        <f t="shared" si="2"/>
        <v>0.200661059306111</v>
      </c>
      <c r="H16" s="3">
        <f t="shared" si="3"/>
        <v>84.294216942483857</v>
      </c>
      <c r="I16" s="3">
        <v>30.7</v>
      </c>
      <c r="J16" s="3">
        <v>1.0248E-2</v>
      </c>
      <c r="K16" s="3">
        <f t="shared" si="4"/>
        <v>4157.6263559472964</v>
      </c>
      <c r="L16" s="13"/>
    </row>
    <row r="17" spans="1:11">
      <c r="A17" s="3">
        <v>15</v>
      </c>
      <c r="B17" s="3">
        <f>800/45.31</f>
        <v>17.65614654601633</v>
      </c>
      <c r="C17" s="3">
        <f>800/45.82</f>
        <v>17.459624618070713</v>
      </c>
      <c r="D17" s="3">
        <f>800/45.56</f>
        <v>17.559262510974538</v>
      </c>
      <c r="E17" s="3">
        <f t="shared" si="0"/>
        <v>17.558344558353863</v>
      </c>
      <c r="F17" s="3">
        <f t="shared" si="1"/>
        <v>0.50546000000000002</v>
      </c>
      <c r="G17" s="3">
        <f t="shared" si="2"/>
        <v>0.200661059306111</v>
      </c>
      <c r="H17" s="3">
        <f t="shared" si="3"/>
        <v>87.502501078539538</v>
      </c>
      <c r="I17" s="3">
        <v>30.7</v>
      </c>
      <c r="J17" s="3">
        <v>1.0248E-2</v>
      </c>
      <c r="K17" s="3">
        <f t="shared" si="4"/>
        <v>4315.8678957024395</v>
      </c>
    </row>
    <row r="18" spans="1:11">
      <c r="A18" s="3">
        <v>16</v>
      </c>
      <c r="B18" s="3">
        <f>800/43.76</f>
        <v>18.281535648994517</v>
      </c>
      <c r="C18" s="3">
        <f>800/44.33</f>
        <v>18.046469659372885</v>
      </c>
      <c r="D18" s="3">
        <f>800/44.04</f>
        <v>18.165304268846505</v>
      </c>
      <c r="E18" s="3">
        <f t="shared" si="0"/>
        <v>18.164436525737969</v>
      </c>
      <c r="F18" s="3">
        <f t="shared" si="1"/>
        <v>0.50546000000000002</v>
      </c>
      <c r="G18" s="3">
        <f t="shared" si="2"/>
        <v>0.200661059306111</v>
      </c>
      <c r="H18" s="3">
        <f t="shared" si="3"/>
        <v>90.52297734573348</v>
      </c>
      <c r="I18" s="3">
        <v>30.7</v>
      </c>
      <c r="J18" s="3">
        <v>1.0248E-2</v>
      </c>
      <c r="K18" s="3">
        <f t="shared" si="4"/>
        <v>4464.8462265002381</v>
      </c>
    </row>
    <row r="19" spans="1:11">
      <c r="A19" s="3">
        <v>16.899999999999999</v>
      </c>
      <c r="B19" s="3">
        <f>800/42.27</f>
        <v>18.925952211970664</v>
      </c>
      <c r="C19" s="3">
        <f>800/42.76</f>
        <v>18.709073900841908</v>
      </c>
      <c r="D19" s="3">
        <f>800/42.51</f>
        <v>18.819101387908727</v>
      </c>
      <c r="E19" s="3">
        <f t="shared" si="0"/>
        <v>18.818042500240434</v>
      </c>
      <c r="F19" s="3">
        <f t="shared" si="1"/>
        <v>0.50546000000000002</v>
      </c>
      <c r="G19" s="3">
        <f t="shared" si="2"/>
        <v>0.200661059306111</v>
      </c>
      <c r="H19" s="3">
        <f t="shared" si="3"/>
        <v>93.780240996003471</v>
      </c>
      <c r="I19" s="3">
        <v>30.7</v>
      </c>
      <c r="J19" s="3">
        <v>1.0248E-2</v>
      </c>
      <c r="K19" s="3">
        <f t="shared" si="4"/>
        <v>4625.503572779071</v>
      </c>
    </row>
    <row r="20" spans="1:11">
      <c r="A20" s="3">
        <v>18</v>
      </c>
      <c r="B20" s="3">
        <f>800/41.48</f>
        <v>19.286403085824496</v>
      </c>
      <c r="C20" s="3">
        <f>800/41.51</f>
        <v>19.27246446639364</v>
      </c>
      <c r="D20" s="3">
        <f>1600/82.99</f>
        <v>19.279431256777926</v>
      </c>
      <c r="E20" s="3">
        <f t="shared" si="0"/>
        <v>19.279432936332018</v>
      </c>
      <c r="F20" s="3">
        <f t="shared" si="1"/>
        <v>0.50546000000000002</v>
      </c>
      <c r="G20" s="3">
        <f t="shared" si="2"/>
        <v>0.200661059306111</v>
      </c>
      <c r="H20" s="3">
        <f t="shared" si="3"/>
        <v>96.079593135811152</v>
      </c>
      <c r="I20" s="3">
        <v>30.7</v>
      </c>
      <c r="J20" s="3">
        <v>1.0248E-2</v>
      </c>
      <c r="K20" s="3">
        <f t="shared" si="4"/>
        <v>4738.9140462946043</v>
      </c>
    </row>
    <row r="21" spans="1:11">
      <c r="A21" s="3">
        <v>19</v>
      </c>
      <c r="B21" s="3">
        <f>800/39.33</f>
        <v>20.340706839562674</v>
      </c>
      <c r="C21" s="3">
        <f>800/40.01</f>
        <v>19.995001249687579</v>
      </c>
      <c r="D21" s="3">
        <f>1600/79.34</f>
        <v>20.166372573733298</v>
      </c>
      <c r="E21" s="3">
        <f t="shared" si="0"/>
        <v>20.167360220994517</v>
      </c>
      <c r="F21" s="3">
        <f t="shared" si="1"/>
        <v>0.50546000000000002</v>
      </c>
      <c r="G21" s="3">
        <f t="shared" si="2"/>
        <v>0.200661059306111</v>
      </c>
      <c r="H21" s="3">
        <f t="shared" si="3"/>
        <v>100.50460358743025</v>
      </c>
      <c r="I21" s="3">
        <v>30.7</v>
      </c>
      <c r="J21" s="3">
        <v>1.0248E-2</v>
      </c>
      <c r="K21" s="3">
        <f t="shared" si="4"/>
        <v>4957.1679283082058</v>
      </c>
    </row>
    <row r="22" spans="1:11">
      <c r="A22" s="3">
        <v>19.899999999999999</v>
      </c>
      <c r="B22" s="3">
        <f>800/39.18</f>
        <v>20.418580908626851</v>
      </c>
      <c r="C22" s="3">
        <f>800/38.65</f>
        <v>20.69857697283312</v>
      </c>
      <c r="D22" s="3">
        <f>1600/77.83</f>
        <v>20.557625594243866</v>
      </c>
      <c r="E22" s="3">
        <f t="shared" si="0"/>
        <v>20.558261158567948</v>
      </c>
      <c r="F22" s="3">
        <f t="shared" si="1"/>
        <v>0.50546000000000002</v>
      </c>
      <c r="G22" s="3">
        <f t="shared" si="2"/>
        <v>0.200661059306111</v>
      </c>
      <c r="H22" s="3">
        <f t="shared" si="3"/>
        <v>102.45266934032307</v>
      </c>
      <c r="I22" s="3">
        <v>30.7</v>
      </c>
      <c r="J22" s="3">
        <v>1.0248E-2</v>
      </c>
      <c r="K22" s="3">
        <f t="shared" si="4"/>
        <v>5053.2519754839677</v>
      </c>
    </row>
    <row r="23" spans="1:11">
      <c r="A23" s="3">
        <v>21</v>
      </c>
      <c r="B23" s="3">
        <f>800/37.44</f>
        <v>21.36752136752137</v>
      </c>
      <c r="C23" s="3">
        <f>800/37.43</f>
        <v>21.373230029388193</v>
      </c>
      <c r="D23" s="3">
        <f>1600/74.87</f>
        <v>21.370375317216507</v>
      </c>
      <c r="E23" s="3">
        <f t="shared" si="0"/>
        <v>21.370375571375359</v>
      </c>
      <c r="F23" s="3">
        <f t="shared" si="1"/>
        <v>0.50546000000000002</v>
      </c>
      <c r="G23" s="3">
        <f t="shared" si="2"/>
        <v>0.200661059306111</v>
      </c>
      <c r="H23" s="3">
        <f t="shared" si="3"/>
        <v>106.49986422514883</v>
      </c>
      <c r="I23" s="3">
        <v>30.7</v>
      </c>
      <c r="J23" s="3">
        <v>1.0248E-2</v>
      </c>
      <c r="K23" s="3">
        <f t="shared" si="4"/>
        <v>5252.870937865313</v>
      </c>
    </row>
    <row r="24" spans="1:11">
      <c r="A24" s="3">
        <v>22.9</v>
      </c>
      <c r="B24" s="3">
        <f>800/36.61</f>
        <v>21.85195301830101</v>
      </c>
      <c r="C24" s="3">
        <f>800/35.91</f>
        <v>22.277917014759122</v>
      </c>
      <c r="D24" s="3">
        <f>1600/72.52</f>
        <v>22.062879205736351</v>
      </c>
      <c r="E24" s="3">
        <f t="shared" si="0"/>
        <v>22.064249746265492</v>
      </c>
      <c r="F24" s="3">
        <f t="shared" si="1"/>
        <v>0.50546000000000002</v>
      </c>
      <c r="G24" s="3">
        <f t="shared" si="2"/>
        <v>0.200661059306111</v>
      </c>
      <c r="H24" s="3">
        <f t="shared" si="3"/>
        <v>109.95780557804291</v>
      </c>
      <c r="I24" s="3">
        <v>30.7</v>
      </c>
      <c r="J24" s="3">
        <v>1.0248E-2</v>
      </c>
      <c r="K24" s="3">
        <f t="shared" si="4"/>
        <v>5423.426269269864</v>
      </c>
    </row>
    <row r="25" spans="1:11">
      <c r="A25" s="3">
        <v>24.8</v>
      </c>
      <c r="B25" s="3">
        <f>800/33.12</f>
        <v>24.154589371980677</v>
      </c>
      <c r="C25" s="3">
        <f>800/33.43</f>
        <v>23.930601256356567</v>
      </c>
      <c r="D25" s="3">
        <f>1600/66.55</f>
        <v>24.042073628850488</v>
      </c>
      <c r="E25" s="3">
        <f t="shared" si="0"/>
        <v>24.042421419062578</v>
      </c>
      <c r="F25" s="3">
        <f t="shared" si="1"/>
        <v>0.50546000000000002</v>
      </c>
      <c r="G25" s="3">
        <f t="shared" si="2"/>
        <v>0.200661059306111</v>
      </c>
      <c r="H25" s="3">
        <f t="shared" si="3"/>
        <v>119.81607942368906</v>
      </c>
      <c r="I25" s="3">
        <v>30.7</v>
      </c>
      <c r="J25" s="3">
        <v>1.0248E-2</v>
      </c>
      <c r="K25" s="3">
        <f t="shared" si="4"/>
        <v>5909.6638861727042</v>
      </c>
    </row>
    <row r="27" spans="1:11">
      <c r="A27" s="3"/>
      <c r="B27" s="13"/>
      <c r="C27" s="13"/>
      <c r="D27" s="13"/>
      <c r="E27" s="13"/>
      <c r="F27" s="13"/>
      <c r="G27" s="13"/>
      <c r="H27" s="13"/>
      <c r="I27" s="13"/>
      <c r="J27" s="13"/>
      <c r="K27" s="13"/>
    </row>
  </sheetData>
  <pageMargins left="0.75" right="0.75" top="1" bottom="1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20"/>
  <sheetViews>
    <sheetView workbookViewId="0">
      <selection activeCell="K3" sqref="K3"/>
    </sheetView>
  </sheetViews>
  <sheetFormatPr defaultColWidth="11.33203125" defaultRowHeight="15" customHeight="1"/>
  <cols>
    <col min="1" max="1" width="6.6640625" customWidth="1"/>
    <col min="2" max="5" width="9.6640625" customWidth="1"/>
    <col min="6" max="6" width="6.6640625" customWidth="1"/>
    <col min="7" max="8" width="9.6640625" customWidth="1"/>
    <col min="9" max="9" width="6.6640625" customWidth="1"/>
    <col min="10" max="10" width="7.33203125" customWidth="1"/>
    <col min="11" max="11" width="9.6640625" customWidth="1"/>
    <col min="12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38</v>
      </c>
    </row>
    <row r="2" spans="1:12">
      <c r="A2" s="3">
        <v>0</v>
      </c>
      <c r="B2" s="3"/>
      <c r="C2" s="3"/>
      <c r="D2" s="3"/>
      <c r="E2" s="3">
        <f t="shared" ref="E2:E18" si="0">(B2+C2+D2)/3</f>
        <v>0</v>
      </c>
      <c r="F2" s="3">
        <v>0.63754</v>
      </c>
      <c r="G2" s="3">
        <f t="shared" ref="G2:G18" si="1">(F2^2)/4*PI()</f>
        <v>0.31923077890621454</v>
      </c>
      <c r="H2" s="3">
        <f t="shared" ref="H2:H18" si="2">E2/G2</f>
        <v>0</v>
      </c>
      <c r="I2" s="3">
        <v>30.7</v>
      </c>
      <c r="J2" s="3">
        <v>1.0336E-2</v>
      </c>
      <c r="K2" s="3">
        <f t="shared" ref="K2:K18" si="3">H2*F2/J2</f>
        <v>0</v>
      </c>
      <c r="L2" s="13"/>
    </row>
    <row r="3" spans="1:12">
      <c r="A3" s="3">
        <v>1.1000000000000001</v>
      </c>
      <c r="B3" s="3">
        <f>600/100.81</f>
        <v>5.9517904969745068</v>
      </c>
      <c r="C3" s="3">
        <f>600/100</f>
        <v>6</v>
      </c>
      <c r="D3" s="3">
        <f>600/102.01</f>
        <v>5.881776296441525</v>
      </c>
      <c r="E3" s="3">
        <f t="shared" si="0"/>
        <v>5.9445222644720106</v>
      </c>
      <c r="F3" s="3">
        <v>0.63754</v>
      </c>
      <c r="G3" s="3">
        <f t="shared" si="1"/>
        <v>0.31923077890621454</v>
      </c>
      <c r="H3" s="3">
        <f t="shared" si="2"/>
        <v>18.621394480945167</v>
      </c>
      <c r="I3" s="3">
        <v>30.7</v>
      </c>
      <c r="J3" s="3">
        <v>1.0336E-2</v>
      </c>
      <c r="K3" s="3">
        <f>H3*F3/J3</f>
        <v>1148.5955725021074</v>
      </c>
      <c r="L3" s="13"/>
    </row>
    <row r="4" spans="1:12">
      <c r="A4" s="3">
        <v>1.9</v>
      </c>
      <c r="B4" s="3">
        <f>600/63.81</f>
        <v>9.4029149036201218</v>
      </c>
      <c r="C4" s="3">
        <f>600/64.51</f>
        <v>9.3008835839404735</v>
      </c>
      <c r="D4" s="3">
        <f>600/65.2</f>
        <v>9.2024539877300615</v>
      </c>
      <c r="E4" s="3">
        <f t="shared" si="0"/>
        <v>9.302084158430219</v>
      </c>
      <c r="F4" s="3">
        <v>0.63754</v>
      </c>
      <c r="G4" s="3">
        <f t="shared" si="1"/>
        <v>0.31923077890621454</v>
      </c>
      <c r="H4" s="3">
        <f t="shared" si="2"/>
        <v>29.139057926375699</v>
      </c>
      <c r="I4" s="3">
        <v>30.7</v>
      </c>
      <c r="J4" s="3">
        <v>1.0336E-2</v>
      </c>
      <c r="K4" s="3">
        <f t="shared" si="3"/>
        <v>1797.3408465926436</v>
      </c>
      <c r="L4" s="13"/>
    </row>
    <row r="5" spans="1:12">
      <c r="A5" s="3">
        <v>3</v>
      </c>
      <c r="B5" s="3">
        <f>800/66.36</f>
        <v>12.055455093429778</v>
      </c>
      <c r="C5" s="3">
        <f>800/66.13</f>
        <v>12.097383940722819</v>
      </c>
      <c r="D5" s="3">
        <f>1600/132.49</f>
        <v>12.076383123254585</v>
      </c>
      <c r="E5" s="3">
        <f t="shared" si="0"/>
        <v>12.076407385802396</v>
      </c>
      <c r="F5" s="3">
        <v>0.63754</v>
      </c>
      <c r="G5" s="3">
        <f t="shared" si="1"/>
        <v>0.31923077890621454</v>
      </c>
      <c r="H5" s="3">
        <f t="shared" si="2"/>
        <v>37.829708736670007</v>
      </c>
      <c r="I5" s="3">
        <v>30.7</v>
      </c>
      <c r="J5" s="3">
        <v>1.0336E-2</v>
      </c>
      <c r="K5" s="3">
        <f t="shared" si="3"/>
        <v>2333.3932380008318</v>
      </c>
      <c r="L5" s="13"/>
    </row>
    <row r="6" spans="1:12">
      <c r="A6" s="3">
        <v>4</v>
      </c>
      <c r="B6" s="3">
        <f>800/53.91</f>
        <v>14.839547393804489</v>
      </c>
      <c r="C6" s="3">
        <f>800/55.29</f>
        <v>14.469162597214686</v>
      </c>
      <c r="D6" s="3">
        <f>1600/109.2</f>
        <v>14.652014652014651</v>
      </c>
      <c r="E6" s="3">
        <f t="shared" si="0"/>
        <v>14.653574881011275</v>
      </c>
      <c r="F6" s="3">
        <v>0.63754</v>
      </c>
      <c r="G6" s="3">
        <f t="shared" si="1"/>
        <v>0.31923077890621454</v>
      </c>
      <c r="H6" s="3">
        <f t="shared" si="2"/>
        <v>45.902763296255614</v>
      </c>
      <c r="I6" s="3">
        <v>30.7</v>
      </c>
      <c r="J6" s="3">
        <v>1.0336E-2</v>
      </c>
      <c r="K6" s="3">
        <f t="shared" si="3"/>
        <v>2831.3513653148998</v>
      </c>
      <c r="L6" s="13"/>
    </row>
    <row r="7" spans="1:12">
      <c r="A7" s="3">
        <v>5</v>
      </c>
      <c r="B7" s="3">
        <f>800/48.22</f>
        <v>16.59062629614268</v>
      </c>
      <c r="C7" s="3">
        <f>800/48</f>
        <v>16.666666666666668</v>
      </c>
      <c r="D7" s="3">
        <f>1600/96.22</f>
        <v>16.628559551028893</v>
      </c>
      <c r="E7" s="3">
        <f t="shared" si="0"/>
        <v>16.628617504612745</v>
      </c>
      <c r="F7" s="3">
        <v>0.63754</v>
      </c>
      <c r="G7" s="3">
        <f t="shared" si="1"/>
        <v>0.31923077890621454</v>
      </c>
      <c r="H7" s="3">
        <f t="shared" si="2"/>
        <v>52.089643616407038</v>
      </c>
      <c r="I7" s="3">
        <v>30.7</v>
      </c>
      <c r="J7" s="3">
        <v>1.0336E-2</v>
      </c>
      <c r="K7" s="3">
        <f t="shared" si="3"/>
        <v>3212.967433359534</v>
      </c>
      <c r="L7" s="13"/>
    </row>
    <row r="8" spans="1:12">
      <c r="A8" s="3">
        <v>6</v>
      </c>
      <c r="B8" s="3">
        <f>1000/53.33</f>
        <v>18.751171948246768</v>
      </c>
      <c r="C8" s="3">
        <f>1000/54.25</f>
        <v>18.433179723502302</v>
      </c>
      <c r="D8" s="3">
        <f>2000/107.58</f>
        <v>18.590816136828408</v>
      </c>
      <c r="E8" s="3">
        <f t="shared" si="0"/>
        <v>18.591722602859161</v>
      </c>
      <c r="F8" s="3">
        <v>0.63754</v>
      </c>
      <c r="G8" s="3">
        <f t="shared" si="1"/>
        <v>0.31923077890621454</v>
      </c>
      <c r="H8" s="3">
        <f t="shared" si="2"/>
        <v>58.239129279953119</v>
      </c>
      <c r="I8" s="3">
        <v>30.7</v>
      </c>
      <c r="J8" s="3">
        <v>1.0336E-2</v>
      </c>
      <c r="K8" s="3">
        <f t="shared" si="3"/>
        <v>3592.2769428348793</v>
      </c>
      <c r="L8" s="13"/>
    </row>
    <row r="9" spans="1:12">
      <c r="A9" s="3">
        <v>6.9</v>
      </c>
      <c r="B9" s="3">
        <f>1000/49.06</f>
        <v>20.38320423970648</v>
      </c>
      <c r="C9" s="3">
        <f>1000/50.26</f>
        <v>19.896538002387587</v>
      </c>
      <c r="D9" s="3">
        <f>2000/99.32</f>
        <v>20.13693113169553</v>
      </c>
      <c r="E9" s="3">
        <f t="shared" si="0"/>
        <v>20.13889112459653</v>
      </c>
      <c r="F9" s="3">
        <v>0.63754</v>
      </c>
      <c r="G9" s="3">
        <f t="shared" si="1"/>
        <v>0.31923077890621454</v>
      </c>
      <c r="H9" s="3">
        <f t="shared" si="2"/>
        <v>63.085681128864614</v>
      </c>
      <c r="I9" s="3">
        <v>30.7</v>
      </c>
      <c r="J9" s="3">
        <v>1.0336E-2</v>
      </c>
      <c r="K9" s="3">
        <f t="shared" si="3"/>
        <v>3891.2195382059163</v>
      </c>
      <c r="L9" s="13"/>
    </row>
    <row r="10" spans="1:12">
      <c r="A10" s="3">
        <v>9</v>
      </c>
      <c r="B10" s="3">
        <f>1000/42.57</f>
        <v>23.490721165139771</v>
      </c>
      <c r="C10" s="3">
        <f>1000/43.76</f>
        <v>22.851919561243147</v>
      </c>
      <c r="D10" s="3">
        <f>2000/85.33</f>
        <v>23.438415563107935</v>
      </c>
      <c r="E10" s="3">
        <f t="shared" si="0"/>
        <v>23.260352096496948</v>
      </c>
      <c r="F10" s="3">
        <v>0.63754</v>
      </c>
      <c r="G10" s="3">
        <f t="shared" si="1"/>
        <v>0.31923077890621454</v>
      </c>
      <c r="H10" s="3">
        <f t="shared" si="2"/>
        <v>72.863751346891618</v>
      </c>
      <c r="I10" s="3">
        <v>30.7</v>
      </c>
      <c r="J10" s="3">
        <v>1.0336E-2</v>
      </c>
      <c r="K10" s="3">
        <f t="shared" si="3"/>
        <v>4494.3455914954802</v>
      </c>
      <c r="L10" s="13"/>
    </row>
    <row r="11" spans="1:12">
      <c r="A11" s="3">
        <v>11</v>
      </c>
      <c r="B11" s="3">
        <f>1000/38.03</f>
        <v>26.295030239284774</v>
      </c>
      <c r="C11" s="3">
        <f>1000/39.44</f>
        <v>25.354969574036513</v>
      </c>
      <c r="D11" s="3">
        <f>2000/77.47</f>
        <v>25.816445075513101</v>
      </c>
      <c r="E11" s="3">
        <f t="shared" si="0"/>
        <v>25.822148296278129</v>
      </c>
      <c r="F11" s="3">
        <v>0.63754</v>
      </c>
      <c r="G11" s="3">
        <f t="shared" si="1"/>
        <v>0.31923077890621454</v>
      </c>
      <c r="H11" s="3">
        <f t="shared" si="2"/>
        <v>80.888654862018512</v>
      </c>
      <c r="I11" s="3">
        <v>30.7</v>
      </c>
      <c r="J11" s="3">
        <v>1.0336E-2</v>
      </c>
      <c r="K11" s="3">
        <f t="shared" si="3"/>
        <v>4989.3336900862314</v>
      </c>
      <c r="L11" s="13"/>
    </row>
    <row r="12" spans="1:12">
      <c r="A12" s="3">
        <v>12.9</v>
      </c>
      <c r="B12" s="3">
        <f>1000/35.01</f>
        <v>28.563267637817766</v>
      </c>
      <c r="C12" s="3">
        <f>1000/35.75</f>
        <v>27.972027972027973</v>
      </c>
      <c r="D12" s="3">
        <f>2000/70.76</f>
        <v>28.264556246466928</v>
      </c>
      <c r="E12" s="3">
        <f t="shared" si="0"/>
        <v>28.266617285437558</v>
      </c>
      <c r="F12" s="3">
        <v>0.63754</v>
      </c>
      <c r="G12" s="3">
        <f t="shared" si="1"/>
        <v>0.31923077890621454</v>
      </c>
      <c r="H12" s="3">
        <f t="shared" si="2"/>
        <v>88.54602736706002</v>
      </c>
      <c r="I12" s="3">
        <v>30.7</v>
      </c>
      <c r="J12" s="3">
        <v>1.0336E-2</v>
      </c>
      <c r="K12" s="3">
        <f t="shared" si="3"/>
        <v>5461.6519241094666</v>
      </c>
      <c r="L12" s="13"/>
    </row>
    <row r="13" spans="1:12">
      <c r="A13" s="3">
        <v>14.9</v>
      </c>
      <c r="B13" s="3">
        <f>1000/32.32</f>
        <v>30.940594059405939</v>
      </c>
      <c r="C13" s="3">
        <f>1000/33.01</f>
        <v>30.29385034837928</v>
      </c>
      <c r="D13" s="3">
        <f>2000/65.33</f>
        <v>30.613806826878925</v>
      </c>
      <c r="E13" s="3">
        <f t="shared" si="0"/>
        <v>30.616083744888048</v>
      </c>
      <c r="F13" s="3">
        <v>0.63754</v>
      </c>
      <c r="G13" s="3">
        <f t="shared" si="1"/>
        <v>0.31923077890621454</v>
      </c>
      <c r="H13" s="3">
        <f t="shared" si="2"/>
        <v>95.905801595286079</v>
      </c>
      <c r="I13" s="3">
        <v>30.7</v>
      </c>
      <c r="J13" s="3">
        <v>1.0336E-2</v>
      </c>
      <c r="K13" s="3">
        <f t="shared" si="3"/>
        <v>5915.6138495606319</v>
      </c>
      <c r="L13" s="13"/>
    </row>
    <row r="14" spans="1:12">
      <c r="A14" s="3">
        <v>17</v>
      </c>
      <c r="B14" s="3">
        <f>1000/30.15</f>
        <v>33.16749585406302</v>
      </c>
      <c r="C14" s="3">
        <f>1000/30.86</f>
        <v>32.404406999351913</v>
      </c>
      <c r="D14" s="3">
        <f>2000/61.01</f>
        <v>32.781511227667593</v>
      </c>
      <c r="E14" s="3">
        <f t="shared" si="0"/>
        <v>32.784471360360847</v>
      </c>
      <c r="F14" s="3">
        <v>0.63754</v>
      </c>
      <c r="G14" s="3">
        <f t="shared" si="1"/>
        <v>0.31923077890621454</v>
      </c>
      <c r="H14" s="3">
        <f t="shared" si="2"/>
        <v>102.69834090776209</v>
      </c>
      <c r="I14" s="3">
        <v>30.7</v>
      </c>
      <c r="J14" s="3">
        <v>1.0336E-2</v>
      </c>
      <c r="K14" s="3">
        <f t="shared" si="3"/>
        <v>6334.5878736778868</v>
      </c>
      <c r="L14" s="13"/>
    </row>
    <row r="15" spans="1:12">
      <c r="A15" s="3">
        <v>19</v>
      </c>
      <c r="B15" s="3">
        <f>1000/28.21</f>
        <v>35.448422545196735</v>
      </c>
      <c r="C15" s="3">
        <f>1000/29.07</f>
        <v>34.399724802201582</v>
      </c>
      <c r="D15" s="3">
        <f>2000/57.28</f>
        <v>34.916201117318437</v>
      </c>
      <c r="E15" s="3">
        <f t="shared" si="0"/>
        <v>34.921449488238913</v>
      </c>
      <c r="F15" s="3">
        <v>0.63754</v>
      </c>
      <c r="G15" s="3">
        <f t="shared" si="1"/>
        <v>0.31923077890621454</v>
      </c>
      <c r="H15" s="3">
        <f t="shared" si="2"/>
        <v>109.39248905726079</v>
      </c>
      <c r="I15" s="3">
        <v>30.7</v>
      </c>
      <c r="J15" s="3">
        <v>1.0336E-2</v>
      </c>
      <c r="K15" s="3">
        <f t="shared" si="3"/>
        <v>6747.4929831236504</v>
      </c>
      <c r="L15" s="13"/>
    </row>
    <row r="16" spans="1:12">
      <c r="A16" s="3">
        <v>21.1</v>
      </c>
      <c r="B16" s="3">
        <f>1000/26.82</f>
        <v>37.28560775540641</v>
      </c>
      <c r="C16" s="3">
        <f>1000/27.51</f>
        <v>36.350418029807344</v>
      </c>
      <c r="D16" s="3">
        <f>2000/54.33</f>
        <v>36.812074360390206</v>
      </c>
      <c r="E16" s="3">
        <f t="shared" si="0"/>
        <v>36.816033381867982</v>
      </c>
      <c r="F16" s="3">
        <v>0.63754</v>
      </c>
      <c r="G16" s="3">
        <f t="shared" si="1"/>
        <v>0.31923077890621454</v>
      </c>
      <c r="H16" s="3">
        <f t="shared" si="2"/>
        <v>115.32732998995692</v>
      </c>
      <c r="I16" s="3">
        <v>30.7</v>
      </c>
      <c r="J16" s="3">
        <v>1.0336E-2</v>
      </c>
      <c r="K16" s="3">
        <f t="shared" si="3"/>
        <v>7113.5628833008068</v>
      </c>
      <c r="L16" s="13"/>
    </row>
    <row r="17" spans="1:11">
      <c r="A17" s="3">
        <v>23</v>
      </c>
      <c r="B17" s="3">
        <f>2000/51.46</f>
        <v>38.865137971239797</v>
      </c>
      <c r="C17" s="3">
        <f>2000/51.66</f>
        <v>38.714672861014328</v>
      </c>
      <c r="D17" s="3">
        <f>2000/51.7</f>
        <v>38.684719535783366</v>
      </c>
      <c r="E17" s="3">
        <f t="shared" si="0"/>
        <v>38.754843456012502</v>
      </c>
      <c r="F17" s="3">
        <v>0.63754</v>
      </c>
      <c r="G17" s="3">
        <f t="shared" si="1"/>
        <v>0.31923077890621454</v>
      </c>
      <c r="H17" s="3">
        <f t="shared" si="2"/>
        <v>121.40071076103261</v>
      </c>
      <c r="I17" s="3">
        <v>30.7</v>
      </c>
      <c r="J17" s="3">
        <v>1.0336E-2</v>
      </c>
      <c r="K17" s="3">
        <f t="shared" si="3"/>
        <v>7488.1781287334297</v>
      </c>
    </row>
    <row r="18" spans="1:11">
      <c r="A18" s="3">
        <v>25</v>
      </c>
      <c r="B18" s="3">
        <f>2000/49.47</f>
        <v>40.428542551041033</v>
      </c>
      <c r="C18" s="3">
        <f>2000/49.72</f>
        <v>40.225261464199519</v>
      </c>
      <c r="D18" s="3">
        <f>2000/49.57</f>
        <v>40.346984062941296</v>
      </c>
      <c r="E18" s="3">
        <f t="shared" si="0"/>
        <v>40.333596026060611</v>
      </c>
      <c r="F18" s="3">
        <v>0.63754</v>
      </c>
      <c r="G18" s="3">
        <f t="shared" si="1"/>
        <v>0.31923077890621454</v>
      </c>
      <c r="H18" s="3">
        <f t="shared" si="2"/>
        <v>126.34620058960557</v>
      </c>
      <c r="I18" s="3">
        <v>30.7</v>
      </c>
      <c r="J18" s="3">
        <v>1.0336E-2</v>
      </c>
      <c r="K18" s="3">
        <f t="shared" si="3"/>
        <v>7793.2233672501106</v>
      </c>
    </row>
    <row r="20" spans="1:11">
      <c r="A20" s="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pageMargins left="0.75" right="0.75" top="1" bottom="1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20"/>
  <sheetViews>
    <sheetView workbookViewId="0">
      <selection activeCell="J3" sqref="J3"/>
    </sheetView>
  </sheetViews>
  <sheetFormatPr defaultColWidth="11.33203125" defaultRowHeight="15" customHeight="1"/>
  <cols>
    <col min="1" max="1" width="6.6640625" customWidth="1"/>
    <col min="2" max="4" width="7.109375" customWidth="1"/>
    <col min="5" max="5" width="11.6640625" customWidth="1"/>
    <col min="6" max="6" width="9.6640625" customWidth="1"/>
    <col min="7" max="7" width="17.33203125" customWidth="1"/>
    <col min="8" max="8" width="9.44140625" customWidth="1"/>
    <col min="9" max="9" width="7.88671875" customWidth="1"/>
    <col min="10" max="10" width="5.6640625" customWidth="1"/>
    <col min="11" max="11" width="9.6640625" customWidth="1"/>
    <col min="12" max="12" width="11.33203125" customWidth="1"/>
    <col min="13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39</v>
      </c>
    </row>
    <row r="2" spans="1:12">
      <c r="A2" s="3">
        <v>0</v>
      </c>
      <c r="B2" s="3"/>
      <c r="C2" s="3"/>
      <c r="D2" s="3"/>
      <c r="E2" s="3">
        <f t="shared" ref="E2:E20" si="0">(B2+C2+D2)/3</f>
        <v>0</v>
      </c>
      <c r="F2" s="3">
        <f t="shared" ref="F2:F20" si="1">0.7747</f>
        <v>0.77470000000000006</v>
      </c>
      <c r="G2" s="3">
        <f t="shared" ref="G2:G20" si="2">3.14159*(F2/2)^2</f>
        <v>0.47136423428577501</v>
      </c>
      <c r="H2" s="3">
        <f t="shared" ref="H2:H20" si="3">E2/G2</f>
        <v>0</v>
      </c>
      <c r="I2" s="3">
        <f t="shared" ref="I2:I20" si="4">30.9</f>
        <v>30.9</v>
      </c>
      <c r="J2" s="3">
        <v>1.01E-2</v>
      </c>
      <c r="K2" s="7">
        <v>0</v>
      </c>
      <c r="L2" s="7"/>
    </row>
    <row r="3" spans="1:12">
      <c r="A3" s="3">
        <v>1</v>
      </c>
      <c r="B3" s="3">
        <f>400/33.46</f>
        <v>11.954572624028691</v>
      </c>
      <c r="C3" s="3">
        <f>400/38.06</f>
        <v>10.509721492380452</v>
      </c>
      <c r="D3" s="3">
        <f>400/37.75</f>
        <v>10.596026490066226</v>
      </c>
      <c r="E3" s="3">
        <f t="shared" si="0"/>
        <v>11.020106868825124</v>
      </c>
      <c r="F3" s="3">
        <f t="shared" si="1"/>
        <v>0.77470000000000006</v>
      </c>
      <c r="G3" s="3">
        <f t="shared" si="2"/>
        <v>0.47136423428577501</v>
      </c>
      <c r="H3" s="3">
        <f t="shared" si="3"/>
        <v>23.379174886960008</v>
      </c>
      <c r="I3" s="3">
        <f t="shared" si="4"/>
        <v>30.9</v>
      </c>
      <c r="J3" s="3">
        <v>1.01E-2</v>
      </c>
      <c r="K3" s="7">
        <f>H3*F3/J3</f>
        <v>1793.2521569235564</v>
      </c>
      <c r="L3" s="7"/>
    </row>
    <row r="4" spans="1:12">
      <c r="A4" s="3">
        <v>2</v>
      </c>
      <c r="B4" s="3">
        <f>500/31.01</f>
        <v>16.123831022250886</v>
      </c>
      <c r="C4" s="3">
        <f>500/34.59</f>
        <v>14.455044810638912</v>
      </c>
      <c r="D4" s="3">
        <f>500/34.22</f>
        <v>14.611338398597312</v>
      </c>
      <c r="E4" s="3">
        <f t="shared" si="0"/>
        <v>15.063404743829038</v>
      </c>
      <c r="F4" s="3">
        <f t="shared" si="1"/>
        <v>0.77470000000000006</v>
      </c>
      <c r="G4" s="3">
        <f t="shared" si="2"/>
        <v>0.47136423428577501</v>
      </c>
      <c r="H4" s="3">
        <f t="shared" si="3"/>
        <v>31.95703799346073</v>
      </c>
      <c r="I4" s="3">
        <f t="shared" si="4"/>
        <v>30.9</v>
      </c>
      <c r="J4" s="3">
        <v>1.01E-2</v>
      </c>
      <c r="K4" s="7">
        <f t="shared" ref="K4:K20" si="5">H4*F4/J4</f>
        <v>2451.1997359934685</v>
      </c>
      <c r="L4" s="7"/>
    </row>
    <row r="5" spans="1:12">
      <c r="A5" s="3">
        <v>2.9</v>
      </c>
      <c r="B5" s="3">
        <f>500/26.34</f>
        <v>18.982536066818525</v>
      </c>
      <c r="C5" s="3">
        <f>500/25.61</f>
        <v>19.52362358453729</v>
      </c>
      <c r="D5" s="3">
        <f>500/26.25</f>
        <v>19.047619047619047</v>
      </c>
      <c r="E5" s="3">
        <f t="shared" si="0"/>
        <v>19.184592899658288</v>
      </c>
      <c r="F5" s="3">
        <f t="shared" si="1"/>
        <v>0.77470000000000006</v>
      </c>
      <c r="G5" s="3">
        <f t="shared" si="2"/>
        <v>0.47136423428577501</v>
      </c>
      <c r="H5" s="3">
        <f t="shared" si="3"/>
        <v>40.700145459121117</v>
      </c>
      <c r="I5" s="3">
        <f t="shared" si="4"/>
        <v>30.9</v>
      </c>
      <c r="J5" s="3">
        <v>1.01E-2</v>
      </c>
      <c r="K5" s="7">
        <f t="shared" si="5"/>
        <v>3121.8220482357556</v>
      </c>
      <c r="L5" s="7"/>
    </row>
    <row r="6" spans="1:12">
      <c r="A6" s="3">
        <v>4</v>
      </c>
      <c r="B6" s="3">
        <f>600/24.83</f>
        <v>24.164317358034637</v>
      </c>
      <c r="C6" s="3">
        <f>600/25.29</f>
        <v>23.724792408066431</v>
      </c>
      <c r="D6" s="3">
        <f>600/24.33</f>
        <v>24.66091245376079</v>
      </c>
      <c r="E6" s="3">
        <f t="shared" si="0"/>
        <v>24.183340739953952</v>
      </c>
      <c r="F6" s="3">
        <f t="shared" si="1"/>
        <v>0.77470000000000006</v>
      </c>
      <c r="G6" s="3">
        <f t="shared" si="2"/>
        <v>0.47136423428577501</v>
      </c>
      <c r="H6" s="3">
        <f t="shared" si="3"/>
        <v>51.304997241882944</v>
      </c>
      <c r="I6" s="3">
        <f t="shared" si="4"/>
        <v>30.9</v>
      </c>
      <c r="J6" s="3">
        <v>1.01E-2</v>
      </c>
      <c r="K6" s="7">
        <f t="shared" si="5"/>
        <v>3935.2456795333383</v>
      </c>
      <c r="L6" s="7"/>
    </row>
    <row r="7" spans="1:12">
      <c r="A7" s="3">
        <v>5</v>
      </c>
      <c r="B7" s="3">
        <f>600/22.64</f>
        <v>26.501766784452297</v>
      </c>
      <c r="C7" s="3">
        <f>600/23.25</f>
        <v>25.806451612903224</v>
      </c>
      <c r="D7" s="3">
        <f>600/23.22</f>
        <v>25.839793281653748</v>
      </c>
      <c r="E7" s="3">
        <f t="shared" si="0"/>
        <v>26.049337226336423</v>
      </c>
      <c r="F7" s="3">
        <f t="shared" si="1"/>
        <v>0.77470000000000006</v>
      </c>
      <c r="G7" s="3">
        <f t="shared" si="2"/>
        <v>0.47136423428577501</v>
      </c>
      <c r="H7" s="3">
        <f t="shared" si="3"/>
        <v>55.263711863517067</v>
      </c>
      <c r="I7" s="3">
        <f t="shared" si="4"/>
        <v>30.9</v>
      </c>
      <c r="J7" s="3">
        <v>1.01E-2</v>
      </c>
      <c r="K7" s="7">
        <f t="shared" si="5"/>
        <v>4238.8908495709584</v>
      </c>
      <c r="L7" s="7"/>
    </row>
    <row r="8" spans="1:12">
      <c r="A8" s="3">
        <v>6</v>
      </c>
      <c r="B8" s="3">
        <f>1500/49.79</f>
        <v>30.12653143201446</v>
      </c>
      <c r="C8" s="3">
        <f>1500/50.65</f>
        <v>29.615004935834158</v>
      </c>
      <c r="D8" s="3">
        <f>1500/50.18</f>
        <v>29.892387405340774</v>
      </c>
      <c r="E8" s="3">
        <f t="shared" si="0"/>
        <v>29.877974591063133</v>
      </c>
      <c r="F8" s="3">
        <f t="shared" si="1"/>
        <v>0.77470000000000006</v>
      </c>
      <c r="G8" s="3">
        <f t="shared" si="2"/>
        <v>0.47136423428577501</v>
      </c>
      <c r="H8" s="3">
        <f t="shared" si="3"/>
        <v>63.386172343633838</v>
      </c>
      <c r="I8" s="3">
        <f t="shared" si="4"/>
        <v>30.9</v>
      </c>
      <c r="J8" s="3">
        <v>1.01E-2</v>
      </c>
      <c r="K8" s="7">
        <f t="shared" si="5"/>
        <v>4861.9076945161523</v>
      </c>
      <c r="L8" s="7"/>
    </row>
    <row r="9" spans="1:12">
      <c r="A9" s="3">
        <v>7</v>
      </c>
      <c r="B9" s="3">
        <f>1500/46.8</f>
        <v>32.051282051282051</v>
      </c>
      <c r="C9" s="3">
        <f>1500/48.43</f>
        <v>30.972537683254181</v>
      </c>
      <c r="D9" s="3">
        <f>1500/46.69</f>
        <v>32.126793745984152</v>
      </c>
      <c r="E9" s="3">
        <f t="shared" si="0"/>
        <v>31.716871160173458</v>
      </c>
      <c r="F9" s="3">
        <f t="shared" si="1"/>
        <v>0.77470000000000006</v>
      </c>
      <c r="G9" s="3">
        <f t="shared" si="2"/>
        <v>0.47136423428577501</v>
      </c>
      <c r="H9" s="3">
        <f t="shared" si="3"/>
        <v>67.287394446105566</v>
      </c>
      <c r="I9" s="3">
        <f t="shared" si="4"/>
        <v>30.9</v>
      </c>
      <c r="J9" s="3">
        <v>1.01E-2</v>
      </c>
      <c r="K9" s="7">
        <f t="shared" si="5"/>
        <v>5161.1430175641572</v>
      </c>
      <c r="L9" s="7"/>
    </row>
    <row r="10" spans="1:12">
      <c r="A10" s="3">
        <v>8</v>
      </c>
      <c r="B10" s="3">
        <f>2000/59.35</f>
        <v>33.69839932603201</v>
      </c>
      <c r="C10" s="3">
        <f>2000/56.7</f>
        <v>35.273368606701936</v>
      </c>
      <c r="D10" s="3">
        <f>2500/71.25</f>
        <v>35.087719298245617</v>
      </c>
      <c r="E10" s="3">
        <f t="shared" si="0"/>
        <v>34.686495743659854</v>
      </c>
      <c r="F10" s="3">
        <f t="shared" si="1"/>
        <v>0.77470000000000006</v>
      </c>
      <c r="G10" s="3">
        <f t="shared" si="2"/>
        <v>0.47136423428577501</v>
      </c>
      <c r="H10" s="3">
        <f t="shared" si="3"/>
        <v>73.587457894886441</v>
      </c>
      <c r="I10" s="3">
        <f t="shared" si="4"/>
        <v>30.9</v>
      </c>
      <c r="J10" s="3">
        <v>1.01E-2</v>
      </c>
      <c r="K10" s="7">
        <f t="shared" si="5"/>
        <v>5644.3765971453986</v>
      </c>
      <c r="L10" s="7"/>
    </row>
    <row r="11" spans="1:12">
      <c r="A11" s="3">
        <v>9</v>
      </c>
      <c r="B11" s="3">
        <f>2500/68.85</f>
        <v>36.310820624546118</v>
      </c>
      <c r="C11" s="3">
        <f>2500/67.87</f>
        <v>36.835125976130833</v>
      </c>
      <c r="D11" s="3">
        <f>2500/68.9</f>
        <v>36.284470246734394</v>
      </c>
      <c r="E11" s="3">
        <f t="shared" si="0"/>
        <v>36.476805615803784</v>
      </c>
      <c r="F11" s="3">
        <f t="shared" si="1"/>
        <v>0.77470000000000006</v>
      </c>
      <c r="G11" s="3">
        <f t="shared" si="2"/>
        <v>0.47136423428577501</v>
      </c>
      <c r="H11" s="3">
        <f t="shared" si="3"/>
        <v>77.385603239657158</v>
      </c>
      <c r="I11" s="3">
        <f t="shared" si="4"/>
        <v>30.9</v>
      </c>
      <c r="J11" s="3">
        <v>1.01E-2</v>
      </c>
      <c r="K11" s="7">
        <f t="shared" si="5"/>
        <v>5935.7056267091493</v>
      </c>
      <c r="L11" s="7"/>
    </row>
    <row r="12" spans="1:12">
      <c r="A12" s="3">
        <v>10</v>
      </c>
      <c r="B12" s="3">
        <f>2500/64.61</f>
        <v>38.693700665531651</v>
      </c>
      <c r="C12" s="3">
        <f>2500/64</f>
        <v>39.0625</v>
      </c>
      <c r="D12" s="3">
        <f>2500/64.01</f>
        <v>39.056397437900323</v>
      </c>
      <c r="E12" s="3">
        <f t="shared" si="0"/>
        <v>38.937532701143994</v>
      </c>
      <c r="F12" s="3">
        <f t="shared" si="1"/>
        <v>0.77470000000000006</v>
      </c>
      <c r="G12" s="3">
        <f t="shared" si="2"/>
        <v>0.47136423428577501</v>
      </c>
      <c r="H12" s="3">
        <f t="shared" si="3"/>
        <v>82.60603980729104</v>
      </c>
      <c r="I12" s="3">
        <f t="shared" si="4"/>
        <v>30.9</v>
      </c>
      <c r="J12" s="3">
        <v>1.01E-2</v>
      </c>
      <c r="K12" s="7">
        <f t="shared" si="5"/>
        <v>6336.1286176938984</v>
      </c>
      <c r="L12" s="7"/>
    </row>
    <row r="13" spans="1:12">
      <c r="A13" s="3">
        <v>11</v>
      </c>
      <c r="B13" s="3">
        <f>2500/60.75</f>
        <v>41.152263374485599</v>
      </c>
      <c r="C13" s="3">
        <f>2500/60.68</f>
        <v>41.199736321687539</v>
      </c>
      <c r="D13" s="3">
        <f>2500/60.7</f>
        <v>41.186161449752881</v>
      </c>
      <c r="E13" s="3">
        <f t="shared" si="0"/>
        <v>41.179387048642006</v>
      </c>
      <c r="F13" s="3">
        <f t="shared" si="1"/>
        <v>0.77470000000000006</v>
      </c>
      <c r="G13" s="3">
        <f t="shared" si="2"/>
        <v>0.47136423428577501</v>
      </c>
      <c r="H13" s="3">
        <f t="shared" si="3"/>
        <v>87.362137500818719</v>
      </c>
      <c r="I13" s="3">
        <f t="shared" si="4"/>
        <v>30.9</v>
      </c>
      <c r="J13" s="3">
        <v>1.01E-2</v>
      </c>
      <c r="K13" s="7">
        <f t="shared" si="5"/>
        <v>6700.9354378103235</v>
      </c>
      <c r="L13" s="7"/>
    </row>
    <row r="14" spans="1:12">
      <c r="A14" s="3">
        <v>13</v>
      </c>
      <c r="B14" s="3">
        <f>2500/55.58</f>
        <v>44.980208708168405</v>
      </c>
      <c r="C14" s="3">
        <f>2500/56.17</f>
        <v>44.507744347516464</v>
      </c>
      <c r="D14" s="3">
        <f>2500/54.94</f>
        <v>45.504186385147435</v>
      </c>
      <c r="E14" s="3">
        <f t="shared" si="0"/>
        <v>44.99737981361077</v>
      </c>
      <c r="F14" s="3">
        <f t="shared" si="1"/>
        <v>0.77470000000000006</v>
      </c>
      <c r="G14" s="3">
        <f t="shared" si="2"/>
        <v>0.47136423428577501</v>
      </c>
      <c r="H14" s="3">
        <f t="shared" si="3"/>
        <v>95.462015445003217</v>
      </c>
      <c r="I14" s="3">
        <f t="shared" si="4"/>
        <v>30.9</v>
      </c>
      <c r="J14" s="3">
        <v>1.01E-2</v>
      </c>
      <c r="K14" s="7">
        <f t="shared" si="5"/>
        <v>7322.2201351726735</v>
      </c>
      <c r="L14" s="7"/>
    </row>
    <row r="15" spans="1:12">
      <c r="A15" s="3">
        <v>15</v>
      </c>
      <c r="B15" s="3">
        <f>2500/50.79</f>
        <v>49.222287851939356</v>
      </c>
      <c r="C15" s="3">
        <f>2500/51.43</f>
        <v>48.609760839976666</v>
      </c>
      <c r="D15" s="3">
        <f>2500/50.87</f>
        <v>49.144879103597411</v>
      </c>
      <c r="E15" s="3">
        <f t="shared" si="0"/>
        <v>48.992309265171144</v>
      </c>
      <c r="F15" s="3">
        <f t="shared" si="1"/>
        <v>0.77470000000000006</v>
      </c>
      <c r="G15" s="3">
        <f t="shared" si="2"/>
        <v>0.47136423428577501</v>
      </c>
      <c r="H15" s="3">
        <f t="shared" si="3"/>
        <v>103.93726486144146</v>
      </c>
      <c r="I15" s="3">
        <f t="shared" si="4"/>
        <v>30.9</v>
      </c>
      <c r="J15" s="3">
        <v>1.01E-2</v>
      </c>
      <c r="K15" s="7">
        <f t="shared" si="5"/>
        <v>7972.2969394216543</v>
      </c>
      <c r="L15" s="7"/>
    </row>
    <row r="16" spans="1:12">
      <c r="A16" s="3">
        <v>17</v>
      </c>
      <c r="B16" s="3">
        <f>3000/58.72</f>
        <v>51.089918256130794</v>
      </c>
      <c r="C16" s="3">
        <f>3000/57.26</f>
        <v>52.392595179881248</v>
      </c>
      <c r="D16" s="3">
        <f>3000/58.26</f>
        <v>51.493305870236874</v>
      </c>
      <c r="E16" s="3">
        <f t="shared" si="0"/>
        <v>51.65860643541631</v>
      </c>
      <c r="F16" s="3">
        <f t="shared" si="1"/>
        <v>0.77470000000000006</v>
      </c>
      <c r="G16" s="3">
        <f t="shared" si="2"/>
        <v>0.47136423428577501</v>
      </c>
      <c r="H16" s="3">
        <f t="shared" si="3"/>
        <v>109.59381870304809</v>
      </c>
      <c r="I16" s="3">
        <f t="shared" si="4"/>
        <v>30.9</v>
      </c>
      <c r="J16" s="3">
        <v>1.01E-2</v>
      </c>
      <c r="K16" s="7">
        <f t="shared" si="5"/>
        <v>8406.1714207179557</v>
      </c>
      <c r="L16" s="7"/>
    </row>
    <row r="17" spans="1:12">
      <c r="A17" s="3">
        <v>19</v>
      </c>
      <c r="B17" s="3">
        <f>4500/82.11</f>
        <v>54.804530507855318</v>
      </c>
      <c r="C17" s="3">
        <f>4500/82.05</f>
        <v>54.844606946983546</v>
      </c>
      <c r="D17" s="3">
        <f>4500/82.15</f>
        <v>54.77784540474741</v>
      </c>
      <c r="E17" s="3">
        <f t="shared" si="0"/>
        <v>54.808994286528758</v>
      </c>
      <c r="F17" s="3">
        <f t="shared" si="1"/>
        <v>0.77470000000000006</v>
      </c>
      <c r="G17" s="3">
        <f t="shared" si="2"/>
        <v>0.47136423428577501</v>
      </c>
      <c r="H17" s="3">
        <f t="shared" si="3"/>
        <v>116.27737172205474</v>
      </c>
      <c r="I17" s="3">
        <f t="shared" si="4"/>
        <v>30.9</v>
      </c>
      <c r="J17" s="3">
        <v>1.01E-2</v>
      </c>
      <c r="K17" s="7">
        <f t="shared" si="5"/>
        <v>8918.8197894134482</v>
      </c>
      <c r="L17" s="7"/>
    </row>
    <row r="18" spans="1:12">
      <c r="A18" s="3">
        <v>21</v>
      </c>
      <c r="B18" s="3">
        <f>4500/77.22</f>
        <v>58.275058275058278</v>
      </c>
      <c r="C18" s="3">
        <f>4500/77.38</f>
        <v>58.154561902300337</v>
      </c>
      <c r="D18" s="3">
        <f>4500/76.54</f>
        <v>58.792788084661609</v>
      </c>
      <c r="E18" s="3">
        <f t="shared" si="0"/>
        <v>58.407469420673408</v>
      </c>
      <c r="F18" s="3">
        <f t="shared" si="1"/>
        <v>0.77470000000000006</v>
      </c>
      <c r="G18" s="3">
        <f t="shared" si="2"/>
        <v>0.47136423428577501</v>
      </c>
      <c r="H18" s="3">
        <f t="shared" si="3"/>
        <v>123.91154265060888</v>
      </c>
      <c r="I18" s="3">
        <f t="shared" si="4"/>
        <v>30.9</v>
      </c>
      <c r="J18" s="3">
        <v>1.01E-2</v>
      </c>
      <c r="K18" s="7">
        <f t="shared" si="5"/>
        <v>9504.383375388783</v>
      </c>
      <c r="L18" s="7"/>
    </row>
    <row r="19" spans="1:12">
      <c r="A19" s="3">
        <v>23</v>
      </c>
      <c r="B19" s="3">
        <f>4500/72.95</f>
        <v>61.686086360520903</v>
      </c>
      <c r="C19" s="3">
        <f>4500/72.69</f>
        <v>61.906727197688816</v>
      </c>
      <c r="D19" s="3">
        <f>4500/73.58</f>
        <v>61.15792334873607</v>
      </c>
      <c r="E19" s="3">
        <f t="shared" si="0"/>
        <v>61.583578968981925</v>
      </c>
      <c r="F19" s="3">
        <f t="shared" si="1"/>
        <v>0.77470000000000006</v>
      </c>
      <c r="G19" s="3">
        <f t="shared" si="2"/>
        <v>0.47136423428577501</v>
      </c>
      <c r="H19" s="3">
        <f t="shared" si="3"/>
        <v>130.64966429261477</v>
      </c>
      <c r="I19" s="3">
        <f t="shared" si="4"/>
        <v>30.9</v>
      </c>
      <c r="J19" s="3">
        <v>1.01E-2</v>
      </c>
      <c r="K19" s="7">
        <f t="shared" si="5"/>
        <v>10021.217319553334</v>
      </c>
      <c r="L19" s="7"/>
    </row>
    <row r="20" spans="1:12">
      <c r="A20" s="3">
        <v>25</v>
      </c>
      <c r="B20" s="3">
        <f>4500/69.18</f>
        <v>65.047701647875101</v>
      </c>
      <c r="C20" s="3">
        <f>4500/69.83</f>
        <v>64.442216812258337</v>
      </c>
      <c r="D20" s="3">
        <f>4500/69.57</f>
        <v>64.683053040103502</v>
      </c>
      <c r="E20" s="3">
        <f t="shared" si="0"/>
        <v>64.724323833412313</v>
      </c>
      <c r="F20" s="3">
        <f t="shared" si="1"/>
        <v>0.77470000000000006</v>
      </c>
      <c r="G20" s="3">
        <f t="shared" si="2"/>
        <v>0.47136423428577501</v>
      </c>
      <c r="H20" s="3">
        <f t="shared" si="3"/>
        <v>137.31275969948064</v>
      </c>
      <c r="I20" s="3">
        <f t="shared" si="4"/>
        <v>30.9</v>
      </c>
      <c r="J20" s="3">
        <v>1.01E-2</v>
      </c>
      <c r="K20" s="7">
        <f t="shared" si="5"/>
        <v>10532.296528632442</v>
      </c>
      <c r="L20" s="7"/>
    </row>
  </sheetData>
  <pageMargins left="0.75" right="0.75" top="1" bottom="1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20"/>
  <sheetViews>
    <sheetView workbookViewId="0">
      <selection activeCell="A3" sqref="A3"/>
    </sheetView>
  </sheetViews>
  <sheetFormatPr defaultColWidth="11.33203125" defaultRowHeight="15" customHeight="1"/>
  <cols>
    <col min="1" max="9" width="6.6640625" customWidth="1"/>
    <col min="10" max="10" width="8.109375" customWidth="1"/>
    <col min="11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40</v>
      </c>
    </row>
    <row r="2" spans="1:12">
      <c r="A2" s="3">
        <v>0</v>
      </c>
      <c r="B2" s="3"/>
      <c r="C2" s="3"/>
      <c r="D2" s="3"/>
      <c r="E2" s="3">
        <f t="shared" ref="E2:E17" si="0">(B2+C2+D2)/3</f>
        <v>0</v>
      </c>
      <c r="F2" s="3">
        <f t="shared" ref="F2:F17" si="1">0.50546</f>
        <v>0.50546000000000002</v>
      </c>
      <c r="G2" s="3">
        <f t="shared" ref="G2:G17" si="2">(F2^2)/4*PI()</f>
        <v>0.20066122879740009</v>
      </c>
      <c r="H2" s="3">
        <f t="shared" ref="H2:H17" si="3">E2/G2</f>
        <v>0</v>
      </c>
      <c r="I2" s="3">
        <v>61.3</v>
      </c>
      <c r="J2" s="3">
        <v>1.05605E-2</v>
      </c>
      <c r="K2" s="3">
        <f t="shared" ref="K2:K17" si="4">H2*F2/J2</f>
        <v>0</v>
      </c>
      <c r="L2" s="13"/>
    </row>
    <row r="3" spans="1:12">
      <c r="A3" s="3">
        <v>2</v>
      </c>
      <c r="B3" s="3">
        <f>200/48.74</f>
        <v>4.1034058268362736</v>
      </c>
      <c r="C3" s="3">
        <f>200/50.64</f>
        <v>3.9494470774091628</v>
      </c>
      <c r="D3" s="3">
        <f>200/49.31</f>
        <v>4.0559724193875484</v>
      </c>
      <c r="E3" s="3">
        <f t="shared" si="0"/>
        <v>4.0362751078776613</v>
      </c>
      <c r="F3" s="3">
        <f t="shared" si="1"/>
        <v>0.50546000000000002</v>
      </c>
      <c r="G3" s="3">
        <f t="shared" si="2"/>
        <v>0.20066122879740009</v>
      </c>
      <c r="H3" s="3">
        <f t="shared" si="3"/>
        <v>20.114872873388673</v>
      </c>
      <c r="I3" s="3">
        <v>61.3</v>
      </c>
      <c r="J3" s="3">
        <v>1.05605E-2</v>
      </c>
      <c r="K3" s="3">
        <f t="shared" si="4"/>
        <v>962.7634716711367</v>
      </c>
      <c r="L3" s="13"/>
    </row>
    <row r="4" spans="1:12">
      <c r="A4" s="3">
        <v>3</v>
      </c>
      <c r="B4" s="3">
        <f>200/38.82</f>
        <v>5.1519835136527563</v>
      </c>
      <c r="C4" s="3">
        <f>200/36.23</f>
        <v>5.5202870549268566</v>
      </c>
      <c r="D4" s="3">
        <f>200/37.71</f>
        <v>5.3036329885971893</v>
      </c>
      <c r="E4" s="3">
        <f t="shared" si="0"/>
        <v>5.3253011857256007</v>
      </c>
      <c r="F4" s="3">
        <f t="shared" si="1"/>
        <v>0.50546000000000002</v>
      </c>
      <c r="G4" s="3">
        <f t="shared" si="2"/>
        <v>0.20066122879740009</v>
      </c>
      <c r="H4" s="3">
        <f t="shared" si="3"/>
        <v>26.538764950464607</v>
      </c>
      <c r="I4" s="3">
        <v>61.3</v>
      </c>
      <c r="J4" s="3">
        <v>1.05605E-2</v>
      </c>
      <c r="K4" s="3">
        <f t="shared" si="4"/>
        <v>1270.2319143849099</v>
      </c>
      <c r="L4" s="13"/>
    </row>
    <row r="5" spans="1:12">
      <c r="A5" s="3">
        <v>4</v>
      </c>
      <c r="B5" s="3">
        <f>250/38.13</f>
        <v>6.5565171780750058</v>
      </c>
      <c r="C5" s="3">
        <f>250/39.9</f>
        <v>6.2656641604010028</v>
      </c>
      <c r="D5" s="3">
        <f>250/39</f>
        <v>6.4102564102564106</v>
      </c>
      <c r="E5" s="3">
        <f t="shared" si="0"/>
        <v>6.4108125829108067</v>
      </c>
      <c r="F5" s="3">
        <f t="shared" si="1"/>
        <v>0.50546000000000002</v>
      </c>
      <c r="G5" s="3">
        <f t="shared" si="2"/>
        <v>0.20066122879740009</v>
      </c>
      <c r="H5" s="3">
        <f t="shared" si="3"/>
        <v>31.948436782391866</v>
      </c>
      <c r="I5" s="3">
        <v>61.3</v>
      </c>
      <c r="J5" s="3">
        <v>1.05605E-2</v>
      </c>
      <c r="K5" s="3">
        <f t="shared" si="4"/>
        <v>1529.1564657002784</v>
      </c>
      <c r="L5" s="13"/>
    </row>
    <row r="6" spans="1:12">
      <c r="A6" s="3">
        <v>5</v>
      </c>
      <c r="B6" s="3">
        <f>250/34.12</f>
        <v>7.3270808909730372</v>
      </c>
      <c r="C6" s="3">
        <f>250/34.78</f>
        <v>7.18803910293272</v>
      </c>
      <c r="D6" s="3">
        <f>250/33.62</f>
        <v>7.4360499702558007</v>
      </c>
      <c r="E6" s="3">
        <f t="shared" si="0"/>
        <v>7.3170566547205196</v>
      </c>
      <c r="F6" s="3">
        <f t="shared" si="1"/>
        <v>0.50546000000000002</v>
      </c>
      <c r="G6" s="3">
        <f t="shared" si="2"/>
        <v>0.20066122879740009</v>
      </c>
      <c r="H6" s="3">
        <f t="shared" si="3"/>
        <v>36.464725640189663</v>
      </c>
      <c r="I6" s="3">
        <v>61.3</v>
      </c>
      <c r="J6" s="3">
        <v>1.05605E-2</v>
      </c>
      <c r="K6" s="3">
        <f t="shared" si="4"/>
        <v>1745.3207918271169</v>
      </c>
      <c r="L6" s="13"/>
    </row>
    <row r="7" spans="1:12">
      <c r="A7" s="3">
        <v>6</v>
      </c>
      <c r="B7" s="3">
        <f>250/31.37</f>
        <v>7.9693975135479755</v>
      </c>
      <c r="C7" s="3">
        <f>250/31.73</f>
        <v>7.8789788843365898</v>
      </c>
      <c r="D7" s="3">
        <f>250/29.85</f>
        <v>8.3752093802345051</v>
      </c>
      <c r="E7" s="3">
        <f t="shared" si="0"/>
        <v>8.0745285927063559</v>
      </c>
      <c r="F7" s="3">
        <f t="shared" si="1"/>
        <v>0.50546000000000002</v>
      </c>
      <c r="G7" s="3">
        <f t="shared" si="2"/>
        <v>0.20066122879740009</v>
      </c>
      <c r="H7" s="3">
        <f t="shared" si="3"/>
        <v>40.239605035305033</v>
      </c>
      <c r="I7" s="3">
        <v>61.3</v>
      </c>
      <c r="J7" s="3">
        <v>1.05605E-2</v>
      </c>
      <c r="K7" s="3">
        <f t="shared" si="4"/>
        <v>1925.9988410724193</v>
      </c>
      <c r="L7" s="13"/>
    </row>
    <row r="8" spans="1:12">
      <c r="A8" s="3">
        <v>7</v>
      </c>
      <c r="B8" s="3">
        <f>500/52.86</f>
        <v>9.4589481649640561</v>
      </c>
      <c r="C8" s="3">
        <f>500/55.56</f>
        <v>8.9992800575953922</v>
      </c>
      <c r="D8" s="3">
        <f>500/55</f>
        <v>9.0909090909090917</v>
      </c>
      <c r="E8" s="3">
        <f t="shared" si="0"/>
        <v>9.1830457711561806</v>
      </c>
      <c r="F8" s="3">
        <f t="shared" si="1"/>
        <v>0.50546000000000002</v>
      </c>
      <c r="G8" s="3">
        <f t="shared" si="2"/>
        <v>0.20066122879740009</v>
      </c>
      <c r="H8" s="3">
        <f t="shared" si="3"/>
        <v>45.763926724618777</v>
      </c>
      <c r="I8" s="3">
        <v>61.3</v>
      </c>
      <c r="J8" s="3">
        <v>1.05605E-2</v>
      </c>
      <c r="K8" s="3">
        <f t="shared" si="4"/>
        <v>2190.4109087851721</v>
      </c>
      <c r="L8" s="13"/>
    </row>
    <row r="9" spans="1:12">
      <c r="A9" s="3">
        <v>9</v>
      </c>
      <c r="B9" s="3">
        <f>500/44.92</f>
        <v>11.130899376669635</v>
      </c>
      <c r="C9" s="3">
        <f>500/44.99</f>
        <v>11.113580795732384</v>
      </c>
      <c r="D9" s="3">
        <f>500/48.93</f>
        <v>10.218679746576742</v>
      </c>
      <c r="E9" s="3">
        <f t="shared" si="0"/>
        <v>10.821053306326254</v>
      </c>
      <c r="F9" s="3">
        <f t="shared" si="1"/>
        <v>0.50546000000000002</v>
      </c>
      <c r="G9" s="3">
        <f t="shared" si="2"/>
        <v>0.20066122879740009</v>
      </c>
      <c r="H9" s="3">
        <f t="shared" si="3"/>
        <v>53.926976183584799</v>
      </c>
      <c r="I9" s="3">
        <v>61.3</v>
      </c>
      <c r="J9" s="3">
        <v>1.05605E-2</v>
      </c>
      <c r="K9" s="3">
        <f t="shared" si="4"/>
        <v>2581.1211004928527</v>
      </c>
      <c r="L9" s="13"/>
    </row>
    <row r="10" spans="1:12">
      <c r="A10" s="3">
        <v>11</v>
      </c>
      <c r="B10" s="3">
        <f>500/41.59</f>
        <v>12.022120702091849</v>
      </c>
      <c r="C10" s="3">
        <f>500/43.62</f>
        <v>11.462631820265933</v>
      </c>
      <c r="D10" s="3">
        <f>500/44.53</f>
        <v>11.228385358185493</v>
      </c>
      <c r="E10" s="3">
        <f t="shared" si="0"/>
        <v>11.57104596018109</v>
      </c>
      <c r="F10" s="3">
        <f t="shared" si="1"/>
        <v>0.50546000000000002</v>
      </c>
      <c r="G10" s="3">
        <f t="shared" si="2"/>
        <v>0.20066122879740009</v>
      </c>
      <c r="H10" s="3">
        <f t="shared" si="3"/>
        <v>57.664582388578559</v>
      </c>
      <c r="I10" s="3">
        <v>61.3</v>
      </c>
      <c r="J10" s="3">
        <v>1.05605E-2</v>
      </c>
      <c r="K10" s="3">
        <f t="shared" si="4"/>
        <v>2760.0151331973789</v>
      </c>
      <c r="L10" s="13"/>
    </row>
    <row r="11" spans="1:12">
      <c r="A11" s="3">
        <v>13</v>
      </c>
      <c r="B11" s="3">
        <f>600/46.15</f>
        <v>13.001083423618635</v>
      </c>
      <c r="C11" s="3">
        <f>600/47.53</f>
        <v>12.623606143488322</v>
      </c>
      <c r="D11" s="3">
        <f>600/50.38</f>
        <v>11.909487892020643</v>
      </c>
      <c r="E11" s="3">
        <f t="shared" si="0"/>
        <v>12.511392486375867</v>
      </c>
      <c r="F11" s="3">
        <f t="shared" si="1"/>
        <v>0.50546000000000002</v>
      </c>
      <c r="G11" s="3">
        <f t="shared" si="2"/>
        <v>0.20066122879740009</v>
      </c>
      <c r="H11" s="3">
        <f t="shared" si="3"/>
        <v>62.350821637836859</v>
      </c>
      <c r="I11" s="3">
        <v>61.3</v>
      </c>
      <c r="J11" s="3">
        <v>1.05605E-2</v>
      </c>
      <c r="K11" s="3">
        <f t="shared" si="4"/>
        <v>2984.3138397860916</v>
      </c>
      <c r="L11" s="13"/>
    </row>
    <row r="12" spans="1:12">
      <c r="A12" s="3">
        <v>15</v>
      </c>
      <c r="B12" s="3">
        <f>600/42.35</f>
        <v>14.167650531286894</v>
      </c>
      <c r="C12" s="3">
        <f>600/45.54</f>
        <v>13.175230566534914</v>
      </c>
      <c r="D12" s="3">
        <f>600/45.83</f>
        <v>13.091861226271002</v>
      </c>
      <c r="E12" s="3">
        <f t="shared" si="0"/>
        <v>13.478247441364269</v>
      </c>
      <c r="F12" s="3">
        <f t="shared" si="1"/>
        <v>0.50546000000000002</v>
      </c>
      <c r="G12" s="3">
        <f t="shared" si="2"/>
        <v>0.20066122879740009</v>
      </c>
      <c r="H12" s="3">
        <f t="shared" si="3"/>
        <v>67.169166271640535</v>
      </c>
      <c r="I12" s="3">
        <v>61.3</v>
      </c>
      <c r="J12" s="3">
        <v>1.05605E-2</v>
      </c>
      <c r="K12" s="3">
        <f t="shared" si="4"/>
        <v>3214.9355412777259</v>
      </c>
      <c r="L12" s="13"/>
    </row>
    <row r="13" spans="1:12">
      <c r="A13" s="3">
        <v>17</v>
      </c>
      <c r="B13" s="3">
        <f>600/39.7</f>
        <v>15.113350125944583</v>
      </c>
      <c r="C13" s="3">
        <f>600/42.37</f>
        <v>14.160962945480293</v>
      </c>
      <c r="D13" s="3">
        <f>600/43.26</f>
        <v>13.869625520110958</v>
      </c>
      <c r="E13" s="3">
        <f t="shared" si="0"/>
        <v>14.381312863845279</v>
      </c>
      <c r="F13" s="3">
        <f t="shared" si="1"/>
        <v>0.50546000000000002</v>
      </c>
      <c r="G13" s="3">
        <f t="shared" si="2"/>
        <v>0.20066122879740009</v>
      </c>
      <c r="H13" s="3">
        <f t="shared" si="3"/>
        <v>71.669614255006564</v>
      </c>
      <c r="I13" s="3">
        <v>61.3</v>
      </c>
      <c r="J13" s="3">
        <v>1.05605E-2</v>
      </c>
      <c r="K13" s="3">
        <f t="shared" si="4"/>
        <v>3430.3416714488535</v>
      </c>
      <c r="L13" s="13"/>
    </row>
    <row r="14" spans="1:12">
      <c r="A14" s="3">
        <v>19</v>
      </c>
      <c r="B14" s="3">
        <f>600/37.96</f>
        <v>15.806111696522654</v>
      </c>
      <c r="C14" s="3">
        <f>600/39.66</f>
        <v>15.128593040847203</v>
      </c>
      <c r="D14" s="3">
        <f>600/39.85</f>
        <v>15.056461731493098</v>
      </c>
      <c r="E14" s="3">
        <f t="shared" si="0"/>
        <v>15.330388822954319</v>
      </c>
      <c r="F14" s="3">
        <f t="shared" si="1"/>
        <v>0.50546000000000002</v>
      </c>
      <c r="G14" s="3">
        <f t="shared" si="2"/>
        <v>0.20066122879740009</v>
      </c>
      <c r="H14" s="3">
        <f t="shared" si="3"/>
        <v>76.399356840542538</v>
      </c>
      <c r="I14" s="3">
        <v>61.3</v>
      </c>
      <c r="J14" s="3">
        <v>1.05605E-2</v>
      </c>
      <c r="K14" s="3">
        <f t="shared" si="4"/>
        <v>3656.7225897088802</v>
      </c>
      <c r="L14" s="13"/>
    </row>
    <row r="15" spans="1:12">
      <c r="A15" s="3">
        <v>21</v>
      </c>
      <c r="B15" s="3">
        <f>600/35.72</f>
        <v>16.7973124300112</v>
      </c>
      <c r="C15" s="3">
        <f>600/37.21</f>
        <v>16.124697661918837</v>
      </c>
      <c r="D15" s="3">
        <f>600/38.75</f>
        <v>15.483870967741936</v>
      </c>
      <c r="E15" s="3">
        <f t="shared" si="0"/>
        <v>16.135293686557322</v>
      </c>
      <c r="F15" s="3">
        <f t="shared" si="1"/>
        <v>0.50546000000000002</v>
      </c>
      <c r="G15" s="3">
        <f t="shared" si="2"/>
        <v>0.20066122879740009</v>
      </c>
      <c r="H15" s="3">
        <f t="shared" si="3"/>
        <v>80.410619347141079</v>
      </c>
      <c r="I15" s="3">
        <v>61.3</v>
      </c>
      <c r="J15" s="3">
        <v>1.05605E-2</v>
      </c>
      <c r="K15" s="3">
        <f t="shared" si="4"/>
        <v>3848.7147062360618</v>
      </c>
      <c r="L15" s="13"/>
    </row>
    <row r="16" spans="1:12">
      <c r="A16" s="3">
        <v>23</v>
      </c>
      <c r="B16" s="3">
        <f>600/34.38</f>
        <v>17.452006980802793</v>
      </c>
      <c r="C16" s="3">
        <f>600/34.97</f>
        <v>17.157563625965114</v>
      </c>
      <c r="D16" s="3">
        <f>600/36.23</f>
        <v>16.560861164780569</v>
      </c>
      <c r="E16" s="3">
        <f t="shared" si="0"/>
        <v>17.056810590516157</v>
      </c>
      <c r="F16" s="3">
        <f t="shared" si="1"/>
        <v>0.50546000000000002</v>
      </c>
      <c r="G16" s="3">
        <f t="shared" si="2"/>
        <v>0.20066122879740009</v>
      </c>
      <c r="H16" s="3">
        <f t="shared" si="3"/>
        <v>85.003020726728238</v>
      </c>
      <c r="I16" s="3">
        <v>61.3</v>
      </c>
      <c r="J16" s="3">
        <v>1.05605E-2</v>
      </c>
      <c r="K16" s="3">
        <f t="shared" si="4"/>
        <v>4068.522026090815</v>
      </c>
      <c r="L16" s="13"/>
    </row>
    <row r="17" spans="1:12">
      <c r="A17" s="3">
        <v>25</v>
      </c>
      <c r="B17" s="3">
        <f>1000/54.14</f>
        <v>18.470631695603988</v>
      </c>
      <c r="C17" s="3">
        <f>1000/57.4</f>
        <v>17.421602787456447</v>
      </c>
      <c r="D17" s="3">
        <f>1000/54.56</f>
        <v>18.328445747800586</v>
      </c>
      <c r="E17" s="3">
        <f t="shared" si="0"/>
        <v>18.073560076953672</v>
      </c>
      <c r="F17" s="3">
        <f t="shared" si="1"/>
        <v>0.50546000000000002</v>
      </c>
      <c r="G17" s="3">
        <f t="shared" si="2"/>
        <v>0.20066122879740009</v>
      </c>
      <c r="H17" s="3">
        <f t="shared" si="3"/>
        <v>90.070015943148888</v>
      </c>
      <c r="I17" s="3">
        <v>61.3</v>
      </c>
      <c r="J17" s="3">
        <v>1.05605E-2</v>
      </c>
      <c r="K17" s="3">
        <f t="shared" si="4"/>
        <v>4311.0449560744319</v>
      </c>
      <c r="L17" s="13"/>
    </row>
    <row r="18" spans="1:12">
      <c r="A18" s="13"/>
      <c r="B18" s="13"/>
      <c r="C18" s="13"/>
      <c r="D18" s="13"/>
      <c r="E18" s="13"/>
      <c r="F18" s="13"/>
      <c r="G18" s="13"/>
      <c r="H18" s="13"/>
      <c r="I18" s="3"/>
      <c r="J18" s="13"/>
      <c r="K18" s="13"/>
      <c r="L18" s="13"/>
    </row>
    <row r="19" spans="1:12">
      <c r="A19" s="13"/>
      <c r="B19" s="13"/>
      <c r="C19" s="13"/>
      <c r="D19" s="13"/>
      <c r="E19" s="13"/>
      <c r="F19" s="13"/>
      <c r="G19" s="13"/>
      <c r="H19" s="13"/>
      <c r="I19" s="3"/>
      <c r="J19" s="13"/>
      <c r="K19" s="13"/>
      <c r="L19" s="13"/>
    </row>
    <row r="20" spans="1:12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</sheetData>
  <pageMargins left="0.75" right="0.75" top="1" bottom="1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20"/>
  <sheetViews>
    <sheetView workbookViewId="0">
      <selection activeCell="Q22" sqref="Q22"/>
    </sheetView>
  </sheetViews>
  <sheetFormatPr defaultColWidth="11.33203125" defaultRowHeight="15" customHeight="1"/>
  <cols>
    <col min="1" max="1" width="6.6640625" customWidth="1"/>
    <col min="2" max="4" width="9.6640625" customWidth="1"/>
    <col min="5" max="9" width="6.6640625" customWidth="1"/>
    <col min="10" max="10" width="8.109375" customWidth="1"/>
    <col min="11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41</v>
      </c>
    </row>
    <row r="2" spans="1:12">
      <c r="A2" s="3">
        <v>0</v>
      </c>
      <c r="B2" s="3"/>
      <c r="C2" s="3"/>
      <c r="D2" s="3"/>
      <c r="E2" s="3">
        <f t="shared" ref="E2:E20" si="0">(B2+C2+D2)/3</f>
        <v>0</v>
      </c>
      <c r="F2" s="3">
        <v>0.63754</v>
      </c>
      <c r="G2" s="3">
        <f t="shared" ref="G2:G20" si="1">(F2^2)/4*PI()</f>
        <v>0.31923077890621454</v>
      </c>
      <c r="H2" s="3">
        <f t="shared" ref="H2:H20" si="2">E2/G2</f>
        <v>0</v>
      </c>
      <c r="I2" s="3">
        <v>61.3</v>
      </c>
      <c r="J2" s="3">
        <v>1.07245E-2</v>
      </c>
      <c r="K2" s="3">
        <f t="shared" ref="K2:K20" si="3">H2*F2/J2</f>
        <v>0</v>
      </c>
      <c r="L2" s="13"/>
    </row>
    <row r="3" spans="1:12">
      <c r="A3" s="3">
        <v>1</v>
      </c>
      <c r="B3" s="3">
        <f>300/78.94</f>
        <v>3.800354699771979</v>
      </c>
      <c r="C3" s="3">
        <f>300/72.69</f>
        <v>4.1271151465125877</v>
      </c>
      <c r="D3" s="3">
        <f>300/75.29</f>
        <v>3.9845929074246245</v>
      </c>
      <c r="E3" s="3">
        <f t="shared" si="0"/>
        <v>3.9706875845697298</v>
      </c>
      <c r="F3" s="3">
        <v>0.63754</v>
      </c>
      <c r="G3" s="3">
        <f t="shared" si="1"/>
        <v>0.31923077890621454</v>
      </c>
      <c r="H3" s="3">
        <f t="shared" si="2"/>
        <v>12.438298080700612</v>
      </c>
      <c r="I3" s="3">
        <v>61.3</v>
      </c>
      <c r="J3" s="3">
        <v>1.07245E-2</v>
      </c>
      <c r="K3" s="3">
        <f t="shared" si="3"/>
        <v>739.42025813509895</v>
      </c>
      <c r="L3" s="13"/>
    </row>
    <row r="4" spans="1:12">
      <c r="A4" s="3">
        <v>2</v>
      </c>
      <c r="B4" s="3">
        <f>500/69.5</f>
        <v>7.1942446043165464</v>
      </c>
      <c r="C4" s="3">
        <f>500/68.45</f>
        <v>7.3046018991964932</v>
      </c>
      <c r="D4" s="3">
        <f>500/70.75</f>
        <v>7.0671378091872787</v>
      </c>
      <c r="E4" s="3">
        <f t="shared" si="0"/>
        <v>7.1886614375667728</v>
      </c>
      <c r="F4" s="3">
        <v>0.63754</v>
      </c>
      <c r="G4" s="3">
        <f t="shared" si="1"/>
        <v>0.31923077890621454</v>
      </c>
      <c r="H4" s="3">
        <f t="shared" si="2"/>
        <v>22.518697796614088</v>
      </c>
      <c r="I4" s="3">
        <v>61.3</v>
      </c>
      <c r="J4" s="3">
        <v>1.07245E-2</v>
      </c>
      <c r="K4" s="3">
        <f t="shared" si="3"/>
        <v>1338.6703895988946</v>
      </c>
      <c r="L4" s="13"/>
    </row>
    <row r="5" spans="1:12">
      <c r="A5" s="3">
        <v>3</v>
      </c>
      <c r="B5" s="3">
        <f>500/49.65</f>
        <v>10.070493454179255</v>
      </c>
      <c r="C5" s="3">
        <f>500/49.11</f>
        <v>10.181225819588679</v>
      </c>
      <c r="D5" s="3">
        <f>500/53.08</f>
        <v>9.4197437829691033</v>
      </c>
      <c r="E5" s="3">
        <f t="shared" si="0"/>
        <v>9.8904876855790125</v>
      </c>
      <c r="F5" s="3">
        <v>0.63754</v>
      </c>
      <c r="G5" s="3">
        <f t="shared" si="1"/>
        <v>0.31923077890621454</v>
      </c>
      <c r="H5" s="3">
        <f t="shared" si="2"/>
        <v>30.982249642302495</v>
      </c>
      <c r="I5" s="3">
        <v>61.3</v>
      </c>
      <c r="J5" s="3">
        <v>1.07245E-2</v>
      </c>
      <c r="K5" s="3">
        <f t="shared" si="3"/>
        <v>1841.8036679522152</v>
      </c>
      <c r="L5" s="13"/>
    </row>
    <row r="6" spans="1:12">
      <c r="A6" s="3">
        <v>4</v>
      </c>
      <c r="B6" s="3">
        <f>800/66.46</f>
        <v>12.037315678603672</v>
      </c>
      <c r="C6" s="3">
        <f>800/66.3</f>
        <v>12.066365007541478</v>
      </c>
      <c r="D6" s="3">
        <f>800/66.01</f>
        <v>12.119375852143614</v>
      </c>
      <c r="E6" s="3">
        <f t="shared" si="0"/>
        <v>12.074352179429589</v>
      </c>
      <c r="F6" s="3">
        <v>0.63754</v>
      </c>
      <c r="G6" s="3">
        <f t="shared" si="1"/>
        <v>0.31923077890621454</v>
      </c>
      <c r="H6" s="3">
        <f t="shared" si="2"/>
        <v>37.82327074099851</v>
      </c>
      <c r="I6" s="3">
        <v>61.3</v>
      </c>
      <c r="J6" s="3">
        <v>1.07245E-2</v>
      </c>
      <c r="K6" s="3">
        <f t="shared" si="3"/>
        <v>2248.4822628762358</v>
      </c>
      <c r="L6" s="13"/>
    </row>
    <row r="7" spans="1:12">
      <c r="A7" s="3">
        <v>5</v>
      </c>
      <c r="B7" s="3">
        <f>800/58.64</f>
        <v>13.642564802182811</v>
      </c>
      <c r="C7" s="3">
        <f>800/59.68</f>
        <v>13.404825737265416</v>
      </c>
      <c r="D7" s="3">
        <f>800/59.04</f>
        <v>13.550135501355014</v>
      </c>
      <c r="E7" s="3">
        <f t="shared" si="0"/>
        <v>13.532508680267746</v>
      </c>
      <c r="F7" s="3">
        <v>0.63754</v>
      </c>
      <c r="G7" s="3">
        <f t="shared" si="1"/>
        <v>0.31923077890621454</v>
      </c>
      <c r="H7" s="3">
        <f t="shared" si="2"/>
        <v>42.390989761809294</v>
      </c>
      <c r="I7" s="3">
        <v>61.3</v>
      </c>
      <c r="J7" s="3">
        <v>1.07245E-2</v>
      </c>
      <c r="K7" s="3">
        <f t="shared" si="3"/>
        <v>2520.019731711865</v>
      </c>
      <c r="L7" s="13"/>
    </row>
    <row r="8" spans="1:12">
      <c r="A8" s="3">
        <v>6</v>
      </c>
      <c r="B8" s="3">
        <f>800/54.72</f>
        <v>14.619883040935672</v>
      </c>
      <c r="C8" s="3">
        <f>800/53.83</f>
        <v>14.861601337544121</v>
      </c>
      <c r="D8" s="3">
        <f>800/54.93</f>
        <v>14.563990533406153</v>
      </c>
      <c r="E8" s="3">
        <f t="shared" si="0"/>
        <v>14.681824970628648</v>
      </c>
      <c r="F8" s="3">
        <v>0.63754</v>
      </c>
      <c r="G8" s="3">
        <f t="shared" si="1"/>
        <v>0.31923077890621454</v>
      </c>
      <c r="H8" s="3">
        <f t="shared" si="2"/>
        <v>45.991257550206207</v>
      </c>
      <c r="I8" s="3">
        <v>61.3</v>
      </c>
      <c r="J8" s="3">
        <v>1.07245E-2</v>
      </c>
      <c r="K8" s="3">
        <f t="shared" si="3"/>
        <v>2734.0450686333597</v>
      </c>
      <c r="L8" s="13"/>
    </row>
    <row r="9" spans="1:12">
      <c r="A9" s="3">
        <v>7</v>
      </c>
      <c r="B9" s="3">
        <f>1000/63.9</f>
        <v>15.649452269170579</v>
      </c>
      <c r="C9" s="3">
        <f>1000/62.23</f>
        <v>16.069419893941831</v>
      </c>
      <c r="D9" s="3">
        <f>1000/62.08</f>
        <v>16.108247422680414</v>
      </c>
      <c r="E9" s="3">
        <f t="shared" si="0"/>
        <v>15.942373195264274</v>
      </c>
      <c r="F9" s="3">
        <v>0.63754</v>
      </c>
      <c r="G9" s="3">
        <f t="shared" si="1"/>
        <v>0.31923077890621454</v>
      </c>
      <c r="H9" s="3">
        <f t="shared" si="2"/>
        <v>49.939962712517506</v>
      </c>
      <c r="I9" s="3">
        <v>61.3</v>
      </c>
      <c r="J9" s="3">
        <v>1.07245E-2</v>
      </c>
      <c r="K9" s="3">
        <f t="shared" si="3"/>
        <v>2968.783983191609</v>
      </c>
      <c r="L9" s="13"/>
    </row>
    <row r="10" spans="1:12">
      <c r="A10" s="3">
        <v>8</v>
      </c>
      <c r="B10" s="3">
        <f>1000/58.55</f>
        <v>17.079419299743808</v>
      </c>
      <c r="C10" s="3">
        <f>1000/57.69</f>
        <v>17.334026694401111</v>
      </c>
      <c r="D10" s="3">
        <f>1000/58.42</f>
        <v>17.117425539198905</v>
      </c>
      <c r="E10" s="3">
        <f t="shared" si="0"/>
        <v>17.176957177781276</v>
      </c>
      <c r="F10" s="3">
        <v>0.63754</v>
      </c>
      <c r="G10" s="3">
        <f t="shared" si="1"/>
        <v>0.31923077890621454</v>
      </c>
      <c r="H10" s="3">
        <f t="shared" si="2"/>
        <v>53.807334106801839</v>
      </c>
      <c r="I10" s="3">
        <v>61.3</v>
      </c>
      <c r="J10" s="3">
        <v>1.07245E-2</v>
      </c>
      <c r="K10" s="3">
        <f t="shared" si="3"/>
        <v>3198.6878443237861</v>
      </c>
      <c r="L10" s="13"/>
    </row>
    <row r="11" spans="1:12">
      <c r="A11" s="3">
        <v>9</v>
      </c>
      <c r="B11" s="3">
        <f>1000/55.97</f>
        <v>17.866714311238162</v>
      </c>
      <c r="C11" s="3">
        <f>1000/54.4</f>
        <v>18.382352941176471</v>
      </c>
      <c r="D11" s="3">
        <f>1000/54.69</f>
        <v>18.284878405558604</v>
      </c>
      <c r="E11" s="3">
        <f t="shared" si="0"/>
        <v>18.177981885991077</v>
      </c>
      <c r="F11" s="3">
        <v>0.63754</v>
      </c>
      <c r="G11" s="3">
        <f t="shared" si="1"/>
        <v>0.31923077890621454</v>
      </c>
      <c r="H11" s="3">
        <f t="shared" si="2"/>
        <v>56.943074061575714</v>
      </c>
      <c r="I11" s="3">
        <v>61.3</v>
      </c>
      <c r="J11" s="3">
        <v>1.07245E-2</v>
      </c>
      <c r="K11" s="3">
        <f t="shared" si="3"/>
        <v>3385.0983670303494</v>
      </c>
      <c r="L11" s="13"/>
    </row>
    <row r="12" spans="1:12">
      <c r="A12" s="3">
        <v>10</v>
      </c>
      <c r="B12" s="3">
        <f>1000/53.12</f>
        <v>18.825301204819279</v>
      </c>
      <c r="C12" s="3">
        <f>1000/52.08</f>
        <v>19.201228878648234</v>
      </c>
      <c r="D12" s="3">
        <f>1000/51.61</f>
        <v>19.37608990505716</v>
      </c>
      <c r="E12" s="3">
        <f t="shared" si="0"/>
        <v>19.13420666284156</v>
      </c>
      <c r="F12" s="3">
        <v>0.63754</v>
      </c>
      <c r="G12" s="3">
        <f t="shared" si="1"/>
        <v>0.31923077890621454</v>
      </c>
      <c r="H12" s="3">
        <f t="shared" si="2"/>
        <v>59.938476886224429</v>
      </c>
      <c r="I12" s="3">
        <v>61.3</v>
      </c>
      <c r="J12" s="3">
        <v>1.07245E-2</v>
      </c>
      <c r="K12" s="3">
        <f t="shared" si="3"/>
        <v>3563.1662598763132</v>
      </c>
      <c r="L12" s="13"/>
    </row>
    <row r="13" spans="1:12">
      <c r="A13" s="3">
        <v>11</v>
      </c>
      <c r="B13" s="3">
        <f>1500/78.06</f>
        <v>19.215987701767869</v>
      </c>
      <c r="C13" s="3">
        <f>1500/71.33</f>
        <v>21.029020047665778</v>
      </c>
      <c r="D13" s="3">
        <f>1500/74.11</f>
        <v>20.240183510997166</v>
      </c>
      <c r="E13" s="3">
        <f t="shared" si="0"/>
        <v>20.161730420143602</v>
      </c>
      <c r="F13" s="3">
        <v>0.63754</v>
      </c>
      <c r="G13" s="3">
        <f t="shared" si="1"/>
        <v>0.31923077890621454</v>
      </c>
      <c r="H13" s="3">
        <f t="shared" si="2"/>
        <v>63.15722590792798</v>
      </c>
      <c r="I13" s="3">
        <v>61.3</v>
      </c>
      <c r="J13" s="3">
        <v>1.07245E-2</v>
      </c>
      <c r="K13" s="3">
        <f t="shared" si="3"/>
        <v>3754.5114276041218</v>
      </c>
      <c r="L13" s="13"/>
    </row>
    <row r="14" spans="1:12">
      <c r="A14" s="3">
        <v>13</v>
      </c>
      <c r="B14" s="3">
        <f>1500/67.75</f>
        <v>22.140221402214021</v>
      </c>
      <c r="C14" s="3">
        <f>1500/66.26</f>
        <v>22.638092363416842</v>
      </c>
      <c r="D14" s="3">
        <f>1500/68.54</f>
        <v>21.885030639042892</v>
      </c>
      <c r="E14" s="3">
        <f t="shared" si="0"/>
        <v>22.221114801557917</v>
      </c>
      <c r="F14" s="3">
        <v>0.63754</v>
      </c>
      <c r="G14" s="3">
        <f t="shared" si="1"/>
        <v>0.31923077890621454</v>
      </c>
      <c r="H14" s="3">
        <f t="shared" si="2"/>
        <v>69.608309316834905</v>
      </c>
      <c r="I14" s="3">
        <v>61.3</v>
      </c>
      <c r="J14" s="3">
        <v>1.07245E-2</v>
      </c>
      <c r="K14" s="3">
        <f t="shared" si="3"/>
        <v>4138.0093731041006</v>
      </c>
      <c r="L14" s="13"/>
    </row>
    <row r="15" spans="1:12">
      <c r="A15" s="3">
        <v>15</v>
      </c>
      <c r="B15" s="3">
        <f>1500/62.51</f>
        <v>23.996160614301711</v>
      </c>
      <c r="C15" s="3">
        <f>1500/63.61</f>
        <v>23.581197924854582</v>
      </c>
      <c r="D15" s="3">
        <f>1500/60.76</f>
        <v>24.687294272547728</v>
      </c>
      <c r="E15" s="3">
        <f t="shared" si="0"/>
        <v>24.088217603901342</v>
      </c>
      <c r="F15" s="3">
        <v>0.63754</v>
      </c>
      <c r="G15" s="3">
        <f t="shared" si="1"/>
        <v>0.31923077890621454</v>
      </c>
      <c r="H15" s="3">
        <f t="shared" si="2"/>
        <v>75.457064905944165</v>
      </c>
      <c r="I15" s="3">
        <v>61.3</v>
      </c>
      <c r="J15" s="3">
        <v>1.07245E-2</v>
      </c>
      <c r="K15" s="3">
        <f t="shared" si="3"/>
        <v>4485.7007002783948</v>
      </c>
      <c r="L15" s="13"/>
    </row>
    <row r="16" spans="1:12">
      <c r="A16" s="3">
        <v>17</v>
      </c>
      <c r="B16" s="3">
        <f>1500/58.61</f>
        <v>25.592902235113463</v>
      </c>
      <c r="C16" s="3">
        <f>1500/56.33</f>
        <v>26.628794603230961</v>
      </c>
      <c r="D16" s="3">
        <f>1500/58.18</f>
        <v>25.782055689240288</v>
      </c>
      <c r="E16" s="3">
        <f t="shared" si="0"/>
        <v>26.001250842528236</v>
      </c>
      <c r="F16" s="3">
        <v>0.63754</v>
      </c>
      <c r="G16" s="3">
        <f t="shared" si="1"/>
        <v>0.31923077890621454</v>
      </c>
      <c r="H16" s="3">
        <f t="shared" si="2"/>
        <v>81.449698965797509</v>
      </c>
      <c r="I16" s="3">
        <v>61.3</v>
      </c>
      <c r="J16" s="3">
        <v>1.07245E-2</v>
      </c>
      <c r="K16" s="3">
        <f t="shared" si="3"/>
        <v>4841.9451796032026</v>
      </c>
      <c r="L16" s="13"/>
    </row>
    <row r="17" spans="1:11">
      <c r="A17" s="3">
        <v>19</v>
      </c>
      <c r="B17" s="3">
        <f>1500/54.89</f>
        <v>27.327382036800874</v>
      </c>
      <c r="C17" s="3">
        <f>1500/54.62</f>
        <v>27.462467960454049</v>
      </c>
      <c r="D17" s="3">
        <f>1500/55.04</f>
        <v>27.252906976744185</v>
      </c>
      <c r="E17" s="3">
        <f t="shared" si="0"/>
        <v>27.347585657999701</v>
      </c>
      <c r="F17" s="3">
        <v>0.63754</v>
      </c>
      <c r="G17" s="3">
        <f t="shared" si="1"/>
        <v>0.31923077890621454</v>
      </c>
      <c r="H17" s="3">
        <f t="shared" si="2"/>
        <v>85.667133199690724</v>
      </c>
      <c r="I17" s="3">
        <v>61.3</v>
      </c>
      <c r="J17" s="3">
        <v>1.07245E-2</v>
      </c>
      <c r="K17" s="3">
        <f t="shared" si="3"/>
        <v>5092.6592475295656</v>
      </c>
    </row>
    <row r="18" spans="1:11">
      <c r="A18" s="3">
        <v>21</v>
      </c>
      <c r="B18" s="3">
        <f t="shared" ref="B18:C18" si="4">1500/51.68</f>
        <v>29.024767801857585</v>
      </c>
      <c r="C18" s="3">
        <f t="shared" si="4"/>
        <v>29.024767801857585</v>
      </c>
      <c r="D18" s="3">
        <f>1500/51.37</f>
        <v>29.19992213354098</v>
      </c>
      <c r="E18" s="3">
        <f t="shared" si="0"/>
        <v>29.083152579085382</v>
      </c>
      <c r="F18" s="3">
        <v>0.63754</v>
      </c>
      <c r="G18" s="3">
        <f t="shared" si="1"/>
        <v>0.31923077890621454</v>
      </c>
      <c r="H18" s="3">
        <f t="shared" si="2"/>
        <v>91.10384869132433</v>
      </c>
      <c r="I18" s="3">
        <v>61.3</v>
      </c>
      <c r="J18" s="3">
        <v>1.07245E-2</v>
      </c>
      <c r="K18" s="3">
        <f t="shared" si="3"/>
        <v>5415.8560021135636</v>
      </c>
    </row>
    <row r="19" spans="1:11">
      <c r="A19" s="3">
        <v>23</v>
      </c>
      <c r="B19" s="3">
        <f>1500/49.03</f>
        <v>30.593514174994901</v>
      </c>
      <c r="C19" s="3">
        <f>1500/49.33</f>
        <v>30.407459963511048</v>
      </c>
      <c r="D19" s="3">
        <f>1500/48.86</f>
        <v>30.699959066721245</v>
      </c>
      <c r="E19" s="3">
        <f t="shared" si="0"/>
        <v>30.566977735075735</v>
      </c>
      <c r="F19" s="3">
        <v>0.63754</v>
      </c>
      <c r="G19" s="3">
        <f t="shared" si="1"/>
        <v>0.31923077890621454</v>
      </c>
      <c r="H19" s="3">
        <f t="shared" si="2"/>
        <v>95.75197554511459</v>
      </c>
      <c r="I19" s="3">
        <v>61.3</v>
      </c>
      <c r="J19" s="3">
        <v>1.07245E-2</v>
      </c>
      <c r="K19" s="3">
        <f t="shared" si="3"/>
        <v>5692.173480258507</v>
      </c>
    </row>
    <row r="20" spans="1:11">
      <c r="A20" s="3">
        <v>25</v>
      </c>
      <c r="B20" s="3">
        <f>1500/48.09</f>
        <v>31.191515907673111</v>
      </c>
      <c r="C20" s="3">
        <f>1500/47.12</f>
        <v>31.833616298811545</v>
      </c>
      <c r="D20" s="3">
        <f>1500/47.11</f>
        <v>31.840373593716834</v>
      </c>
      <c r="E20" s="3">
        <f t="shared" si="0"/>
        <v>31.621835266733829</v>
      </c>
      <c r="F20" s="3">
        <v>0.63754</v>
      </c>
      <c r="G20" s="3">
        <f t="shared" si="1"/>
        <v>0.31923077890621454</v>
      </c>
      <c r="H20" s="3">
        <f t="shared" si="2"/>
        <v>99.056348435699789</v>
      </c>
      <c r="I20" s="3">
        <v>61.3</v>
      </c>
      <c r="J20" s="3">
        <v>1.07245E-2</v>
      </c>
      <c r="K20" s="3">
        <f t="shared" si="3"/>
        <v>5888.6087352973145</v>
      </c>
    </row>
  </sheetData>
  <pageMargins left="0.75" right="0.75" top="1" bottom="1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20"/>
  <sheetViews>
    <sheetView workbookViewId="0"/>
  </sheetViews>
  <sheetFormatPr defaultColWidth="11.33203125" defaultRowHeight="15" customHeight="1"/>
  <cols>
    <col min="1" max="1" width="6.6640625" customWidth="1"/>
    <col min="2" max="4" width="9.6640625" customWidth="1"/>
    <col min="5" max="5" width="6.6640625" customWidth="1"/>
    <col min="6" max="6" width="9.6640625" customWidth="1"/>
    <col min="7" max="7" width="17.33203125" customWidth="1"/>
    <col min="8" max="9" width="6.6640625" customWidth="1"/>
    <col min="10" max="10" width="8.109375" customWidth="1"/>
    <col min="11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42</v>
      </c>
    </row>
    <row r="2" spans="1:12">
      <c r="A2" s="3">
        <v>0</v>
      </c>
      <c r="B2" s="3"/>
      <c r="C2" s="3"/>
      <c r="D2" s="3"/>
      <c r="E2" s="3">
        <f t="shared" ref="E2:E20" si="0">(B2+C2+D2)/3</f>
        <v>0</v>
      </c>
      <c r="F2" s="3">
        <v>0.77500000000000002</v>
      </c>
      <c r="G2" s="3">
        <f t="shared" ref="G2:G20" si="1">(F2^2)/4*PI()</f>
        <v>0.47172977189059245</v>
      </c>
      <c r="H2" s="3">
        <f t="shared" ref="H2:H20" si="2">E2/G2</f>
        <v>0</v>
      </c>
      <c r="I2" s="3">
        <v>61.3</v>
      </c>
      <c r="J2" s="3">
        <v>1.0602500000000001E-2</v>
      </c>
      <c r="K2" s="3">
        <f t="shared" ref="K2:K20" si="3">H2*F2/J2</f>
        <v>0</v>
      </c>
      <c r="L2" s="13"/>
    </row>
    <row r="3" spans="1:12">
      <c r="A3" s="3">
        <v>1</v>
      </c>
      <c r="B3" s="3">
        <f>1000/121.51</f>
        <v>8.2297753271335683</v>
      </c>
      <c r="C3" s="3">
        <f>1000/131.6</f>
        <v>7.5987841945288759</v>
      </c>
      <c r="D3" s="3">
        <f>1000/128.94</f>
        <v>7.7555452148286026</v>
      </c>
      <c r="E3" s="3">
        <f t="shared" si="0"/>
        <v>7.8613682454970162</v>
      </c>
      <c r="F3" s="3">
        <v>0.77500000000000002</v>
      </c>
      <c r="G3" s="3">
        <f t="shared" si="1"/>
        <v>0.47172977189059245</v>
      </c>
      <c r="H3" s="3">
        <f t="shared" si="2"/>
        <v>16.664982186708986</v>
      </c>
      <c r="I3" s="3">
        <v>61.3</v>
      </c>
      <c r="J3" s="3">
        <v>1.0602500000000001E-2</v>
      </c>
      <c r="K3" s="3">
        <f t="shared" si="3"/>
        <v>1218.1430035085559</v>
      </c>
      <c r="L3" s="13"/>
    </row>
    <row r="4" spans="1:12">
      <c r="A4" s="3">
        <v>2</v>
      </c>
      <c r="B4" s="3">
        <f>1000/73.5</f>
        <v>13.605442176870747</v>
      </c>
      <c r="C4" s="3">
        <f>1000/77.16</f>
        <v>12.960082944530846</v>
      </c>
      <c r="D4" s="3">
        <f>1000/77.9</f>
        <v>12.836970474967906</v>
      </c>
      <c r="E4" s="3">
        <f t="shared" si="0"/>
        <v>13.134165198789832</v>
      </c>
      <c r="F4" s="3">
        <v>0.77500000000000002</v>
      </c>
      <c r="G4" s="3">
        <f t="shared" si="1"/>
        <v>0.47172977189059245</v>
      </c>
      <c r="H4" s="3">
        <f t="shared" si="2"/>
        <v>27.84256152871356</v>
      </c>
      <c r="I4" s="3">
        <v>61.3</v>
      </c>
      <c r="J4" s="3">
        <v>1.0602500000000001E-2</v>
      </c>
      <c r="K4" s="3">
        <f t="shared" si="3"/>
        <v>2035.1789846501306</v>
      </c>
      <c r="L4" s="13"/>
    </row>
    <row r="5" spans="1:12">
      <c r="A5" s="3">
        <v>3</v>
      </c>
      <c r="B5" s="3">
        <f>1000/59.93</f>
        <v>16.686133822793259</v>
      </c>
      <c r="C5" s="3">
        <f>1000/62.83</f>
        <v>15.915963711602737</v>
      </c>
      <c r="D5" s="3">
        <f>1000/61.3</f>
        <v>16.31321370309951</v>
      </c>
      <c r="E5" s="3">
        <f t="shared" si="0"/>
        <v>16.305103745831833</v>
      </c>
      <c r="F5" s="3">
        <v>0.77500000000000002</v>
      </c>
      <c r="G5" s="3">
        <f t="shared" si="1"/>
        <v>0.47172977189059245</v>
      </c>
      <c r="H5" s="3">
        <f t="shared" si="2"/>
        <v>34.564500096070788</v>
      </c>
      <c r="I5" s="3">
        <v>61.3</v>
      </c>
      <c r="J5" s="3">
        <v>1.0602500000000001E-2</v>
      </c>
      <c r="K5" s="3">
        <f t="shared" si="3"/>
        <v>2526.5255906111634</v>
      </c>
      <c r="L5" s="13"/>
    </row>
    <row r="6" spans="1:12">
      <c r="A6" s="3">
        <v>4</v>
      </c>
      <c r="B6" s="3">
        <f t="shared" ref="B6:C6" si="4">1000/49.5</f>
        <v>20.202020202020201</v>
      </c>
      <c r="C6" s="3">
        <f t="shared" si="4"/>
        <v>20.202020202020201</v>
      </c>
      <c r="D6" s="3">
        <f>1000/56.44</f>
        <v>17.71793054571226</v>
      </c>
      <c r="E6" s="3">
        <f t="shared" si="0"/>
        <v>19.373990316584223</v>
      </c>
      <c r="F6" s="3">
        <v>0.77500000000000002</v>
      </c>
      <c r="G6" s="3">
        <f t="shared" si="1"/>
        <v>0.47172977189059245</v>
      </c>
      <c r="H6" s="3">
        <f t="shared" si="2"/>
        <v>41.070102993367151</v>
      </c>
      <c r="I6" s="3">
        <v>61.3</v>
      </c>
      <c r="J6" s="3">
        <v>1.0602500000000001E-2</v>
      </c>
      <c r="K6" s="3">
        <f t="shared" si="3"/>
        <v>3002.0589313708597</v>
      </c>
      <c r="L6" s="13"/>
    </row>
    <row r="7" spans="1:12">
      <c r="A7" s="3">
        <v>5</v>
      </c>
      <c r="B7" s="3">
        <f>1000/42.37</f>
        <v>23.601604909133822</v>
      </c>
      <c r="C7" s="3">
        <f>1000/45.76</f>
        <v>21.853146853146853</v>
      </c>
      <c r="D7" s="3">
        <f>1000/45.43</f>
        <v>22.01188641866608</v>
      </c>
      <c r="E7" s="3">
        <f t="shared" si="0"/>
        <v>22.488879393648919</v>
      </c>
      <c r="F7" s="3">
        <v>0.77500000000000002</v>
      </c>
      <c r="G7" s="3">
        <f t="shared" si="1"/>
        <v>0.47172977189059245</v>
      </c>
      <c r="H7" s="3">
        <f t="shared" si="2"/>
        <v>47.673224658936149</v>
      </c>
      <c r="I7" s="3">
        <v>61.3</v>
      </c>
      <c r="J7" s="3">
        <v>1.0602500000000001E-2</v>
      </c>
      <c r="K7" s="3">
        <f t="shared" si="3"/>
        <v>3484.72050088899</v>
      </c>
      <c r="L7" s="13"/>
    </row>
    <row r="8" spans="1:12">
      <c r="A8" s="3">
        <v>6</v>
      </c>
      <c r="B8" s="3">
        <f>1000/39.29</f>
        <v>25.451768897938408</v>
      </c>
      <c r="C8" s="3">
        <f>1000/42.14</f>
        <v>23.730422401518748</v>
      </c>
      <c r="D8" s="3">
        <f>1000/42.3</f>
        <v>23.640661938534279</v>
      </c>
      <c r="E8" s="3">
        <f t="shared" si="0"/>
        <v>24.274284412663814</v>
      </c>
      <c r="F8" s="3">
        <v>0.77500000000000002</v>
      </c>
      <c r="G8" s="3">
        <f t="shared" si="1"/>
        <v>0.47172977189059245</v>
      </c>
      <c r="H8" s="3">
        <f t="shared" si="2"/>
        <v>51.458029276756591</v>
      </c>
      <c r="I8" s="3">
        <v>61.3</v>
      </c>
      <c r="J8" s="3">
        <v>1.0602500000000001E-2</v>
      </c>
      <c r="K8" s="3">
        <f t="shared" si="3"/>
        <v>3761.3744578624246</v>
      </c>
      <c r="L8" s="13"/>
    </row>
    <row r="9" spans="1:12">
      <c r="A9" s="3">
        <v>7</v>
      </c>
      <c r="B9" s="3">
        <f>1500/58.04</f>
        <v>25.844245348035837</v>
      </c>
      <c r="C9" s="3">
        <f>1500/56.83</f>
        <v>26.394509941932078</v>
      </c>
      <c r="D9" s="3">
        <f>1500/57.36</f>
        <v>26.150627615062763</v>
      </c>
      <c r="E9" s="3">
        <f t="shared" si="0"/>
        <v>26.129794301676892</v>
      </c>
      <c r="F9" s="3">
        <v>0.77500000000000002</v>
      </c>
      <c r="G9" s="3">
        <f t="shared" si="1"/>
        <v>0.47172977189059245</v>
      </c>
      <c r="H9" s="3">
        <f t="shared" si="2"/>
        <v>55.39144624464604</v>
      </c>
      <c r="I9" s="3">
        <v>61.3</v>
      </c>
      <c r="J9" s="3">
        <v>1.0602500000000001E-2</v>
      </c>
      <c r="K9" s="3">
        <f t="shared" si="3"/>
        <v>4048.8913784108163</v>
      </c>
      <c r="L9" s="13"/>
    </row>
    <row r="10" spans="1:12">
      <c r="A10" s="3">
        <v>8</v>
      </c>
      <c r="B10" s="3">
        <f>1500/53.58</f>
        <v>27.995520716685331</v>
      </c>
      <c r="C10" s="3">
        <f>1500/52.94</f>
        <v>28.333962976955046</v>
      </c>
      <c r="D10" s="3">
        <f>1500/53.36</f>
        <v>28.110944527736134</v>
      </c>
      <c r="E10" s="3">
        <f t="shared" si="0"/>
        <v>28.146809407125502</v>
      </c>
      <c r="F10" s="3">
        <v>0.77500000000000002</v>
      </c>
      <c r="G10" s="3">
        <f t="shared" si="1"/>
        <v>0.47172977189059245</v>
      </c>
      <c r="H10" s="3">
        <f t="shared" si="2"/>
        <v>59.667231292863043</v>
      </c>
      <c r="I10" s="3">
        <v>61.3</v>
      </c>
      <c r="J10" s="3">
        <v>1.0602500000000001E-2</v>
      </c>
      <c r="K10" s="3">
        <f t="shared" si="3"/>
        <v>4361.434025179803</v>
      </c>
      <c r="L10" s="13"/>
    </row>
    <row r="11" spans="1:12">
      <c r="A11" s="3">
        <v>9</v>
      </c>
      <c r="B11" s="3">
        <f>1500/51.69</f>
        <v>29.019152640742892</v>
      </c>
      <c r="C11" s="3">
        <f>1500/49.83</f>
        <v>30.102347983142685</v>
      </c>
      <c r="D11" s="3">
        <f>1500/50.57</f>
        <v>29.661854854656912</v>
      </c>
      <c r="E11" s="3">
        <f t="shared" si="0"/>
        <v>29.59445182618083</v>
      </c>
      <c r="F11" s="3">
        <v>0.77500000000000002</v>
      </c>
      <c r="G11" s="3">
        <f t="shared" si="1"/>
        <v>0.47172977189059245</v>
      </c>
      <c r="H11" s="3">
        <f t="shared" si="2"/>
        <v>62.736027254698321</v>
      </c>
      <c r="I11" s="3">
        <v>61.3</v>
      </c>
      <c r="J11" s="3">
        <v>1.0602500000000001E-2</v>
      </c>
      <c r="K11" s="3">
        <f t="shared" si="3"/>
        <v>4585.7506363962457</v>
      </c>
      <c r="L11" s="13"/>
    </row>
    <row r="12" spans="1:12">
      <c r="A12" s="3">
        <v>10</v>
      </c>
      <c r="B12" s="3">
        <f>1500/46.51</f>
        <v>32.251128789507632</v>
      </c>
      <c r="C12" s="3">
        <f>1500/47</f>
        <v>31.914893617021278</v>
      </c>
      <c r="D12" s="3">
        <f>1500/47.12</f>
        <v>31.833616298811545</v>
      </c>
      <c r="E12" s="3">
        <f t="shared" si="0"/>
        <v>31.999879568446818</v>
      </c>
      <c r="F12" s="3">
        <v>0.77500000000000002</v>
      </c>
      <c r="G12" s="3">
        <f t="shared" si="1"/>
        <v>0.47172977189059245</v>
      </c>
      <c r="H12" s="3">
        <f t="shared" si="2"/>
        <v>67.835191830691784</v>
      </c>
      <c r="I12" s="3">
        <v>61.3</v>
      </c>
      <c r="J12" s="3">
        <v>1.0602500000000001E-2</v>
      </c>
      <c r="K12" s="3">
        <f t="shared" si="3"/>
        <v>4958.4790067235208</v>
      </c>
      <c r="L12" s="13"/>
    </row>
    <row r="13" spans="1:12">
      <c r="A13" s="3">
        <v>11</v>
      </c>
      <c r="B13" s="3">
        <f>1500/43.51</f>
        <v>34.474833371638702</v>
      </c>
      <c r="C13" s="3">
        <f>1500/44.7</f>
        <v>33.557046979865767</v>
      </c>
      <c r="D13" s="3">
        <f>1500/46.18</f>
        <v>32.481593763534001</v>
      </c>
      <c r="E13" s="3">
        <f t="shared" si="0"/>
        <v>33.504491371679485</v>
      </c>
      <c r="F13" s="3">
        <v>0.77500000000000002</v>
      </c>
      <c r="G13" s="3">
        <f t="shared" si="1"/>
        <v>0.47172977189059245</v>
      </c>
      <c r="H13" s="3">
        <f t="shared" si="2"/>
        <v>71.024754781536515</v>
      </c>
      <c r="I13" s="3">
        <v>61.3</v>
      </c>
      <c r="J13" s="3">
        <v>1.0602500000000001E-2</v>
      </c>
      <c r="K13" s="3">
        <f t="shared" si="3"/>
        <v>5191.6231978958549</v>
      </c>
      <c r="L13" s="13"/>
    </row>
    <row r="14" spans="1:12">
      <c r="A14" s="3">
        <v>13</v>
      </c>
      <c r="B14" s="3">
        <f>1500/40.36</f>
        <v>37.165510406342918</v>
      </c>
      <c r="C14" s="3">
        <f>1500/41.36</f>
        <v>36.266924564796909</v>
      </c>
      <c r="D14" s="3">
        <f>1500/40.07</f>
        <v>37.434489643124529</v>
      </c>
      <c r="E14" s="3">
        <f t="shared" si="0"/>
        <v>36.955641538088116</v>
      </c>
      <c r="F14" s="3">
        <v>0.77500000000000002</v>
      </c>
      <c r="G14" s="3">
        <f t="shared" si="1"/>
        <v>0.47172977189059245</v>
      </c>
      <c r="H14" s="3">
        <f t="shared" si="2"/>
        <v>78.340702114216313</v>
      </c>
      <c r="I14" s="3">
        <v>61.3</v>
      </c>
      <c r="J14" s="3">
        <v>1.0602500000000001E-2</v>
      </c>
      <c r="K14" s="3">
        <f t="shared" si="3"/>
        <v>5726.3894495182867</v>
      </c>
      <c r="L14" s="13"/>
    </row>
    <row r="15" spans="1:12">
      <c r="A15" s="3">
        <v>15</v>
      </c>
      <c r="B15" s="3">
        <f>1500/36.62</f>
        <v>40.96122337520481</v>
      </c>
      <c r="C15" s="3">
        <f>1500/38.03</f>
        <v>39.442545358927163</v>
      </c>
      <c r="D15" s="3">
        <f>1500/37.65</f>
        <v>39.840637450199203</v>
      </c>
      <c r="E15" s="3">
        <f t="shared" si="0"/>
        <v>40.081468728110394</v>
      </c>
      <c r="F15" s="3">
        <v>0.77500000000000002</v>
      </c>
      <c r="G15" s="3">
        <f t="shared" si="1"/>
        <v>0.47172977189059245</v>
      </c>
      <c r="H15" s="3">
        <f t="shared" si="2"/>
        <v>84.967011023010912</v>
      </c>
      <c r="I15" s="3">
        <v>61.3</v>
      </c>
      <c r="J15" s="3">
        <v>1.0602500000000001E-2</v>
      </c>
      <c r="K15" s="3">
        <f t="shared" si="3"/>
        <v>6210.7459130236684</v>
      </c>
      <c r="L15" s="13"/>
    </row>
    <row r="16" spans="1:12">
      <c r="A16" s="3">
        <v>17</v>
      </c>
      <c r="B16" s="3">
        <f>1500/35.83</f>
        <v>41.864359475300027</v>
      </c>
      <c r="C16" s="3">
        <f>1500/34.82</f>
        <v>43.0786904078116</v>
      </c>
      <c r="D16" s="3">
        <f>1500/35.19</f>
        <v>42.625745950554141</v>
      </c>
      <c r="E16" s="3">
        <f t="shared" si="0"/>
        <v>42.52293194455526</v>
      </c>
      <c r="F16" s="3">
        <v>0.77500000000000002</v>
      </c>
      <c r="G16" s="3">
        <f t="shared" si="1"/>
        <v>0.47172977189059245</v>
      </c>
      <c r="H16" s="3">
        <f t="shared" si="2"/>
        <v>90.14256567723595</v>
      </c>
      <c r="I16" s="3">
        <v>61.3</v>
      </c>
      <c r="J16" s="3">
        <v>1.0602500000000001E-2</v>
      </c>
      <c r="K16" s="3">
        <f t="shared" si="3"/>
        <v>6589.0580900596888</v>
      </c>
      <c r="L16" s="13"/>
    </row>
    <row r="17" spans="1:11">
      <c r="A17" s="3">
        <v>19</v>
      </c>
      <c r="B17" s="3">
        <f>2000/46.08</f>
        <v>43.402777777777779</v>
      </c>
      <c r="C17" s="3">
        <f>2000/45.32</f>
        <v>44.130626654898499</v>
      </c>
      <c r="D17" s="3">
        <f>1500/31.57</f>
        <v>47.513462147608486</v>
      </c>
      <c r="E17" s="3">
        <f t="shared" si="0"/>
        <v>45.01562219342825</v>
      </c>
      <c r="F17" s="3">
        <v>0.77500000000000002</v>
      </c>
      <c r="G17" s="3">
        <f t="shared" si="1"/>
        <v>0.47172977189059245</v>
      </c>
      <c r="H17" s="3">
        <f t="shared" si="2"/>
        <v>95.426714351768013</v>
      </c>
      <c r="I17" s="3">
        <v>61.3</v>
      </c>
      <c r="J17" s="3">
        <v>1.0602500000000001E-2</v>
      </c>
      <c r="K17" s="3">
        <f t="shared" si="3"/>
        <v>6975.308052121688</v>
      </c>
    </row>
    <row r="18" spans="1:11">
      <c r="A18" s="3">
        <v>21</v>
      </c>
      <c r="B18" s="3">
        <f>1500/29.65</f>
        <v>50.59021922428331</v>
      </c>
      <c r="C18" s="3">
        <f>1500/30.85</f>
        <v>48.622366288492707</v>
      </c>
      <c r="D18" s="3">
        <f>1500/30.26</f>
        <v>49.570389953734299</v>
      </c>
      <c r="E18" s="3">
        <f t="shared" si="0"/>
        <v>49.594325155503441</v>
      </c>
      <c r="F18" s="3">
        <v>0.77500000000000002</v>
      </c>
      <c r="G18" s="3">
        <f t="shared" si="1"/>
        <v>0.47172977189059245</v>
      </c>
      <c r="H18" s="3">
        <f t="shared" si="2"/>
        <v>105.13291318616578</v>
      </c>
      <c r="I18" s="3">
        <v>61.3</v>
      </c>
      <c r="J18" s="3">
        <v>1.0602500000000001E-2</v>
      </c>
      <c r="K18" s="3">
        <f t="shared" si="3"/>
        <v>7684.7920508633315</v>
      </c>
    </row>
    <row r="19" spans="1:11">
      <c r="A19" s="3">
        <v>23</v>
      </c>
      <c r="B19" s="3">
        <f>2000/40.82</f>
        <v>48.99559039686428</v>
      </c>
      <c r="C19" s="3">
        <f>2000/39.4</f>
        <v>50.761421319796959</v>
      </c>
      <c r="D19" s="3">
        <f>2000/40.3</f>
        <v>49.627791563275437</v>
      </c>
      <c r="E19" s="3">
        <f t="shared" si="0"/>
        <v>49.794934426645561</v>
      </c>
      <c r="F19" s="3">
        <v>0.77500000000000002</v>
      </c>
      <c r="G19" s="3">
        <f t="shared" si="1"/>
        <v>0.47172977189059245</v>
      </c>
      <c r="H19" s="3">
        <f t="shared" si="2"/>
        <v>105.55817629885446</v>
      </c>
      <c r="I19" s="3">
        <v>61.3</v>
      </c>
      <c r="J19" s="3">
        <v>1.0602500000000001E-2</v>
      </c>
      <c r="K19" s="3">
        <f t="shared" si="3"/>
        <v>7715.8770697111249</v>
      </c>
    </row>
    <row r="20" spans="1:11">
      <c r="A20" s="3">
        <v>25</v>
      </c>
      <c r="B20" s="3">
        <f>2000/39.72</f>
        <v>50.352467270896277</v>
      </c>
      <c r="C20" s="3">
        <f>2000/39.44</f>
        <v>50.709939148073026</v>
      </c>
      <c r="D20" s="3">
        <f>2000/40.72</f>
        <v>49.115913555992144</v>
      </c>
      <c r="E20" s="3">
        <f t="shared" si="0"/>
        <v>50.059439991653818</v>
      </c>
      <c r="F20" s="3">
        <v>0.77500000000000002</v>
      </c>
      <c r="G20" s="3">
        <f t="shared" si="1"/>
        <v>0.47172977189059245</v>
      </c>
      <c r="H20" s="3">
        <f t="shared" si="2"/>
        <v>106.1188904635513</v>
      </c>
      <c r="I20" s="3">
        <v>61.3</v>
      </c>
      <c r="J20" s="3">
        <v>1.0602500000000001E-2</v>
      </c>
      <c r="K20" s="3">
        <f t="shared" si="3"/>
        <v>7756.8630143128748</v>
      </c>
    </row>
  </sheetData>
  <pageMargins left="0.75" right="0.75" top="1" bottom="1" header="0" footer="0"/>
  <pageSetup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19"/>
  <sheetViews>
    <sheetView workbookViewId="0"/>
  </sheetViews>
  <sheetFormatPr defaultColWidth="11.33203125" defaultRowHeight="15" customHeight="1"/>
  <cols>
    <col min="1" max="9" width="6.6640625" customWidth="1"/>
    <col min="10" max="10" width="7" customWidth="1"/>
    <col min="11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43</v>
      </c>
    </row>
    <row r="2" spans="1:12">
      <c r="A2" s="3">
        <v>0</v>
      </c>
      <c r="B2" s="3"/>
      <c r="C2" s="3"/>
      <c r="D2" s="3"/>
      <c r="E2" s="3">
        <f t="shared" ref="E2:E18" si="0">(B2+C2+D2)/3</f>
        <v>0</v>
      </c>
      <c r="F2" s="3">
        <f t="shared" ref="F2:F18" si="1">0.50546</f>
        <v>0.50546000000000002</v>
      </c>
      <c r="G2" s="3">
        <f t="shared" ref="G2:G18" si="2">(F2^2)/4*PI()</f>
        <v>0.20066122879740009</v>
      </c>
      <c r="H2" s="3">
        <f t="shared" ref="H2:H18" si="3">E2/G2</f>
        <v>0</v>
      </c>
      <c r="I2" s="3">
        <v>90</v>
      </c>
      <c r="J2" s="3">
        <v>1.061E-2</v>
      </c>
      <c r="K2" s="3">
        <f t="shared" ref="K2:K18" si="4">H2*F2/J2</f>
        <v>0</v>
      </c>
      <c r="L2" s="13"/>
    </row>
    <row r="3" spans="1:12">
      <c r="A3" s="3">
        <v>1</v>
      </c>
      <c r="B3" s="3">
        <f>100/67.93</f>
        <v>1.4721036360959809</v>
      </c>
      <c r="C3" s="3">
        <f>100/70.8</f>
        <v>1.4124293785310735</v>
      </c>
      <c r="D3" s="3">
        <f>100/69.87</f>
        <v>1.431229426077</v>
      </c>
      <c r="E3" s="3">
        <f t="shared" si="0"/>
        <v>1.4385874802346847</v>
      </c>
      <c r="F3" s="3">
        <f t="shared" si="1"/>
        <v>0.50546000000000002</v>
      </c>
      <c r="G3" s="3">
        <f t="shared" si="2"/>
        <v>0.20066122879740009</v>
      </c>
      <c r="H3" s="3">
        <f t="shared" si="3"/>
        <v>7.1692348783888447</v>
      </c>
      <c r="I3" s="3">
        <v>90</v>
      </c>
      <c r="J3" s="3">
        <v>1.061E-2</v>
      </c>
      <c r="K3" s="3">
        <f t="shared" si="4"/>
        <v>341.54207932426255</v>
      </c>
      <c r="L3" s="13"/>
    </row>
    <row r="4" spans="1:12">
      <c r="A4" s="3">
        <v>2</v>
      </c>
      <c r="B4" s="3">
        <f>100/34.03</f>
        <v>2.9385836027034968</v>
      </c>
      <c r="C4" s="3">
        <f>100/37.45</f>
        <v>2.6702269692923895</v>
      </c>
      <c r="D4" s="3">
        <f>100/34.8</f>
        <v>2.8735632183908049</v>
      </c>
      <c r="E4" s="3">
        <f t="shared" si="0"/>
        <v>2.8274579301288973</v>
      </c>
      <c r="F4" s="3">
        <f t="shared" si="1"/>
        <v>0.50546000000000002</v>
      </c>
      <c r="G4" s="3">
        <f t="shared" si="2"/>
        <v>0.20066122879740009</v>
      </c>
      <c r="H4" s="3">
        <f t="shared" si="3"/>
        <v>14.090703755151788</v>
      </c>
      <c r="I4" s="3">
        <v>90</v>
      </c>
      <c r="J4" s="3">
        <v>1.061E-2</v>
      </c>
      <c r="K4" s="3">
        <f t="shared" si="4"/>
        <v>671.28059567191553</v>
      </c>
      <c r="L4" s="13"/>
    </row>
    <row r="5" spans="1:12">
      <c r="A5" s="3">
        <v>3</v>
      </c>
      <c r="B5" s="5">
        <f>200/45</f>
        <v>4.4444444444444446</v>
      </c>
      <c r="C5" s="5">
        <f>200/48.52</f>
        <v>4.1220115416323164</v>
      </c>
      <c r="D5" s="5">
        <f>200/46.23</f>
        <v>4.3261951113995245</v>
      </c>
      <c r="E5" s="3">
        <f t="shared" si="0"/>
        <v>4.2975503658254288</v>
      </c>
      <c r="F5" s="3">
        <f t="shared" si="1"/>
        <v>0.50546000000000002</v>
      </c>
      <c r="G5" s="3">
        <f t="shared" si="2"/>
        <v>0.20066122879740009</v>
      </c>
      <c r="H5" s="3">
        <f t="shared" si="3"/>
        <v>21.416944327419124</v>
      </c>
      <c r="I5" s="3">
        <v>90</v>
      </c>
      <c r="J5" s="3">
        <v>1.061E-2</v>
      </c>
      <c r="K5" s="3">
        <f t="shared" si="4"/>
        <v>1020.3024203333903</v>
      </c>
      <c r="L5" s="13"/>
    </row>
    <row r="6" spans="1:12">
      <c r="A6" s="3">
        <v>4</v>
      </c>
      <c r="B6" s="3">
        <f>200/34.09</f>
        <v>5.8668231152830739</v>
      </c>
      <c r="C6" s="3">
        <f>200/36.96</f>
        <v>5.4112554112554108</v>
      </c>
      <c r="D6" s="3">
        <f>200/34.96</f>
        <v>5.7208237986270021</v>
      </c>
      <c r="E6" s="3">
        <f t="shared" si="0"/>
        <v>5.6663007750551628</v>
      </c>
      <c r="F6" s="3">
        <f t="shared" si="1"/>
        <v>0.50546000000000002</v>
      </c>
      <c r="G6" s="3">
        <f t="shared" si="2"/>
        <v>0.20066122879740009</v>
      </c>
      <c r="H6" s="3">
        <f t="shared" si="3"/>
        <v>28.238144503621118</v>
      </c>
      <c r="I6" s="3">
        <v>90</v>
      </c>
      <c r="J6" s="3">
        <v>1.061E-2</v>
      </c>
      <c r="K6" s="3">
        <f t="shared" si="4"/>
        <v>1345.264139566478</v>
      </c>
      <c r="L6" s="13"/>
    </row>
    <row r="7" spans="1:12">
      <c r="A7" s="3">
        <v>5</v>
      </c>
      <c r="B7" s="3">
        <f>300/45.81</f>
        <v>6.5487884741322855</v>
      </c>
      <c r="C7" s="3">
        <f>200/32.63</f>
        <v>6.1293288384921842</v>
      </c>
      <c r="D7" s="3">
        <f>200/30.61</f>
        <v>6.5338124795818358</v>
      </c>
      <c r="E7" s="3">
        <f t="shared" si="0"/>
        <v>6.4039765974021021</v>
      </c>
      <c r="F7" s="3">
        <f t="shared" si="1"/>
        <v>0.50546000000000002</v>
      </c>
      <c r="G7" s="3">
        <f t="shared" si="2"/>
        <v>0.20066122879740009</v>
      </c>
      <c r="H7" s="3">
        <f t="shared" si="3"/>
        <v>31.914369486234687</v>
      </c>
      <c r="I7" s="3">
        <v>90</v>
      </c>
      <c r="J7" s="3">
        <v>1.061E-2</v>
      </c>
      <c r="K7" s="3">
        <f t="shared" si="4"/>
        <v>1520.3993591434671</v>
      </c>
      <c r="L7" s="13"/>
    </row>
    <row r="8" spans="1:12">
      <c r="A8" s="3">
        <v>6</v>
      </c>
      <c r="B8" s="3">
        <f>300/43.53</f>
        <v>6.8917987594762229</v>
      </c>
      <c r="C8" s="3">
        <f>300/42.18</f>
        <v>7.1123755334281649</v>
      </c>
      <c r="D8" s="3">
        <f>300/42.61</f>
        <v>7.0406007979347569</v>
      </c>
      <c r="E8" s="3">
        <f t="shared" si="0"/>
        <v>7.0149250302797155</v>
      </c>
      <c r="F8" s="3">
        <f t="shared" si="1"/>
        <v>0.50546000000000002</v>
      </c>
      <c r="G8" s="3">
        <f t="shared" si="2"/>
        <v>0.20066122879740009</v>
      </c>
      <c r="H8" s="3">
        <f t="shared" si="3"/>
        <v>34.959045513283563</v>
      </c>
      <c r="I8" s="3">
        <v>90</v>
      </c>
      <c r="J8" s="3">
        <v>1.061E-2</v>
      </c>
      <c r="K8" s="3">
        <f t="shared" si="4"/>
        <v>1665.4476102869282</v>
      </c>
      <c r="L8" s="13"/>
    </row>
    <row r="9" spans="1:12">
      <c r="A9" s="3">
        <v>7</v>
      </c>
      <c r="B9" s="3">
        <f>300/38.38</f>
        <v>7.81657113079729</v>
      </c>
      <c r="C9" s="3">
        <f>300/36.44</f>
        <v>8.2327113062568618</v>
      </c>
      <c r="D9" s="3">
        <f>300/40.43</f>
        <v>7.4202325006183525</v>
      </c>
      <c r="E9" s="3">
        <f t="shared" si="0"/>
        <v>7.8231716458908354</v>
      </c>
      <c r="F9" s="3">
        <f t="shared" si="1"/>
        <v>0.50546000000000002</v>
      </c>
      <c r="G9" s="3">
        <f t="shared" si="2"/>
        <v>0.20066122879740009</v>
      </c>
      <c r="H9" s="3">
        <f t="shared" si="3"/>
        <v>38.986961720390887</v>
      </c>
      <c r="I9" s="3">
        <v>90</v>
      </c>
      <c r="J9" s="3">
        <v>1.061E-2</v>
      </c>
      <c r="K9" s="3">
        <f t="shared" si="4"/>
        <v>1857.3373865399415</v>
      </c>
      <c r="L9" s="13"/>
    </row>
    <row r="10" spans="1:12">
      <c r="A10" s="3">
        <v>9</v>
      </c>
      <c r="B10" s="3">
        <f>300/33.06</f>
        <v>9.0744101633393814</v>
      </c>
      <c r="C10" s="3">
        <f>300/30.32</f>
        <v>9.8944591029023741</v>
      </c>
      <c r="D10" s="3">
        <f>300/33.27</f>
        <v>9.0171325518485119</v>
      </c>
      <c r="E10" s="3">
        <f t="shared" si="0"/>
        <v>9.3286672726967552</v>
      </c>
      <c r="F10" s="3">
        <f t="shared" si="1"/>
        <v>0.50546000000000002</v>
      </c>
      <c r="G10" s="3">
        <f t="shared" si="2"/>
        <v>0.20066122879740009</v>
      </c>
      <c r="H10" s="3">
        <f t="shared" si="3"/>
        <v>46.489634936480684</v>
      </c>
      <c r="I10" s="3">
        <v>90</v>
      </c>
      <c r="J10" s="3">
        <v>1.061E-2</v>
      </c>
      <c r="K10" s="3">
        <f t="shared" si="4"/>
        <v>2214.7644557015578</v>
      </c>
      <c r="L10" s="13"/>
    </row>
    <row r="11" spans="1:12">
      <c r="A11" s="3">
        <v>11</v>
      </c>
      <c r="B11" s="3">
        <f>300/30.55</f>
        <v>9.8199672667757767</v>
      </c>
      <c r="C11" s="3">
        <f>300/27.87</f>
        <v>10.764262648008611</v>
      </c>
      <c r="D11" s="3">
        <f>300/31.56</f>
        <v>9.5057034220532319</v>
      </c>
      <c r="E11" s="3">
        <f t="shared" si="0"/>
        <v>10.029977778945872</v>
      </c>
      <c r="F11" s="3">
        <f t="shared" si="1"/>
        <v>0.50546000000000002</v>
      </c>
      <c r="G11" s="3">
        <f t="shared" si="2"/>
        <v>0.20066122879740009</v>
      </c>
      <c r="H11" s="3">
        <f t="shared" si="3"/>
        <v>49.984632502538666</v>
      </c>
      <c r="I11" s="3">
        <v>90</v>
      </c>
      <c r="J11" s="3">
        <v>1.061E-2</v>
      </c>
      <c r="K11" s="3">
        <f t="shared" si="4"/>
        <v>2381.2660079861639</v>
      </c>
      <c r="L11" s="13"/>
    </row>
    <row r="12" spans="1:12">
      <c r="A12" s="3">
        <v>13</v>
      </c>
      <c r="B12" s="3">
        <f>400/37.15</f>
        <v>10.767160161507404</v>
      </c>
      <c r="C12" s="3">
        <f>400/37.33</f>
        <v>10.715242432360032</v>
      </c>
      <c r="D12" s="3">
        <f>400/38</f>
        <v>10.526315789473685</v>
      </c>
      <c r="E12" s="3">
        <f t="shared" si="0"/>
        <v>10.66957279444704</v>
      </c>
      <c r="F12" s="3">
        <f t="shared" si="1"/>
        <v>0.50546000000000002</v>
      </c>
      <c r="G12" s="3">
        <f t="shared" si="2"/>
        <v>0.20066122879740009</v>
      </c>
      <c r="H12" s="3">
        <f t="shared" si="3"/>
        <v>53.17206945453173</v>
      </c>
      <c r="I12" s="3">
        <v>90</v>
      </c>
      <c r="J12" s="3">
        <v>1.061E-2</v>
      </c>
      <c r="K12" s="3">
        <f t="shared" si="4"/>
        <v>2533.1153842118388</v>
      </c>
      <c r="L12" s="13"/>
    </row>
    <row r="13" spans="1:12">
      <c r="A13" s="3">
        <v>15</v>
      </c>
      <c r="B13" s="3">
        <f>400/35.21</f>
        <v>11.360408974723089</v>
      </c>
      <c r="C13" s="3">
        <f>400/34.1</f>
        <v>11.730205278592376</v>
      </c>
      <c r="D13" s="3">
        <f>400/35.68</f>
        <v>11.210762331838565</v>
      </c>
      <c r="E13" s="3">
        <f t="shared" si="0"/>
        <v>11.433792195051344</v>
      </c>
      <c r="F13" s="3">
        <f t="shared" si="1"/>
        <v>0.50546000000000002</v>
      </c>
      <c r="G13" s="3">
        <f t="shared" si="2"/>
        <v>0.20066122879740009</v>
      </c>
      <c r="H13" s="3">
        <f t="shared" si="3"/>
        <v>56.980574989878107</v>
      </c>
      <c r="I13" s="3">
        <v>90</v>
      </c>
      <c r="J13" s="3">
        <v>1.061E-2</v>
      </c>
      <c r="K13" s="3">
        <f t="shared" si="4"/>
        <v>2714.5524443340046</v>
      </c>
      <c r="L13" s="13"/>
    </row>
    <row r="14" spans="1:12">
      <c r="A14" s="3">
        <v>17</v>
      </c>
      <c r="B14" s="3">
        <f>500/40.75</f>
        <v>12.269938650306749</v>
      </c>
      <c r="C14" s="3">
        <f>500/39.91</f>
        <v>12.528188423953898</v>
      </c>
      <c r="D14" s="3">
        <f>500/41.8</f>
        <v>11.961722488038278</v>
      </c>
      <c r="E14" s="3">
        <f t="shared" si="0"/>
        <v>12.253283187432976</v>
      </c>
      <c r="F14" s="3">
        <f t="shared" si="1"/>
        <v>0.50546000000000002</v>
      </c>
      <c r="G14" s="3">
        <f t="shared" si="2"/>
        <v>0.20066122879740009</v>
      </c>
      <c r="H14" s="3">
        <f t="shared" si="3"/>
        <v>61.064527815707955</v>
      </c>
      <c r="I14" s="3">
        <v>90</v>
      </c>
      <c r="J14" s="3">
        <v>1.061E-2</v>
      </c>
      <c r="K14" s="3">
        <f t="shared" si="4"/>
        <v>2909.1118029903623</v>
      </c>
      <c r="L14" s="13"/>
    </row>
    <row r="15" spans="1:12">
      <c r="A15" s="3">
        <v>19</v>
      </c>
      <c r="B15" s="3">
        <f>500/39.76</f>
        <v>12.575452716297788</v>
      </c>
      <c r="C15" s="3">
        <f>500/39.22</f>
        <v>12.748597654258033</v>
      </c>
      <c r="D15" s="3">
        <f>500/38.04</f>
        <v>13.144058885383807</v>
      </c>
      <c r="E15" s="3">
        <f t="shared" si="0"/>
        <v>12.822703085313208</v>
      </c>
      <c r="F15" s="3">
        <f t="shared" si="1"/>
        <v>0.50546000000000002</v>
      </c>
      <c r="G15" s="3">
        <f t="shared" si="2"/>
        <v>0.20066122879740009</v>
      </c>
      <c r="H15" s="3">
        <f t="shared" si="3"/>
        <v>63.902245402173818</v>
      </c>
      <c r="I15" s="3">
        <v>90</v>
      </c>
      <c r="J15" s="3">
        <v>1.061E-2</v>
      </c>
      <c r="K15" s="3">
        <f t="shared" si="4"/>
        <v>3044.3005618268407</v>
      </c>
      <c r="L15" s="13"/>
    </row>
    <row r="16" spans="1:12">
      <c r="A16" s="3">
        <v>21</v>
      </c>
      <c r="B16" s="3">
        <f>500/37.21</f>
        <v>13.437248051599033</v>
      </c>
      <c r="C16" s="3">
        <f>1000/73.15</f>
        <v>13.670539986329459</v>
      </c>
      <c r="D16" s="3">
        <f>500/35.26</f>
        <v>14.180374361883155</v>
      </c>
      <c r="E16" s="3">
        <f t="shared" si="0"/>
        <v>13.762720799937215</v>
      </c>
      <c r="F16" s="3">
        <f t="shared" si="1"/>
        <v>0.50546000000000002</v>
      </c>
      <c r="G16" s="3">
        <f t="shared" si="2"/>
        <v>0.20066122879740009</v>
      </c>
      <c r="H16" s="3">
        <f t="shared" si="3"/>
        <v>68.586846011158954</v>
      </c>
      <c r="I16" s="3">
        <v>90</v>
      </c>
      <c r="J16" s="3">
        <v>1.061E-2</v>
      </c>
      <c r="K16" s="3">
        <f t="shared" si="4"/>
        <v>3267.4747582281252</v>
      </c>
      <c r="L16" s="13"/>
    </row>
    <row r="17" spans="1:11">
      <c r="A17" s="3">
        <v>23</v>
      </c>
      <c r="B17" s="3">
        <f>1000/71.42</f>
        <v>14.001680201624195</v>
      </c>
      <c r="C17" s="3">
        <f>1000/69.91</f>
        <v>14.304105278214848</v>
      </c>
      <c r="D17" s="3">
        <f>1000/69.29</f>
        <v>14.432096983691729</v>
      </c>
      <c r="E17" s="3">
        <f t="shared" si="0"/>
        <v>14.245960821176924</v>
      </c>
      <c r="F17" s="3">
        <f t="shared" si="1"/>
        <v>0.50546000000000002</v>
      </c>
      <c r="G17" s="3">
        <f t="shared" si="2"/>
        <v>0.20066122879740009</v>
      </c>
      <c r="H17" s="3">
        <f t="shared" si="3"/>
        <v>70.995084135363896</v>
      </c>
      <c r="I17" s="3">
        <v>90</v>
      </c>
      <c r="J17" s="3">
        <v>1.061E-2</v>
      </c>
      <c r="K17" s="3">
        <f t="shared" si="4"/>
        <v>3382.2031316739899</v>
      </c>
    </row>
    <row r="18" spans="1:11">
      <c r="A18" s="3">
        <v>25</v>
      </c>
      <c r="B18" s="3">
        <f>1000/64.15</f>
        <v>15.588464536243178</v>
      </c>
      <c r="C18" s="3">
        <f>1000/68.88</f>
        <v>14.518002322880372</v>
      </c>
      <c r="D18" s="3">
        <f>1000/70.01</f>
        <v>14.2836737608913</v>
      </c>
      <c r="E18" s="3">
        <f t="shared" si="0"/>
        <v>14.79671354000495</v>
      </c>
      <c r="F18" s="3">
        <f t="shared" si="1"/>
        <v>0.50546000000000002</v>
      </c>
      <c r="G18" s="3">
        <f t="shared" si="2"/>
        <v>0.20066122879740009</v>
      </c>
      <c r="H18" s="3">
        <f t="shared" si="3"/>
        <v>73.73977339162326</v>
      </c>
      <c r="I18" s="3">
        <v>90</v>
      </c>
      <c r="J18" s="3">
        <v>1.061E-2</v>
      </c>
      <c r="K18" s="3">
        <f t="shared" si="4"/>
        <v>3512.9600243666255</v>
      </c>
    </row>
    <row r="19" spans="1:11">
      <c r="A19" s="13"/>
      <c r="B19" s="13"/>
      <c r="C19" s="13"/>
      <c r="D19" s="13"/>
      <c r="E19" s="13"/>
      <c r="F19" s="3"/>
      <c r="G19" s="13"/>
      <c r="H19" s="13"/>
      <c r="I19" s="13"/>
      <c r="J19" s="13"/>
      <c r="K19" s="13"/>
    </row>
  </sheetData>
  <pageMargins left="0.75" right="0.75" top="1" bottom="1" header="0" footer="0"/>
  <pageSetup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20"/>
  <sheetViews>
    <sheetView workbookViewId="0"/>
  </sheetViews>
  <sheetFormatPr defaultColWidth="11.33203125" defaultRowHeight="15" customHeight="1"/>
  <cols>
    <col min="1" max="1" width="6.6640625" customWidth="1"/>
    <col min="2" max="6" width="9.6640625" customWidth="1"/>
    <col min="7" max="7" width="17.33203125" customWidth="1"/>
    <col min="8" max="8" width="9.44140625" customWidth="1"/>
    <col min="9" max="9" width="6.6640625" customWidth="1"/>
    <col min="10" max="10" width="7.33203125" customWidth="1"/>
    <col min="11" max="11" width="9.6640625" customWidth="1"/>
    <col min="12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44</v>
      </c>
    </row>
    <row r="2" spans="1:12">
      <c r="A2" s="3">
        <v>0</v>
      </c>
      <c r="B2" s="3"/>
      <c r="C2" s="3"/>
      <c r="D2" s="3"/>
      <c r="E2" s="3">
        <f t="shared" ref="E2:E20" si="0">(B2+C2+D2)/3</f>
        <v>0</v>
      </c>
      <c r="F2" s="3">
        <v>0.63754</v>
      </c>
      <c r="G2" s="3">
        <f t="shared" ref="G2:G20" si="1">(F2^2)/4*PI()</f>
        <v>0.31923077890621454</v>
      </c>
      <c r="H2" s="3">
        <f t="shared" ref="H2:H20" si="2">E2/G2</f>
        <v>0</v>
      </c>
      <c r="I2" s="3">
        <v>82.2</v>
      </c>
      <c r="J2" s="3">
        <v>1.0236500000000001E-2</v>
      </c>
      <c r="K2" s="3">
        <f t="shared" ref="K2:K20" si="3">H2*F2/J2</f>
        <v>0</v>
      </c>
      <c r="L2" s="13"/>
    </row>
    <row r="3" spans="1:12">
      <c r="A3" s="3">
        <v>1</v>
      </c>
      <c r="B3" s="3">
        <f>250/77.02</f>
        <v>3.2459101532069594</v>
      </c>
      <c r="C3" s="3">
        <f>250/74.64</f>
        <v>3.3494105037513395</v>
      </c>
      <c r="D3" s="3">
        <f>250/73.55</f>
        <v>3.3990482664853841</v>
      </c>
      <c r="E3" s="3">
        <f t="shared" si="0"/>
        <v>3.3314563078145607</v>
      </c>
      <c r="F3" s="3">
        <v>0.63754</v>
      </c>
      <c r="G3" s="3">
        <f t="shared" si="1"/>
        <v>0.31923077890621454</v>
      </c>
      <c r="H3" s="3">
        <f t="shared" si="2"/>
        <v>10.435886913001253</v>
      </c>
      <c r="I3" s="3">
        <v>82.2</v>
      </c>
      <c r="J3" s="3">
        <v>1.0236500000000001E-2</v>
      </c>
      <c r="K3" s="3">
        <f t="shared" si="3"/>
        <v>649.9580269149435</v>
      </c>
      <c r="L3" s="13"/>
    </row>
    <row r="4" spans="1:12">
      <c r="A4" s="3">
        <v>2</v>
      </c>
      <c r="B4" s="3">
        <f>250/41.68</f>
        <v>5.9980806142034551</v>
      </c>
      <c r="C4" s="3">
        <f>250/41.55</f>
        <v>6.01684717208183</v>
      </c>
      <c r="D4" s="3">
        <f>250/37.69</f>
        <v>6.6330591668877688</v>
      </c>
      <c r="E4" s="3">
        <f t="shared" si="0"/>
        <v>6.2159956510576846</v>
      </c>
      <c r="F4" s="3">
        <v>0.63754</v>
      </c>
      <c r="G4" s="3">
        <f t="shared" si="1"/>
        <v>0.31923077890621454</v>
      </c>
      <c r="H4" s="3">
        <f t="shared" si="2"/>
        <v>19.471793015559616</v>
      </c>
      <c r="I4" s="3">
        <v>82.2</v>
      </c>
      <c r="J4" s="3">
        <v>1.0236500000000001E-2</v>
      </c>
      <c r="K4" s="3">
        <f t="shared" si="3"/>
        <v>1212.7237746436649</v>
      </c>
      <c r="L4" s="13"/>
    </row>
    <row r="5" spans="1:12">
      <c r="A5" s="3">
        <v>3</v>
      </c>
      <c r="B5" s="3">
        <f>250/29.04</f>
        <v>8.6088154269972446</v>
      </c>
      <c r="C5" s="3">
        <f>250/29</f>
        <v>8.6206896551724146</v>
      </c>
      <c r="D5" s="3">
        <f>250/29.94</f>
        <v>8.3500334001336007</v>
      </c>
      <c r="E5" s="3">
        <f t="shared" si="0"/>
        <v>8.52651282743442</v>
      </c>
      <c r="F5" s="3">
        <v>0.63754</v>
      </c>
      <c r="G5" s="3">
        <f t="shared" si="1"/>
        <v>0.31923077890621454</v>
      </c>
      <c r="H5" s="3">
        <f t="shared" si="2"/>
        <v>26.709557445083917</v>
      </c>
      <c r="I5" s="3">
        <v>82.2</v>
      </c>
      <c r="J5" s="3">
        <v>1.0236500000000001E-2</v>
      </c>
      <c r="K5" s="3">
        <f t="shared" si="3"/>
        <v>1663.4993653630438</v>
      </c>
      <c r="L5" s="13"/>
    </row>
    <row r="6" spans="1:12">
      <c r="A6" s="3">
        <v>4</v>
      </c>
      <c r="B6" s="3">
        <f>500/47.94</f>
        <v>10.429703796412182</v>
      </c>
      <c r="C6" s="3">
        <f>500/46.75</f>
        <v>10.695187165775401</v>
      </c>
      <c r="D6" s="3">
        <f>500/51.95</f>
        <v>9.624639076034649</v>
      </c>
      <c r="E6" s="3">
        <f t="shared" si="0"/>
        <v>10.249843346074078</v>
      </c>
      <c r="F6" s="3">
        <v>0.63754</v>
      </c>
      <c r="G6" s="3">
        <f t="shared" si="1"/>
        <v>0.31923077890621454</v>
      </c>
      <c r="H6" s="3">
        <f t="shared" si="2"/>
        <v>32.107942038650776</v>
      </c>
      <c r="I6" s="3">
        <v>82.2</v>
      </c>
      <c r="J6" s="3">
        <v>1.0236500000000001E-2</v>
      </c>
      <c r="K6" s="3">
        <f t="shared" si="3"/>
        <v>1999.716442858537</v>
      </c>
      <c r="L6" s="13"/>
    </row>
    <row r="7" spans="1:12">
      <c r="A7" s="3">
        <v>5</v>
      </c>
      <c r="B7" s="3">
        <f>500/39.72</f>
        <v>12.588116817724069</v>
      </c>
      <c r="C7" s="3">
        <f>500/42.86</f>
        <v>11.665888940737284</v>
      </c>
      <c r="D7" s="3">
        <f>500/43.26</f>
        <v>11.558021266759132</v>
      </c>
      <c r="E7" s="3">
        <f t="shared" si="0"/>
        <v>11.937342341740163</v>
      </c>
      <c r="F7" s="3">
        <v>0.63754</v>
      </c>
      <c r="G7" s="3">
        <f t="shared" si="1"/>
        <v>0.31923077890621454</v>
      </c>
      <c r="H7" s="3">
        <f t="shared" si="2"/>
        <v>37.394083310642124</v>
      </c>
      <c r="I7" s="3">
        <v>82.2</v>
      </c>
      <c r="J7" s="3">
        <v>1.0236500000000001E-2</v>
      </c>
      <c r="K7" s="3">
        <f t="shared" si="3"/>
        <v>2328.942888083503</v>
      </c>
      <c r="L7" s="13"/>
    </row>
    <row r="8" spans="1:12">
      <c r="A8" s="3">
        <v>6</v>
      </c>
      <c r="B8" s="3">
        <f>500/38.34</f>
        <v>13.041210224308815</v>
      </c>
      <c r="C8" s="3">
        <f>500/38</f>
        <v>13.157894736842104</v>
      </c>
      <c r="D8" s="3">
        <f>500/40.76</f>
        <v>12.266928361138371</v>
      </c>
      <c r="E8" s="3">
        <f t="shared" si="0"/>
        <v>12.822011107429764</v>
      </c>
      <c r="F8" s="3">
        <v>0.63754</v>
      </c>
      <c r="G8" s="3">
        <f t="shared" si="1"/>
        <v>0.31923077890621454</v>
      </c>
      <c r="H8" s="3">
        <f t="shared" si="2"/>
        <v>40.165334781821549</v>
      </c>
      <c r="I8" s="3">
        <v>82.2</v>
      </c>
      <c r="J8" s="3">
        <v>1.0236500000000001E-2</v>
      </c>
      <c r="K8" s="3">
        <f t="shared" si="3"/>
        <v>2501.5393480977391</v>
      </c>
      <c r="L8" s="13"/>
    </row>
    <row r="9" spans="1:12">
      <c r="A9" s="3">
        <v>7</v>
      </c>
      <c r="B9" s="3">
        <f>500/35.95</f>
        <v>13.908205841446453</v>
      </c>
      <c r="C9" s="3">
        <f>500/36.11</f>
        <v>13.846579894765993</v>
      </c>
      <c r="D9" s="3">
        <f>500/36.25</f>
        <v>13.793103448275861</v>
      </c>
      <c r="E9" s="3">
        <f t="shared" si="0"/>
        <v>13.849296394829437</v>
      </c>
      <c r="F9" s="3">
        <v>0.63754</v>
      </c>
      <c r="G9" s="3">
        <f t="shared" si="1"/>
        <v>0.31923077890621454</v>
      </c>
      <c r="H9" s="3">
        <f t="shared" si="2"/>
        <v>43.383336789395749</v>
      </c>
      <c r="I9" s="3">
        <v>82.2</v>
      </c>
      <c r="J9" s="3">
        <v>1.0236500000000001E-2</v>
      </c>
      <c r="K9" s="3">
        <f t="shared" si="3"/>
        <v>2701.9599019890943</v>
      </c>
      <c r="L9" s="13"/>
    </row>
    <row r="10" spans="1:12">
      <c r="A10" s="3">
        <v>8</v>
      </c>
      <c r="B10" s="3">
        <f>800/54.01</f>
        <v>14.812071838548418</v>
      </c>
      <c r="C10" s="3">
        <f>800/54.76</f>
        <v>14.609203798392988</v>
      </c>
      <c r="D10" s="3">
        <f>800/55.35</f>
        <v>14.453477868112014</v>
      </c>
      <c r="E10" s="3">
        <f t="shared" si="0"/>
        <v>14.624917835017806</v>
      </c>
      <c r="F10" s="3">
        <v>0.63754</v>
      </c>
      <c r="G10" s="3">
        <f t="shared" si="1"/>
        <v>0.31923077890621454</v>
      </c>
      <c r="H10" s="3">
        <f t="shared" si="2"/>
        <v>45.81299423923781</v>
      </c>
      <c r="I10" s="3">
        <v>82.2</v>
      </c>
      <c r="J10" s="3">
        <v>1.0236500000000001E-2</v>
      </c>
      <c r="K10" s="3">
        <f t="shared" si="3"/>
        <v>2853.2815266237162</v>
      </c>
      <c r="L10" s="13"/>
    </row>
    <row r="11" spans="1:12">
      <c r="A11" s="3">
        <v>9</v>
      </c>
      <c r="B11" s="3">
        <f>800/51.58</f>
        <v>15.50988755331524</v>
      </c>
      <c r="C11" s="3">
        <f>800/51.32</f>
        <v>15.58846453624318</v>
      </c>
      <c r="D11" s="3">
        <f>800/52.44</f>
        <v>15.255530129672007</v>
      </c>
      <c r="E11" s="3">
        <f t="shared" si="0"/>
        <v>15.451294073076809</v>
      </c>
      <c r="F11" s="3">
        <v>0.63754</v>
      </c>
      <c r="G11" s="3">
        <f t="shared" si="1"/>
        <v>0.31923077890621454</v>
      </c>
      <c r="H11" s="3">
        <f t="shared" si="2"/>
        <v>48.401642617349815</v>
      </c>
      <c r="I11" s="3">
        <v>82.2</v>
      </c>
      <c r="J11" s="3">
        <v>1.0236500000000001E-2</v>
      </c>
      <c r="K11" s="3">
        <f t="shared" si="3"/>
        <v>3014.5052737034339</v>
      </c>
      <c r="L11" s="13"/>
    </row>
    <row r="12" spans="1:12">
      <c r="A12" s="3">
        <v>10</v>
      </c>
      <c r="B12" s="3">
        <f>800/48.69</f>
        <v>16.43047853768741</v>
      </c>
      <c r="C12" s="3">
        <f>800/49.25</f>
        <v>16.243654822335024</v>
      </c>
      <c r="D12" s="3">
        <f>800/48.17</f>
        <v>16.607847207805687</v>
      </c>
      <c r="E12" s="3">
        <f t="shared" si="0"/>
        <v>16.427326855942709</v>
      </c>
      <c r="F12" s="3">
        <v>0.63754</v>
      </c>
      <c r="G12" s="3">
        <f t="shared" si="1"/>
        <v>0.31923077890621454</v>
      </c>
      <c r="H12" s="3">
        <f t="shared" si="2"/>
        <v>51.45909461558788</v>
      </c>
      <c r="I12" s="3">
        <v>82.2</v>
      </c>
      <c r="J12" s="3">
        <v>1.0236500000000001E-2</v>
      </c>
      <c r="K12" s="3">
        <f t="shared" si="3"/>
        <v>3204.9266039390309</v>
      </c>
      <c r="L12" s="13"/>
    </row>
    <row r="13" spans="1:12">
      <c r="A13" s="3">
        <v>11</v>
      </c>
      <c r="B13" s="3">
        <f>1000/57.21</f>
        <v>17.479461632581717</v>
      </c>
      <c r="C13" s="3">
        <f>1000/57.44</f>
        <v>17.409470752089138</v>
      </c>
      <c r="D13" s="3">
        <f>1000/57.61</f>
        <v>17.358097552508244</v>
      </c>
      <c r="E13" s="3">
        <f t="shared" si="0"/>
        <v>17.415676645726364</v>
      </c>
      <c r="F13" s="3">
        <v>0.63754</v>
      </c>
      <c r="G13" s="3">
        <f t="shared" si="1"/>
        <v>0.31923077890621454</v>
      </c>
      <c r="H13" s="3">
        <f t="shared" si="2"/>
        <v>54.555130007820587</v>
      </c>
      <c r="I13" s="3">
        <v>82.2</v>
      </c>
      <c r="J13" s="3">
        <v>1.0236500000000001E-2</v>
      </c>
      <c r="K13" s="3">
        <f t="shared" si="3"/>
        <v>3397.7509485845681</v>
      </c>
      <c r="L13" s="13"/>
    </row>
    <row r="14" spans="1:12">
      <c r="A14" s="3">
        <v>13</v>
      </c>
      <c r="B14" s="3">
        <f>1000/52</f>
        <v>19.23076923076923</v>
      </c>
      <c r="C14" s="3">
        <f>1000/51.76</f>
        <v>19.319938176197837</v>
      </c>
      <c r="D14" s="3">
        <f>1000/51.84</f>
        <v>19.290123456790123</v>
      </c>
      <c r="E14" s="3">
        <f t="shared" si="0"/>
        <v>19.28027695458573</v>
      </c>
      <c r="F14" s="3">
        <v>0.63754</v>
      </c>
      <c r="G14" s="3">
        <f t="shared" si="1"/>
        <v>0.31923077890621454</v>
      </c>
      <c r="H14" s="3">
        <f t="shared" si="2"/>
        <v>60.39604646095232</v>
      </c>
      <c r="I14" s="3">
        <v>82.2</v>
      </c>
      <c r="J14" s="3">
        <v>1.0236500000000001E-2</v>
      </c>
      <c r="K14" s="3">
        <f t="shared" si="3"/>
        <v>3761.5293763215495</v>
      </c>
      <c r="L14" s="13"/>
    </row>
    <row r="15" spans="1:12">
      <c r="A15" s="3">
        <v>15</v>
      </c>
      <c r="B15" s="3">
        <f>1000/50.39</f>
        <v>19.845207382417147</v>
      </c>
      <c r="C15" s="3">
        <f>1000/48.87</f>
        <v>20.462451401677921</v>
      </c>
      <c r="D15" s="3">
        <f>1000/48.86</f>
        <v>20.466639377814165</v>
      </c>
      <c r="E15" s="3">
        <f t="shared" si="0"/>
        <v>20.258099387303076</v>
      </c>
      <c r="F15" s="3">
        <v>0.63754</v>
      </c>
      <c r="G15" s="3">
        <f t="shared" si="1"/>
        <v>0.31923077890621454</v>
      </c>
      <c r="H15" s="3">
        <f t="shared" si="2"/>
        <v>63.459104591085243</v>
      </c>
      <c r="I15" s="3">
        <v>82.2</v>
      </c>
      <c r="J15" s="3">
        <v>1.0236500000000001E-2</v>
      </c>
      <c r="K15" s="3">
        <f t="shared" si="3"/>
        <v>3952.299862355344</v>
      </c>
      <c r="L15" s="13"/>
    </row>
    <row r="16" spans="1:12">
      <c r="A16" s="3">
        <v>17</v>
      </c>
      <c r="B16" s="3">
        <f>1000/49.15</f>
        <v>20.345879959308242</v>
      </c>
      <c r="C16" s="3">
        <f>1000/46.11</f>
        <v>21.68726957276079</v>
      </c>
      <c r="D16" s="3">
        <f>1000/45.51</f>
        <v>21.973192704900022</v>
      </c>
      <c r="E16" s="3">
        <f t="shared" si="0"/>
        <v>21.33544741232302</v>
      </c>
      <c r="F16" s="3">
        <v>0.63754</v>
      </c>
      <c r="G16" s="3">
        <f t="shared" si="1"/>
        <v>0.31923077890621454</v>
      </c>
      <c r="H16" s="3">
        <f t="shared" si="2"/>
        <v>66.833929627415628</v>
      </c>
      <c r="I16" s="3">
        <v>82.2</v>
      </c>
      <c r="J16" s="3">
        <v>1.0236500000000001E-2</v>
      </c>
      <c r="K16" s="3">
        <f t="shared" si="3"/>
        <v>4162.4875196270759</v>
      </c>
      <c r="L16" s="13"/>
    </row>
    <row r="17" spans="1:11">
      <c r="A17" s="3">
        <v>19</v>
      </c>
      <c r="B17" s="3">
        <f>1000/45.16</f>
        <v>22.143489813994687</v>
      </c>
      <c r="C17" s="3">
        <f>1000/42.79</f>
        <v>23.369946249123629</v>
      </c>
      <c r="D17" s="3">
        <f>1000/42.76</f>
        <v>23.386342376052387</v>
      </c>
      <c r="E17" s="3">
        <f t="shared" si="0"/>
        <v>22.966592813056902</v>
      </c>
      <c r="F17" s="3">
        <v>0.63754</v>
      </c>
      <c r="G17" s="3">
        <f t="shared" si="1"/>
        <v>0.31923077890621454</v>
      </c>
      <c r="H17" s="3">
        <f t="shared" si="2"/>
        <v>71.943541571234775</v>
      </c>
      <c r="I17" s="3">
        <v>82.2</v>
      </c>
      <c r="J17" s="3">
        <v>1.0236500000000001E-2</v>
      </c>
      <c r="K17" s="3">
        <f t="shared" si="3"/>
        <v>4480.7195323914439</v>
      </c>
    </row>
    <row r="18" spans="1:11">
      <c r="A18" s="3">
        <v>21</v>
      </c>
      <c r="B18" s="3">
        <f>1000/42.89</f>
        <v>23.315458148752622</v>
      </c>
      <c r="C18" s="3">
        <f>1000/40.33</f>
        <v>24.795437639474336</v>
      </c>
      <c r="D18" s="3">
        <f>1000/40.73</f>
        <v>24.551927326295115</v>
      </c>
      <c r="E18" s="3">
        <f t="shared" si="0"/>
        <v>24.220941038174022</v>
      </c>
      <c r="F18" s="3">
        <v>0.63754</v>
      </c>
      <c r="G18" s="3">
        <f t="shared" si="1"/>
        <v>0.31923077890621454</v>
      </c>
      <c r="H18" s="3">
        <f t="shared" si="2"/>
        <v>75.872825048896019</v>
      </c>
      <c r="I18" s="3">
        <v>82.2</v>
      </c>
      <c r="J18" s="3">
        <v>1.0236500000000001E-2</v>
      </c>
      <c r="K18" s="3">
        <f t="shared" si="3"/>
        <v>4725.4394452862953</v>
      </c>
    </row>
    <row r="19" spans="1:11">
      <c r="A19" s="3">
        <v>23</v>
      </c>
      <c r="B19" s="3">
        <f>1500/60.76</f>
        <v>24.687294272547728</v>
      </c>
      <c r="C19" s="3">
        <f>1500/57.64</f>
        <v>26.023594725884802</v>
      </c>
      <c r="D19" s="3">
        <f>1500/58.87</f>
        <v>25.479870901987432</v>
      </c>
      <c r="E19" s="3">
        <f t="shared" si="0"/>
        <v>25.396919966806653</v>
      </c>
      <c r="F19" s="3">
        <v>0.63754</v>
      </c>
      <c r="G19" s="3">
        <f t="shared" si="1"/>
        <v>0.31923077890621454</v>
      </c>
      <c r="H19" s="3">
        <f t="shared" si="2"/>
        <v>79.556614352239222</v>
      </c>
      <c r="I19" s="3">
        <v>82.2</v>
      </c>
      <c r="J19" s="3">
        <v>1.0236500000000001E-2</v>
      </c>
      <c r="K19" s="3">
        <f t="shared" si="3"/>
        <v>4954.869722476099</v>
      </c>
    </row>
    <row r="20" spans="1:11">
      <c r="A20" s="3">
        <v>25</v>
      </c>
      <c r="B20" s="3">
        <f>1500/57.08</f>
        <v>26.278906797477227</v>
      </c>
      <c r="C20" s="3">
        <f>1500/55.01</f>
        <v>27.267769496455191</v>
      </c>
      <c r="D20" s="3">
        <f>1500/56.18</f>
        <v>26.699893200427198</v>
      </c>
      <c r="E20" s="3">
        <f t="shared" si="0"/>
        <v>26.748856498119874</v>
      </c>
      <c r="F20" s="3">
        <v>0.63754</v>
      </c>
      <c r="G20" s="3">
        <f t="shared" si="1"/>
        <v>0.31923077890621454</v>
      </c>
      <c r="H20" s="3">
        <f t="shared" si="2"/>
        <v>83.791596129201281</v>
      </c>
      <c r="I20" s="3">
        <v>82.2</v>
      </c>
      <c r="J20" s="3">
        <v>1.0236500000000001E-2</v>
      </c>
      <c r="K20" s="3">
        <f t="shared" si="3"/>
        <v>5218.628847380548</v>
      </c>
    </row>
  </sheetData>
  <pageMargins left="0.75" right="0.75" top="1" bottom="1" header="0" footer="0"/>
  <pageSetup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18"/>
  <sheetViews>
    <sheetView workbookViewId="0"/>
  </sheetViews>
  <sheetFormatPr defaultColWidth="11.33203125" defaultRowHeight="15" customHeight="1"/>
  <cols>
    <col min="1" max="1" width="7" customWidth="1"/>
    <col min="2" max="5" width="9.6640625" customWidth="1"/>
    <col min="6" max="6" width="10.33203125" customWidth="1"/>
    <col min="7" max="8" width="9.6640625" customWidth="1"/>
    <col min="9" max="9" width="7" customWidth="1"/>
    <col min="10" max="10" width="7.33203125" customWidth="1"/>
    <col min="11" max="11" width="9.6640625" customWidth="1"/>
    <col min="12" max="26" width="7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45</v>
      </c>
    </row>
    <row r="2" spans="1:12">
      <c r="A2" s="3">
        <v>0</v>
      </c>
      <c r="B2" s="3"/>
      <c r="C2" s="3"/>
      <c r="D2" s="3"/>
      <c r="E2" s="3">
        <f t="shared" ref="E2:E18" si="0">(B2+C2+D2)/3</f>
        <v>0</v>
      </c>
      <c r="F2" s="3">
        <v>0.77500000000000002</v>
      </c>
      <c r="G2" s="3">
        <f t="shared" ref="G2:G18" si="1">(F2^2)/4*PI()</f>
        <v>0.47172977189059245</v>
      </c>
      <c r="H2" s="3">
        <f t="shared" ref="H2:H18" si="2">E2/G2</f>
        <v>0</v>
      </c>
      <c r="I2" s="3">
        <v>90</v>
      </c>
      <c r="J2" s="3">
        <v>1.0703000000000001E-2</v>
      </c>
      <c r="K2" s="3">
        <f t="shared" ref="K2:K18" si="3">H2*F2/J2</f>
        <v>0</v>
      </c>
      <c r="L2" s="13"/>
    </row>
    <row r="3" spans="1:12">
      <c r="A3" s="3">
        <v>1</v>
      </c>
      <c r="B3" s="3">
        <f>500/79.1</f>
        <v>6.3211125158027821</v>
      </c>
      <c r="C3" s="3">
        <f>500/77.7</f>
        <v>6.4350064350064349</v>
      </c>
      <c r="D3" s="3">
        <f>500/81.92</f>
        <v>6.103515625</v>
      </c>
      <c r="E3" s="3">
        <f t="shared" si="0"/>
        <v>6.2865448586030723</v>
      </c>
      <c r="F3" s="3">
        <v>0.77500000000000002</v>
      </c>
      <c r="G3" s="3">
        <f t="shared" si="1"/>
        <v>0.47172977189059245</v>
      </c>
      <c r="H3" s="3">
        <f t="shared" si="2"/>
        <v>13.326580668012408</v>
      </c>
      <c r="I3" s="3">
        <v>90</v>
      </c>
      <c r="J3" s="3">
        <v>1.0703000000000001E-2</v>
      </c>
      <c r="K3" s="3">
        <f t="shared" si="3"/>
        <v>964.97243928894841</v>
      </c>
      <c r="L3" s="13"/>
    </row>
    <row r="4" spans="1:12">
      <c r="A4" s="3">
        <v>1.7</v>
      </c>
      <c r="B4" s="3">
        <f>500/46.29</f>
        <v>10.801468999783971</v>
      </c>
      <c r="C4" s="3">
        <f>500/48.06</f>
        <v>10.403662089055347</v>
      </c>
      <c r="D4" s="3">
        <f>500/48.5</f>
        <v>10.309278350515465</v>
      </c>
      <c r="E4" s="3">
        <f t="shared" si="0"/>
        <v>10.504803146451593</v>
      </c>
      <c r="F4" s="3">
        <v>0.77500000000000002</v>
      </c>
      <c r="G4" s="3">
        <f t="shared" si="1"/>
        <v>0.47172977189059245</v>
      </c>
      <c r="H4" s="3">
        <f t="shared" si="2"/>
        <v>22.268688076121588</v>
      </c>
      <c r="I4" s="3">
        <v>90</v>
      </c>
      <c r="J4" s="3">
        <v>1.0703000000000001E-2</v>
      </c>
      <c r="K4" s="3">
        <f t="shared" si="3"/>
        <v>1612.4669026435793</v>
      </c>
      <c r="L4" s="13"/>
    </row>
    <row r="5" spans="1:12">
      <c r="A5" s="3">
        <v>3</v>
      </c>
      <c r="B5" s="5">
        <v>15.32501733</v>
      </c>
      <c r="C5" s="5">
        <v>16.37733377</v>
      </c>
      <c r="D5" s="5">
        <v>14.11631846</v>
      </c>
      <c r="E5" s="3">
        <f t="shared" si="0"/>
        <v>15.272889853333334</v>
      </c>
      <c r="F5" s="3">
        <v>0.77500000000000002</v>
      </c>
      <c r="G5" s="3">
        <f t="shared" si="1"/>
        <v>0.47172977189059245</v>
      </c>
      <c r="H5" s="3">
        <f t="shared" si="2"/>
        <v>32.376353504513496</v>
      </c>
      <c r="I5" s="3">
        <v>90</v>
      </c>
      <c r="J5" s="3">
        <v>1.0703000000000001E-2</v>
      </c>
      <c r="K5" s="3">
        <f t="shared" si="3"/>
        <v>2344.3589615993606</v>
      </c>
      <c r="L5" s="13"/>
    </row>
    <row r="6" spans="1:12">
      <c r="A6" s="3">
        <v>4</v>
      </c>
      <c r="B6" s="3">
        <f>500/27.91</f>
        <v>17.914725904693658</v>
      </c>
      <c r="C6" s="3">
        <f>500/28.3</f>
        <v>17.667844522968199</v>
      </c>
      <c r="D6" s="3">
        <f>500/28.73</f>
        <v>17.40341106856944</v>
      </c>
      <c r="E6" s="3">
        <f t="shared" si="0"/>
        <v>17.661993832077098</v>
      </c>
      <c r="F6" s="3">
        <v>0.77500000000000002</v>
      </c>
      <c r="G6" s="3">
        <f t="shared" si="1"/>
        <v>0.47172977189059245</v>
      </c>
      <c r="H6" s="3">
        <f t="shared" si="2"/>
        <v>37.440914024339797</v>
      </c>
      <c r="I6" s="3">
        <v>90</v>
      </c>
      <c r="J6" s="3">
        <v>1.0703000000000001E-2</v>
      </c>
      <c r="K6" s="3">
        <f t="shared" si="3"/>
        <v>2711.0817872431417</v>
      </c>
      <c r="L6" s="13"/>
    </row>
    <row r="7" spans="1:12">
      <c r="A7" s="3">
        <v>5</v>
      </c>
      <c r="B7" s="3">
        <f>500/25.78</f>
        <v>19.394879751745538</v>
      </c>
      <c r="C7" s="3">
        <f>500/25.77</f>
        <v>19.402405898331395</v>
      </c>
      <c r="D7" s="3">
        <f>500/25.52</f>
        <v>19.592476489028215</v>
      </c>
      <c r="E7" s="3">
        <f t="shared" si="0"/>
        <v>19.46325404636838</v>
      </c>
      <c r="F7" s="3">
        <v>0.77500000000000002</v>
      </c>
      <c r="G7" s="3">
        <f t="shared" si="1"/>
        <v>0.47172977189059245</v>
      </c>
      <c r="H7" s="3">
        <f t="shared" si="2"/>
        <v>41.259329400312815</v>
      </c>
      <c r="I7" s="3">
        <v>90</v>
      </c>
      <c r="J7" s="3">
        <v>1.0952E-2</v>
      </c>
      <c r="K7" s="3">
        <f t="shared" si="3"/>
        <v>2919.6475790031441</v>
      </c>
      <c r="L7" s="13"/>
    </row>
    <row r="8" spans="1:12">
      <c r="A8" s="3">
        <v>6</v>
      </c>
      <c r="B8" s="3">
        <f>1000/46.73</f>
        <v>21.399529210357375</v>
      </c>
      <c r="C8" s="3">
        <f>500/23.7</f>
        <v>21.09704641350211</v>
      </c>
      <c r="D8" s="3">
        <f>500/24.66</f>
        <v>20.275750202757504</v>
      </c>
      <c r="E8" s="3">
        <f t="shared" si="0"/>
        <v>20.924108608872331</v>
      </c>
      <c r="F8" s="3">
        <v>0.77500000000000002</v>
      </c>
      <c r="G8" s="3">
        <f t="shared" si="1"/>
        <v>0.47172977189059245</v>
      </c>
      <c r="H8" s="3">
        <f t="shared" si="2"/>
        <v>44.356133226471925</v>
      </c>
      <c r="I8" s="3">
        <v>90</v>
      </c>
      <c r="J8" s="3">
        <v>1.0952E-2</v>
      </c>
      <c r="K8" s="3">
        <f t="shared" si="3"/>
        <v>3138.787732881277</v>
      </c>
      <c r="L8" s="13"/>
    </row>
    <row r="9" spans="1:12">
      <c r="A9" s="3">
        <v>7</v>
      </c>
      <c r="B9" s="3">
        <f>500/22.85</f>
        <v>21.881838074398249</v>
      </c>
      <c r="C9" s="3">
        <f>500/21.56</f>
        <v>23.19109461966605</v>
      </c>
      <c r="D9" s="3">
        <f>500/23.51</f>
        <v>21.267545725223307</v>
      </c>
      <c r="E9" s="3">
        <f t="shared" si="0"/>
        <v>22.113492806429203</v>
      </c>
      <c r="F9" s="3">
        <v>0.77500000000000002</v>
      </c>
      <c r="G9" s="3">
        <f t="shared" si="1"/>
        <v>0.47172977189059245</v>
      </c>
      <c r="H9" s="3">
        <f t="shared" si="2"/>
        <v>46.877458502996397</v>
      </c>
      <c r="I9" s="3">
        <v>90</v>
      </c>
      <c r="J9" s="3">
        <v>1.0952E-2</v>
      </c>
      <c r="K9" s="3">
        <f t="shared" si="3"/>
        <v>3317.2051077266442</v>
      </c>
      <c r="L9" s="13"/>
    </row>
    <row r="10" spans="1:12">
      <c r="A10" s="3">
        <v>9</v>
      </c>
      <c r="B10" s="3">
        <f>1000/39.15</f>
        <v>25.542784163473819</v>
      </c>
      <c r="C10" s="3">
        <f>1000/38.33</f>
        <v>26.089225150013046</v>
      </c>
      <c r="D10" s="3">
        <f>1000/37.46</f>
        <v>26.695141484249866</v>
      </c>
      <c r="E10" s="3">
        <f t="shared" si="0"/>
        <v>26.109050265912241</v>
      </c>
      <c r="F10" s="3">
        <v>0.77500000000000002</v>
      </c>
      <c r="G10" s="3">
        <f t="shared" si="1"/>
        <v>0.47172977189059245</v>
      </c>
      <c r="H10" s="3">
        <f t="shared" si="2"/>
        <v>55.347471840229055</v>
      </c>
      <c r="I10" s="3">
        <v>90</v>
      </c>
      <c r="J10" s="3">
        <v>1.0952E-2</v>
      </c>
      <c r="K10" s="3">
        <f t="shared" si="3"/>
        <v>3916.5714642236594</v>
      </c>
      <c r="L10" s="13"/>
    </row>
    <row r="11" spans="1:12">
      <c r="A11" s="3">
        <v>11</v>
      </c>
      <c r="B11" s="3">
        <f>1000/35.4</f>
        <v>28.248587570621471</v>
      </c>
      <c r="C11" s="3">
        <f>1000/34.63</f>
        <v>28.876696505919721</v>
      </c>
      <c r="D11" s="3">
        <f>1000/34.83</f>
        <v>28.710881424059721</v>
      </c>
      <c r="E11" s="3">
        <f t="shared" si="0"/>
        <v>28.61205516686697</v>
      </c>
      <c r="F11" s="3">
        <v>0.77500000000000002</v>
      </c>
      <c r="G11" s="3">
        <f t="shared" si="1"/>
        <v>0.47172977189059245</v>
      </c>
      <c r="H11" s="3">
        <f t="shared" si="2"/>
        <v>60.653486109634223</v>
      </c>
      <c r="I11" s="3">
        <v>90</v>
      </c>
      <c r="J11" s="3">
        <v>1.0952E-2</v>
      </c>
      <c r="K11" s="3">
        <f t="shared" si="3"/>
        <v>4292.04270772156</v>
      </c>
      <c r="L11" s="13"/>
    </row>
    <row r="12" spans="1:12">
      <c r="A12" s="3">
        <v>13</v>
      </c>
      <c r="B12" s="3">
        <f>1000/32.13</f>
        <v>31.12356053532524</v>
      </c>
      <c r="C12" s="3">
        <f>1000/31.56</f>
        <v>31.685678073510775</v>
      </c>
      <c r="D12" s="3">
        <f>1000/31.16</f>
        <v>32.092426187419768</v>
      </c>
      <c r="E12" s="3">
        <f t="shared" si="0"/>
        <v>31.633888265418591</v>
      </c>
      <c r="F12" s="3">
        <v>0.77500000000000002</v>
      </c>
      <c r="G12" s="3">
        <f t="shared" si="1"/>
        <v>0.47172977189059245</v>
      </c>
      <c r="H12" s="3">
        <f t="shared" si="2"/>
        <v>67.059342340502923</v>
      </c>
      <c r="I12" s="3">
        <v>90</v>
      </c>
      <c r="J12" s="3">
        <v>1.0952E-2</v>
      </c>
      <c r="K12" s="3">
        <f t="shared" si="3"/>
        <v>4745.3424318745219</v>
      </c>
      <c r="L12" s="13"/>
    </row>
    <row r="13" spans="1:12">
      <c r="A13" s="3">
        <v>15</v>
      </c>
      <c r="B13" s="3">
        <f>1000/29.43</f>
        <v>33.97893306150187</v>
      </c>
      <c r="C13" s="3">
        <f>1000/28.03</f>
        <v>35.676061362825543</v>
      </c>
      <c r="D13" s="3">
        <f>1000/28.85</f>
        <v>34.662045060658578</v>
      </c>
      <c r="E13" s="3">
        <f t="shared" si="0"/>
        <v>34.772346494995332</v>
      </c>
      <c r="F13" s="3">
        <v>0.77500000000000002</v>
      </c>
      <c r="G13" s="3">
        <f t="shared" si="1"/>
        <v>0.47172977189059245</v>
      </c>
      <c r="H13" s="3">
        <f t="shared" si="2"/>
        <v>73.712427256043597</v>
      </c>
      <c r="I13" s="3">
        <v>90</v>
      </c>
      <c r="J13" s="3">
        <v>1.0952E-2</v>
      </c>
      <c r="K13" s="3">
        <f t="shared" si="3"/>
        <v>5216.1368812485198</v>
      </c>
      <c r="L13" s="13"/>
    </row>
    <row r="14" spans="1:12">
      <c r="A14" s="3">
        <v>17</v>
      </c>
      <c r="B14" s="3">
        <f>1000/28.5</f>
        <v>35.087719298245617</v>
      </c>
      <c r="C14" s="3">
        <f>1000/27.48</f>
        <v>36.390101892285301</v>
      </c>
      <c r="D14" s="3">
        <f>1000/26.97</f>
        <v>37.078235076010387</v>
      </c>
      <c r="E14" s="3">
        <f t="shared" si="0"/>
        <v>36.185352088847104</v>
      </c>
      <c r="F14" s="3">
        <v>0.77500000000000002</v>
      </c>
      <c r="G14" s="3">
        <f t="shared" si="1"/>
        <v>0.47172977189059245</v>
      </c>
      <c r="H14" s="3">
        <f t="shared" si="2"/>
        <v>76.707798076479079</v>
      </c>
      <c r="I14" s="3">
        <v>90</v>
      </c>
      <c r="J14" s="3">
        <v>1.0952E-2</v>
      </c>
      <c r="K14" s="3">
        <f t="shared" si="3"/>
        <v>5428.0992977786054</v>
      </c>
      <c r="L14" s="13"/>
    </row>
    <row r="15" spans="1:12">
      <c r="A15" s="3">
        <v>19</v>
      </c>
      <c r="B15" s="3">
        <f>1500/38.4</f>
        <v>39.0625</v>
      </c>
      <c r="C15" s="3">
        <f>1500/39.13</f>
        <v>38.333759263991823</v>
      </c>
      <c r="D15" s="3">
        <f>1500/39.15</f>
        <v>38.314176245210732</v>
      </c>
      <c r="E15" s="3">
        <f t="shared" si="0"/>
        <v>38.570145169734182</v>
      </c>
      <c r="F15" s="3">
        <v>0.77500000000000002</v>
      </c>
      <c r="G15" s="3">
        <f t="shared" si="1"/>
        <v>0.47172977189059245</v>
      </c>
      <c r="H15" s="3">
        <f t="shared" si="2"/>
        <v>81.763220106191852</v>
      </c>
      <c r="I15" s="3">
        <v>90</v>
      </c>
      <c r="J15" s="3">
        <v>1.0952E-2</v>
      </c>
      <c r="K15" s="3">
        <f t="shared" si="3"/>
        <v>5785.8377996985655</v>
      </c>
      <c r="L15" s="13"/>
    </row>
    <row r="16" spans="1:12">
      <c r="A16" s="3">
        <v>21</v>
      </c>
      <c r="B16" s="3">
        <f>1500/37.65</f>
        <v>39.840637450199203</v>
      </c>
      <c r="C16" s="3">
        <f>1500/36.32</f>
        <v>41.29955947136564</v>
      </c>
      <c r="D16" s="3">
        <f>1500/36.56</f>
        <v>41.028446389496715</v>
      </c>
      <c r="E16" s="3">
        <f t="shared" si="0"/>
        <v>40.722881103687179</v>
      </c>
      <c r="F16" s="3">
        <v>0.77500000000000002</v>
      </c>
      <c r="G16" s="3">
        <f t="shared" si="1"/>
        <v>0.47172977189059245</v>
      </c>
      <c r="H16" s="3">
        <f t="shared" si="2"/>
        <v>86.326714000853798</v>
      </c>
      <c r="I16" s="3">
        <v>90</v>
      </c>
      <c r="J16" s="3">
        <v>1.0703000000000001E-2</v>
      </c>
      <c r="K16" s="3">
        <f t="shared" si="3"/>
        <v>6250.8832430778002</v>
      </c>
      <c r="L16" s="13"/>
    </row>
    <row r="17" spans="1:11">
      <c r="A17" s="3">
        <v>23</v>
      </c>
      <c r="B17" s="3">
        <f>2000/47.46</f>
        <v>42.140750105351877</v>
      </c>
      <c r="C17" s="3">
        <f>2000/46.66</f>
        <v>42.863266180882988</v>
      </c>
      <c r="D17" s="3">
        <f>2000/45.89</f>
        <v>43.582479843103073</v>
      </c>
      <c r="E17" s="3">
        <f t="shared" si="0"/>
        <v>42.862165376445979</v>
      </c>
      <c r="F17" s="3">
        <v>0.77500000000000002</v>
      </c>
      <c r="G17" s="3">
        <f t="shared" si="1"/>
        <v>0.47172977189059245</v>
      </c>
      <c r="H17" s="3">
        <f t="shared" si="2"/>
        <v>90.861692287649234</v>
      </c>
      <c r="I17" s="3">
        <v>90</v>
      </c>
      <c r="J17" s="3">
        <v>1.0703000000000001E-2</v>
      </c>
      <c r="K17" s="3">
        <f t="shared" si="3"/>
        <v>6579.2592285273431</v>
      </c>
    </row>
    <row r="18" spans="1:11">
      <c r="A18" s="3">
        <v>25</v>
      </c>
      <c r="B18" s="3">
        <f>2000/46.01</f>
        <v>43.468811128015652</v>
      </c>
      <c r="C18" s="3">
        <f>2000/45.39</f>
        <v>44.062568847763821</v>
      </c>
      <c r="D18" s="3">
        <f>2000/44.94</f>
        <v>44.503782821539836</v>
      </c>
      <c r="E18" s="3">
        <f t="shared" si="0"/>
        <v>44.011720932439772</v>
      </c>
      <c r="F18" s="3">
        <v>0.77500000000000002</v>
      </c>
      <c r="G18" s="3">
        <f t="shared" si="1"/>
        <v>0.47172977189059245</v>
      </c>
      <c r="H18" s="3">
        <f t="shared" si="2"/>
        <v>93.298586510769013</v>
      </c>
      <c r="I18" s="3">
        <v>90</v>
      </c>
      <c r="J18" s="3">
        <v>1.0703000000000001E-2</v>
      </c>
      <c r="K18" s="3">
        <f t="shared" si="3"/>
        <v>6755.7137761231415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"/>
  <sheetViews>
    <sheetView workbookViewId="0"/>
  </sheetViews>
  <sheetFormatPr defaultColWidth="11.33203125" defaultRowHeight="15" customHeight="1"/>
  <cols>
    <col min="1" max="1" width="6.6640625" customWidth="1"/>
    <col min="2" max="6" width="9.6640625" customWidth="1"/>
    <col min="7" max="7" width="17.33203125" customWidth="1"/>
    <col min="8" max="8" width="9.44140625" customWidth="1"/>
    <col min="9" max="9" width="7.88671875" customWidth="1"/>
    <col min="10" max="10" width="7.33203125" customWidth="1"/>
    <col min="11" max="11" width="9.6640625" customWidth="1"/>
    <col min="12" max="12" width="19.5546875" customWidth="1"/>
    <col min="13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15</v>
      </c>
    </row>
    <row r="2" spans="1:12">
      <c r="A2" s="3">
        <v>0</v>
      </c>
      <c r="B2" s="13"/>
      <c r="C2" s="13"/>
      <c r="D2" s="13"/>
      <c r="E2" s="3">
        <f t="shared" ref="E2:E21" si="0">(B2+C2+D2)/3</f>
        <v>0</v>
      </c>
      <c r="F2" s="3">
        <f t="shared" ref="F2:F21" si="1">0.50546</f>
        <v>0.50546000000000002</v>
      </c>
      <c r="G2" s="3">
        <f t="shared" ref="G2:G21" si="2">3.14159*F2*F2/4</f>
        <v>0.200661059306111</v>
      </c>
      <c r="H2" s="3">
        <f t="shared" ref="H2:H21" si="3">E2/G2</f>
        <v>0</v>
      </c>
      <c r="I2" s="3">
        <v>1.9</v>
      </c>
      <c r="J2" s="3">
        <v>1.0212000000000001E-2</v>
      </c>
      <c r="K2" s="3">
        <f t="shared" ref="K2:K21" si="4">H2*F2/J2</f>
        <v>0</v>
      </c>
      <c r="L2" s="13"/>
    </row>
    <row r="3" spans="1:12">
      <c r="A3" s="3">
        <v>1</v>
      </c>
      <c r="B3" s="3">
        <f>250/40.86</f>
        <v>6.1184532550171316</v>
      </c>
      <c r="C3" s="3">
        <f>250/38.87</f>
        <v>6.4316953949060975</v>
      </c>
      <c r="D3" s="3">
        <f>250/40.86</f>
        <v>6.1184532550171316</v>
      </c>
      <c r="E3" s="3">
        <f t="shared" si="0"/>
        <v>6.2228673016467866</v>
      </c>
      <c r="F3" s="3">
        <f t="shared" si="1"/>
        <v>0.50546000000000002</v>
      </c>
      <c r="G3" s="3">
        <f t="shared" si="2"/>
        <v>0.200661059306111</v>
      </c>
      <c r="H3" s="3">
        <f t="shared" si="3"/>
        <v>31.011833203540121</v>
      </c>
      <c r="I3" s="3">
        <v>1.9</v>
      </c>
      <c r="J3" s="3">
        <v>1.0212000000000001E-2</v>
      </c>
      <c r="K3" s="3">
        <f t="shared" si="4"/>
        <v>1534.9824922700147</v>
      </c>
      <c r="L3" s="13"/>
    </row>
    <row r="4" spans="1:12">
      <c r="A4" s="3">
        <v>2</v>
      </c>
      <c r="B4" s="3">
        <f>600/61.97</f>
        <v>9.682104243989027</v>
      </c>
      <c r="C4" s="3">
        <f>600/62.17</f>
        <v>9.6509570532411129</v>
      </c>
      <c r="D4" s="3">
        <f>600/63.61</f>
        <v>9.4324791699418338</v>
      </c>
      <c r="E4" s="3">
        <f t="shared" si="0"/>
        <v>9.5885134890573251</v>
      </c>
      <c r="F4" s="3">
        <f t="shared" si="1"/>
        <v>0.50546000000000002</v>
      </c>
      <c r="G4" s="3">
        <f t="shared" si="2"/>
        <v>0.200661059306111</v>
      </c>
      <c r="H4" s="3">
        <f t="shared" si="3"/>
        <v>47.784625089763558</v>
      </c>
      <c r="I4" s="3">
        <v>1.9</v>
      </c>
      <c r="J4" s="3">
        <v>1.0212000000000001E-2</v>
      </c>
      <c r="K4" s="3">
        <f t="shared" si="4"/>
        <v>2365.1798470301496</v>
      </c>
      <c r="L4" s="13"/>
    </row>
    <row r="5" spans="1:12">
      <c r="A5" s="3">
        <v>3</v>
      </c>
      <c r="B5" s="3">
        <f>600/49.79</f>
        <v>12.050612572805784</v>
      </c>
      <c r="C5" s="3">
        <f>600/49.19</f>
        <v>12.197601138442774</v>
      </c>
      <c r="D5" s="3">
        <f>600/50.21</f>
        <v>11.949810794662417</v>
      </c>
      <c r="E5" s="3">
        <f t="shared" si="0"/>
        <v>12.066008168636992</v>
      </c>
      <c r="F5" s="3">
        <f t="shared" si="1"/>
        <v>0.50546000000000002</v>
      </c>
      <c r="G5" s="3">
        <f t="shared" si="2"/>
        <v>0.200661059306111</v>
      </c>
      <c r="H5" s="3">
        <f t="shared" si="3"/>
        <v>60.131289101938528</v>
      </c>
      <c r="I5" s="3">
        <v>1.9</v>
      </c>
      <c r="J5" s="3">
        <v>1.0212000000000001E-2</v>
      </c>
      <c r="K5" s="3">
        <f t="shared" si="4"/>
        <v>2976.2986084474978</v>
      </c>
      <c r="L5" s="13"/>
    </row>
    <row r="6" spans="1:12">
      <c r="A6" s="3">
        <v>4</v>
      </c>
      <c r="B6" s="3">
        <f>1000/70.93</f>
        <v>14.098406880022557</v>
      </c>
      <c r="C6" s="3">
        <f>1000/69.33</f>
        <v>14.423770373575653</v>
      </c>
      <c r="D6" s="3">
        <f>1000/72.85</f>
        <v>13.726835964310228</v>
      </c>
      <c r="E6" s="3">
        <f t="shared" si="0"/>
        <v>14.083004405969477</v>
      </c>
      <c r="F6" s="3">
        <f t="shared" si="1"/>
        <v>0.50546000000000002</v>
      </c>
      <c r="G6" s="3">
        <f t="shared" si="2"/>
        <v>0.200661059306111</v>
      </c>
      <c r="H6" s="3">
        <f t="shared" si="3"/>
        <v>70.183046250571593</v>
      </c>
      <c r="I6" s="3">
        <v>1.9</v>
      </c>
      <c r="J6" s="3">
        <v>1.0212000000000001E-2</v>
      </c>
      <c r="K6" s="3">
        <f t="shared" si="4"/>
        <v>3473.8271208200076</v>
      </c>
      <c r="L6" s="13"/>
    </row>
    <row r="7" spans="1:12">
      <c r="A7" s="3">
        <v>5</v>
      </c>
      <c r="B7" s="3">
        <f>1000/64.26</f>
        <v>15.56178026766262</v>
      </c>
      <c r="C7" s="3">
        <f>1000/64.01</f>
        <v>15.62255897516013</v>
      </c>
      <c r="D7" s="3">
        <f>1000/61.97</f>
        <v>16.136840406648378</v>
      </c>
      <c r="E7" s="3">
        <f t="shared" si="0"/>
        <v>15.773726549823712</v>
      </c>
      <c r="F7" s="3">
        <f t="shared" si="1"/>
        <v>0.50546000000000002</v>
      </c>
      <c r="G7" s="3">
        <f t="shared" si="2"/>
        <v>0.200661059306111</v>
      </c>
      <c r="H7" s="3">
        <f t="shared" si="3"/>
        <v>78.608807330976418</v>
      </c>
      <c r="I7" s="3">
        <v>1.9</v>
      </c>
      <c r="J7" s="3">
        <v>1.0212000000000001E-2</v>
      </c>
      <c r="K7" s="3">
        <f t="shared" si="4"/>
        <v>3890.8742414331514</v>
      </c>
      <c r="L7" s="13"/>
    </row>
    <row r="8" spans="1:12">
      <c r="A8" s="3">
        <v>6</v>
      </c>
      <c r="B8" s="3">
        <f>1000/57.25</f>
        <v>17.467248908296945</v>
      </c>
      <c r="C8" s="3">
        <f>1000/57.33</f>
        <v>17.44287458573173</v>
      </c>
      <c r="D8" s="3">
        <f>1000/57.07</f>
        <v>17.522340984755562</v>
      </c>
      <c r="E8" s="3">
        <f t="shared" si="0"/>
        <v>17.477488159594746</v>
      </c>
      <c r="F8" s="3">
        <f t="shared" si="1"/>
        <v>0.50546000000000002</v>
      </c>
      <c r="G8" s="3">
        <f t="shared" si="2"/>
        <v>0.200661059306111</v>
      </c>
      <c r="H8" s="3">
        <f t="shared" si="3"/>
        <v>87.099550954391276</v>
      </c>
      <c r="I8" s="3">
        <v>1.9</v>
      </c>
      <c r="J8" s="3">
        <v>1.0212000000000001E-2</v>
      </c>
      <c r="K8" s="3">
        <f t="shared" si="4"/>
        <v>4311.1377815713486</v>
      </c>
      <c r="L8" s="13"/>
    </row>
    <row r="9" spans="1:12">
      <c r="A9" s="3">
        <v>7</v>
      </c>
      <c r="B9" s="3">
        <f>1000/53.94</f>
        <v>18.539117538005193</v>
      </c>
      <c r="C9" s="3">
        <f>1000/51.44</f>
        <v>19.440124416796269</v>
      </c>
      <c r="D9" s="3">
        <f>1000/52.92</f>
        <v>18.89644746787604</v>
      </c>
      <c r="E9" s="3">
        <f t="shared" si="0"/>
        <v>18.958563140892505</v>
      </c>
      <c r="F9" s="3">
        <f t="shared" si="1"/>
        <v>0.50546000000000002</v>
      </c>
      <c r="G9" s="3">
        <f t="shared" si="2"/>
        <v>0.200661059306111</v>
      </c>
      <c r="H9" s="3">
        <f t="shared" si="3"/>
        <v>94.480529537975656</v>
      </c>
      <c r="I9" s="3">
        <v>1.9</v>
      </c>
      <c r="J9" s="3">
        <v>1.0212000000000001E-2</v>
      </c>
      <c r="K9" s="3">
        <f t="shared" si="4"/>
        <v>4676.4716471078309</v>
      </c>
      <c r="L9" s="13"/>
    </row>
    <row r="10" spans="1:12">
      <c r="A10" s="3">
        <v>7.9</v>
      </c>
      <c r="B10" s="3">
        <f>1500/74</f>
        <v>20.27027027027027</v>
      </c>
      <c r="C10" s="3">
        <f>1000/48.34</f>
        <v>20.686801820438557</v>
      </c>
      <c r="D10" s="3">
        <f>1000/51.29</f>
        <v>19.496977968414896</v>
      </c>
      <c r="E10" s="3">
        <f t="shared" si="0"/>
        <v>20.151350019707909</v>
      </c>
      <c r="F10" s="3">
        <f t="shared" si="1"/>
        <v>0.50546000000000002</v>
      </c>
      <c r="G10" s="3">
        <f t="shared" si="2"/>
        <v>0.200661059306111</v>
      </c>
      <c r="H10" s="3">
        <f t="shared" si="3"/>
        <v>100.42481630163613</v>
      </c>
      <c r="I10" s="3">
        <v>1.9</v>
      </c>
      <c r="J10" s="3">
        <v>1.0212000000000001E-2</v>
      </c>
      <c r="K10" s="3">
        <f t="shared" si="4"/>
        <v>4970.6940509033484</v>
      </c>
      <c r="L10" s="13"/>
    </row>
    <row r="11" spans="1:12">
      <c r="A11" s="3">
        <v>9.1</v>
      </c>
      <c r="B11" s="3">
        <f>1000/46.18</f>
        <v>21.654395842355999</v>
      </c>
      <c r="C11" s="3">
        <f>1000/45.39</f>
        <v>22.03128442388191</v>
      </c>
      <c r="D11" s="3">
        <f>1000/44.69</f>
        <v>22.376370552696354</v>
      </c>
      <c r="E11" s="3">
        <f t="shared" si="0"/>
        <v>22.020683606311422</v>
      </c>
      <c r="F11" s="3">
        <f t="shared" si="1"/>
        <v>0.50546000000000002</v>
      </c>
      <c r="G11" s="3">
        <f t="shared" si="2"/>
        <v>0.200661059306111</v>
      </c>
      <c r="H11" s="3">
        <f t="shared" si="3"/>
        <v>109.74069250137163</v>
      </c>
      <c r="I11" s="3">
        <v>1.9</v>
      </c>
      <c r="J11" s="3">
        <v>1.0212000000000001E-2</v>
      </c>
      <c r="K11" s="3">
        <f t="shared" si="4"/>
        <v>5431.7989063595087</v>
      </c>
      <c r="L11" s="13"/>
    </row>
    <row r="12" spans="1:12">
      <c r="A12" s="3">
        <v>10</v>
      </c>
      <c r="B12" s="3">
        <f>1500/63.57</f>
        <v>23.596035865974518</v>
      </c>
      <c r="C12" s="3">
        <f>1500/64.76</f>
        <v>23.162445954292771</v>
      </c>
      <c r="D12" s="3">
        <f>1500/66.68</f>
        <v>22.495500899820033</v>
      </c>
      <c r="E12" s="3">
        <f t="shared" si="0"/>
        <v>23.084660906695774</v>
      </c>
      <c r="F12" s="3">
        <f t="shared" si="1"/>
        <v>0.50546000000000002</v>
      </c>
      <c r="G12" s="3">
        <f t="shared" si="2"/>
        <v>0.200661059306111</v>
      </c>
      <c r="H12" s="3">
        <f t="shared" si="3"/>
        <v>115.04305312910678</v>
      </c>
      <c r="I12" s="3">
        <v>1.9</v>
      </c>
      <c r="J12" s="3">
        <v>1.0212000000000001E-2</v>
      </c>
      <c r="K12" s="3">
        <f t="shared" si="4"/>
        <v>5694.2481036661093</v>
      </c>
      <c r="L12" s="13"/>
    </row>
    <row r="13" spans="1:12">
      <c r="A13" s="3">
        <v>11</v>
      </c>
      <c r="B13" s="3">
        <f>1500/60.28</f>
        <v>24.883875248838752</v>
      </c>
      <c r="C13" s="3">
        <f>1500/63.03</f>
        <v>23.798191337458352</v>
      </c>
      <c r="D13" s="3">
        <f>1500/63.19</f>
        <v>23.737933217281217</v>
      </c>
      <c r="E13" s="3">
        <f t="shared" si="0"/>
        <v>24.139999934526106</v>
      </c>
      <c r="F13" s="3">
        <f t="shared" si="1"/>
        <v>0.50546000000000002</v>
      </c>
      <c r="G13" s="3">
        <f t="shared" si="2"/>
        <v>0.200661059306111</v>
      </c>
      <c r="H13" s="3">
        <f t="shared" si="3"/>
        <v>120.30236468402286</v>
      </c>
      <c r="I13" s="3">
        <v>1.9</v>
      </c>
      <c r="J13" s="3">
        <v>1.0212000000000001E-2</v>
      </c>
      <c r="K13" s="3">
        <f t="shared" si="4"/>
        <v>5954.566515196454</v>
      </c>
      <c r="L13" s="13"/>
    </row>
    <row r="14" spans="1:12">
      <c r="A14" s="3">
        <v>12</v>
      </c>
      <c r="B14" s="3">
        <f>1500/58.26</f>
        <v>25.746652935118437</v>
      </c>
      <c r="C14" s="3">
        <f>1500/59.44</f>
        <v>25.235531628532975</v>
      </c>
      <c r="D14" s="3">
        <f>1500/61.19</f>
        <v>24.513809445987906</v>
      </c>
      <c r="E14" s="3">
        <f t="shared" si="0"/>
        <v>25.165331336546441</v>
      </c>
      <c r="F14" s="3">
        <f t="shared" si="1"/>
        <v>0.50546000000000002</v>
      </c>
      <c r="G14" s="3">
        <f t="shared" si="2"/>
        <v>0.200661059306111</v>
      </c>
      <c r="H14" s="3">
        <f t="shared" si="3"/>
        <v>125.41213239663212</v>
      </c>
      <c r="I14" s="3">
        <v>1.9</v>
      </c>
      <c r="J14" s="3">
        <v>1.0212000000000001E-2</v>
      </c>
      <c r="K14" s="3">
        <f t="shared" si="4"/>
        <v>6207.483004426329</v>
      </c>
      <c r="L14" s="13"/>
    </row>
    <row r="15" spans="1:12">
      <c r="A15" s="3">
        <v>13</v>
      </c>
      <c r="B15" s="3">
        <f>1500/57.68</f>
        <v>26.005547850208046</v>
      </c>
      <c r="C15" s="3">
        <f>1500/57.19</f>
        <v>26.228361601678618</v>
      </c>
      <c r="D15" s="3">
        <f>1500/56.73</f>
        <v>26.441036488630356</v>
      </c>
      <c r="E15" s="3">
        <f t="shared" si="0"/>
        <v>26.224981980172341</v>
      </c>
      <c r="F15" s="3">
        <f t="shared" si="1"/>
        <v>0.50546000000000002</v>
      </c>
      <c r="G15" s="3">
        <f t="shared" si="2"/>
        <v>0.200661059306111</v>
      </c>
      <c r="H15" s="3">
        <f t="shared" si="3"/>
        <v>130.69293100942818</v>
      </c>
      <c r="I15" s="3">
        <v>1.9</v>
      </c>
      <c r="J15" s="3">
        <v>1.0212000000000001E-2</v>
      </c>
      <c r="K15" s="3">
        <f t="shared" si="4"/>
        <v>6468.8649537823694</v>
      </c>
      <c r="L15" s="13"/>
    </row>
    <row r="16" spans="1:12">
      <c r="A16" s="3">
        <v>15</v>
      </c>
      <c r="B16" s="3">
        <f>2000/70.94</f>
        <v>28.192839018889202</v>
      </c>
      <c r="C16" s="3">
        <f>2000/69.93</f>
        <v>28.600028600028597</v>
      </c>
      <c r="D16" s="3">
        <f>2000/68.98</f>
        <v>28.993911278631487</v>
      </c>
      <c r="E16" s="3">
        <f t="shared" si="0"/>
        <v>28.595592965849761</v>
      </c>
      <c r="F16" s="3">
        <f t="shared" si="1"/>
        <v>0.50546000000000002</v>
      </c>
      <c r="G16" s="3">
        <f t="shared" si="2"/>
        <v>0.200661059306111</v>
      </c>
      <c r="H16" s="3">
        <f t="shared" si="3"/>
        <v>142.50693714432563</v>
      </c>
      <c r="I16" s="3">
        <v>1.9</v>
      </c>
      <c r="J16" s="3">
        <v>1.0212000000000001E-2</v>
      </c>
      <c r="K16" s="3">
        <f t="shared" si="4"/>
        <v>7053.618923714339</v>
      </c>
      <c r="L16" s="13"/>
    </row>
    <row r="17" spans="1:11">
      <c r="A17" s="3">
        <v>17</v>
      </c>
      <c r="B17" s="3">
        <f>2000/65.44</f>
        <v>30.562347188264059</v>
      </c>
      <c r="C17" s="3">
        <f>2000/65.91</f>
        <v>30.344409042633895</v>
      </c>
      <c r="D17" s="3">
        <f>2000/65.28</f>
        <v>30.637254901960784</v>
      </c>
      <c r="E17" s="3">
        <f t="shared" si="0"/>
        <v>30.514670377619581</v>
      </c>
      <c r="F17" s="3">
        <f t="shared" si="1"/>
        <v>0.50546000000000002</v>
      </c>
      <c r="G17" s="3">
        <f t="shared" si="2"/>
        <v>0.200661059306111</v>
      </c>
      <c r="H17" s="3">
        <f t="shared" si="3"/>
        <v>152.07071308773001</v>
      </c>
      <c r="I17" s="3">
        <v>1.9</v>
      </c>
      <c r="J17" s="3">
        <v>1.0212000000000001E-2</v>
      </c>
      <c r="K17" s="3">
        <f t="shared" si="4"/>
        <v>7526.9939911206438</v>
      </c>
    </row>
    <row r="18" spans="1:11">
      <c r="A18" s="3">
        <v>19</v>
      </c>
      <c r="B18" s="3">
        <f>2000/63.41</f>
        <v>31.540766440624509</v>
      </c>
      <c r="C18" s="3">
        <f>2000/62.96</f>
        <v>31.766200762388817</v>
      </c>
      <c r="D18" s="3">
        <f>2000/63.11</f>
        <v>31.690698779908097</v>
      </c>
      <c r="E18" s="3">
        <f t="shared" si="0"/>
        <v>31.66588866097381</v>
      </c>
      <c r="F18" s="3">
        <f t="shared" si="1"/>
        <v>0.50546000000000002</v>
      </c>
      <c r="G18" s="3">
        <f t="shared" si="2"/>
        <v>0.200661059306111</v>
      </c>
      <c r="H18" s="3">
        <f t="shared" si="3"/>
        <v>157.80784159355551</v>
      </c>
      <c r="I18" s="3">
        <v>1.9</v>
      </c>
      <c r="J18" s="3">
        <v>1.0212000000000001E-2</v>
      </c>
      <c r="K18" s="3">
        <f t="shared" si="4"/>
        <v>7810.9627508694239</v>
      </c>
    </row>
    <row r="19" spans="1:11">
      <c r="A19" s="3">
        <v>21</v>
      </c>
      <c r="B19" s="3">
        <f>2000/59.43</f>
        <v>33.653037186606092</v>
      </c>
      <c r="C19" s="3">
        <f>2000/59.97</f>
        <v>33.350008337502082</v>
      </c>
      <c r="D19" s="3">
        <f>2000/58.72</f>
        <v>34.059945504087196</v>
      </c>
      <c r="E19" s="3">
        <f t="shared" si="0"/>
        <v>33.687663676065121</v>
      </c>
      <c r="F19" s="3">
        <f t="shared" si="1"/>
        <v>0.50546000000000002</v>
      </c>
      <c r="G19" s="3">
        <f t="shared" si="2"/>
        <v>0.200661059306111</v>
      </c>
      <c r="H19" s="3">
        <f t="shared" si="3"/>
        <v>167.88341391477536</v>
      </c>
      <c r="I19" s="3">
        <v>1.9</v>
      </c>
      <c r="J19" s="3">
        <v>1.0212000000000001E-2</v>
      </c>
      <c r="K19" s="3">
        <f t="shared" si="4"/>
        <v>8309.6700349943549</v>
      </c>
    </row>
    <row r="20" spans="1:11">
      <c r="A20" s="3">
        <v>23</v>
      </c>
      <c r="B20" s="3">
        <f>2500/70.69</f>
        <v>35.365681143018818</v>
      </c>
      <c r="C20" s="3">
        <f>2000/56.25</f>
        <v>35.555555555555557</v>
      </c>
      <c r="D20" s="3">
        <f>2000/56.97</f>
        <v>35.106196243637001</v>
      </c>
      <c r="E20" s="3">
        <f t="shared" si="0"/>
        <v>35.34247764740379</v>
      </c>
      <c r="F20" s="3">
        <f t="shared" si="1"/>
        <v>0.50546000000000002</v>
      </c>
      <c r="G20" s="3">
        <f t="shared" si="2"/>
        <v>0.200661059306111</v>
      </c>
      <c r="H20" s="3">
        <f t="shared" si="3"/>
        <v>176.1302256133732</v>
      </c>
      <c r="I20" s="3">
        <v>1.9</v>
      </c>
      <c r="J20" s="3">
        <v>1.0212000000000001E-2</v>
      </c>
      <c r="K20" s="3">
        <f t="shared" si="4"/>
        <v>8717.8597570050551</v>
      </c>
    </row>
    <row r="21" spans="1:11">
      <c r="A21" s="3">
        <v>25</v>
      </c>
      <c r="B21" s="3">
        <f>2500/66.18</f>
        <v>37.775763070414015</v>
      </c>
      <c r="C21" s="3">
        <f>2500/67.43</f>
        <v>37.075485688862521</v>
      </c>
      <c r="D21" s="3">
        <f>2500/67.47</f>
        <v>37.053505261597749</v>
      </c>
      <c r="E21" s="3">
        <f t="shared" si="0"/>
        <v>37.30158467362476</v>
      </c>
      <c r="F21" s="3">
        <f t="shared" si="1"/>
        <v>0.50546000000000002</v>
      </c>
      <c r="G21" s="3">
        <f t="shared" si="2"/>
        <v>0.200661059306111</v>
      </c>
      <c r="H21" s="3">
        <f t="shared" si="3"/>
        <v>185.89349025971561</v>
      </c>
      <c r="I21" s="3">
        <v>1.9</v>
      </c>
      <c r="J21" s="3">
        <v>1.0212000000000001E-2</v>
      </c>
      <c r="K21" s="3">
        <f t="shared" si="4"/>
        <v>9201.1088510258378</v>
      </c>
    </row>
  </sheetData>
  <pageMargins left="0.75" right="0.75" top="1" bottom="1" header="0" footer="0"/>
  <pageSetup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K16"/>
  <sheetViews>
    <sheetView workbookViewId="0"/>
  </sheetViews>
  <sheetFormatPr defaultColWidth="11.33203125" defaultRowHeight="15" customHeight="1"/>
  <cols>
    <col min="1" max="26" width="7" customWidth="1"/>
  </cols>
  <sheetData>
    <row r="1" spans="1:11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</row>
    <row r="2" spans="1:11">
      <c r="A2" s="3">
        <v>0</v>
      </c>
      <c r="B2" s="3"/>
      <c r="C2" s="3"/>
      <c r="D2" s="3"/>
      <c r="E2" s="3">
        <f t="shared" ref="E2:E16" si="0">(B2+C2+D2)/3</f>
        <v>0</v>
      </c>
      <c r="F2" s="3">
        <f t="shared" ref="F2:F16" si="1">0.7747</f>
        <v>0.77470000000000006</v>
      </c>
      <c r="G2" s="3">
        <f t="shared" ref="G2:G16" si="2">3.14159*(F2/2)^2</f>
        <v>0.47136423428577501</v>
      </c>
      <c r="H2" s="3">
        <f t="shared" ref="H2:H16" si="3">E2/G2</f>
        <v>0</v>
      </c>
      <c r="I2" s="3">
        <v>1.8</v>
      </c>
      <c r="J2" s="3">
        <v>7.5300000000000006E-2</v>
      </c>
      <c r="K2" s="3">
        <f t="shared" ref="K2:K16" si="4">H2*F2/J2</f>
        <v>0</v>
      </c>
    </row>
    <row r="3" spans="1:11">
      <c r="A3" s="3">
        <v>1</v>
      </c>
      <c r="B3" s="3">
        <f>500/36.13</f>
        <v>13.83891502906172</v>
      </c>
      <c r="C3" s="3">
        <f>500/36.73</f>
        <v>13.612850530901172</v>
      </c>
      <c r="D3" s="3">
        <f>500/37.16</f>
        <v>13.455328310010765</v>
      </c>
      <c r="E3" s="3">
        <f t="shared" si="0"/>
        <v>13.635697956657886</v>
      </c>
      <c r="F3" s="3">
        <f t="shared" si="1"/>
        <v>0.77470000000000006</v>
      </c>
      <c r="G3" s="3">
        <f t="shared" si="2"/>
        <v>0.47136423428577501</v>
      </c>
      <c r="H3" s="3">
        <f t="shared" si="3"/>
        <v>28.928155691148476</v>
      </c>
      <c r="I3" s="3">
        <v>1.8</v>
      </c>
      <c r="J3" s="3">
        <v>7.5300000000000006E-2</v>
      </c>
      <c r="K3" s="3">
        <f t="shared" si="4"/>
        <v>297.6180904904744</v>
      </c>
    </row>
    <row r="4" spans="1:11">
      <c r="A4" s="3">
        <v>2.2999999999999998</v>
      </c>
      <c r="B4" s="3">
        <f>1000/47.29</f>
        <v>21.14611968703743</v>
      </c>
      <c r="C4" s="3">
        <f>1000/48.58</f>
        <v>20.584602717167559</v>
      </c>
      <c r="D4" s="3">
        <f>1000/47.52</f>
        <v>21.043771043771041</v>
      </c>
      <c r="E4" s="3">
        <f t="shared" si="0"/>
        <v>20.924831149325342</v>
      </c>
      <c r="F4" s="3">
        <f t="shared" si="1"/>
        <v>0.77470000000000006</v>
      </c>
      <c r="G4" s="3">
        <f t="shared" si="2"/>
        <v>0.47136423428577501</v>
      </c>
      <c r="H4" s="3">
        <f t="shared" si="3"/>
        <v>44.3920637742727</v>
      </c>
      <c r="I4" s="3">
        <v>1.8</v>
      </c>
      <c r="J4" s="3">
        <v>7.5300000000000006E-2</v>
      </c>
      <c r="K4" s="3">
        <f t="shared" si="4"/>
        <v>456.71356979985472</v>
      </c>
    </row>
    <row r="5" spans="1:11">
      <c r="A5" s="3">
        <v>3</v>
      </c>
      <c r="B5" s="5">
        <f>1000/38.73</f>
        <v>25.819777949909632</v>
      </c>
      <c r="C5" s="5">
        <f>1000/39.63</f>
        <v>25.233409033560431</v>
      </c>
      <c r="D5" s="5">
        <f>1000/38.25</f>
        <v>26.143790849673202</v>
      </c>
      <c r="E5" s="3">
        <f t="shared" si="0"/>
        <v>25.732325944381088</v>
      </c>
      <c r="F5" s="3">
        <f t="shared" si="1"/>
        <v>0.77470000000000006</v>
      </c>
      <c r="G5" s="3">
        <f t="shared" si="2"/>
        <v>0.47136423428577501</v>
      </c>
      <c r="H5" s="3">
        <f t="shared" si="3"/>
        <v>54.591171906310343</v>
      </c>
      <c r="I5" s="3">
        <v>1.8</v>
      </c>
      <c r="J5" s="3">
        <v>7.5300000000000006E-2</v>
      </c>
      <c r="K5" s="3">
        <f t="shared" si="4"/>
        <v>561.64383633225259</v>
      </c>
    </row>
    <row r="6" spans="1:11">
      <c r="A6" s="3">
        <v>4</v>
      </c>
      <c r="B6" s="3">
        <f>1000/32.45</f>
        <v>30.816640986132509</v>
      </c>
      <c r="C6" s="3">
        <f>1000/33.55</f>
        <v>29.806259314456039</v>
      </c>
      <c r="D6" s="3">
        <f>1000/32.35</f>
        <v>30.911901081916536</v>
      </c>
      <c r="E6" s="3">
        <f t="shared" si="0"/>
        <v>30.511600460835027</v>
      </c>
      <c r="F6" s="3">
        <f t="shared" si="1"/>
        <v>0.77470000000000006</v>
      </c>
      <c r="G6" s="3">
        <f t="shared" si="2"/>
        <v>0.47136423428577501</v>
      </c>
      <c r="H6" s="3">
        <f t="shared" si="3"/>
        <v>64.730410670777985</v>
      </c>
      <c r="I6" s="3">
        <v>1.8</v>
      </c>
      <c r="J6" s="3">
        <v>7.5300000000000006E-2</v>
      </c>
      <c r="K6" s="3">
        <f t="shared" si="4"/>
        <v>665.95815599803063</v>
      </c>
    </row>
    <row r="7" spans="1:11">
      <c r="A7" s="3">
        <v>5</v>
      </c>
      <c r="B7" s="3">
        <f>1500/43.63</f>
        <v>34.380013752005496</v>
      </c>
      <c r="C7" s="3">
        <f>1500/43.44</f>
        <v>34.530386740331494</v>
      </c>
      <c r="D7" s="3">
        <f>1500/43.5</f>
        <v>34.482758620689658</v>
      </c>
      <c r="E7" s="3">
        <f t="shared" si="0"/>
        <v>34.464386371008885</v>
      </c>
      <c r="F7" s="3">
        <f t="shared" si="1"/>
        <v>0.77470000000000006</v>
      </c>
      <c r="G7" s="3">
        <f t="shared" si="2"/>
        <v>0.47136423428577501</v>
      </c>
      <c r="H7" s="3">
        <f t="shared" si="3"/>
        <v>73.116252494698372</v>
      </c>
      <c r="I7" s="3">
        <v>1.8</v>
      </c>
      <c r="J7" s="3">
        <v>7.5300000000000006E-2</v>
      </c>
      <c r="K7" s="3">
        <f t="shared" si="4"/>
        <v>752.23321125687687</v>
      </c>
    </row>
    <row r="8" spans="1:11">
      <c r="A8" s="3">
        <v>6</v>
      </c>
      <c r="B8" s="3">
        <f>1500/39.98</f>
        <v>37.518759379689847</v>
      </c>
      <c r="C8" s="3">
        <f>1500/39.55</f>
        <v>37.926675094816687</v>
      </c>
      <c r="D8" s="3">
        <f>1500/39.53</f>
        <v>37.945863900834809</v>
      </c>
      <c r="E8" s="3">
        <f t="shared" si="0"/>
        <v>37.797099458447114</v>
      </c>
      <c r="F8" s="3">
        <f t="shared" si="1"/>
        <v>0.77470000000000006</v>
      </c>
      <c r="G8" s="3">
        <f t="shared" si="2"/>
        <v>0.47136423428577501</v>
      </c>
      <c r="H8" s="3">
        <f t="shared" si="3"/>
        <v>80.186608803101905</v>
      </c>
      <c r="I8" s="3">
        <v>1.8</v>
      </c>
      <c r="J8" s="3">
        <v>7.5300000000000006E-2</v>
      </c>
      <c r="K8" s="3">
        <f t="shared" si="4"/>
        <v>824.97431394107639</v>
      </c>
    </row>
    <row r="9" spans="1:11">
      <c r="A9" s="3">
        <v>7</v>
      </c>
      <c r="B9" s="3">
        <f>1500/35.67</f>
        <v>42.052144659377625</v>
      </c>
      <c r="C9" s="3">
        <f>1500/35.69</f>
        <v>42.028579434015136</v>
      </c>
      <c r="D9" s="3">
        <f>1500/36.08</f>
        <v>41.574279379157431</v>
      </c>
      <c r="E9" s="3">
        <f t="shared" si="0"/>
        <v>41.885001157516733</v>
      </c>
      <c r="F9" s="3">
        <f t="shared" si="1"/>
        <v>0.77470000000000006</v>
      </c>
      <c r="G9" s="3">
        <f t="shared" si="2"/>
        <v>0.47136423428577501</v>
      </c>
      <c r="H9" s="3">
        <f t="shared" si="3"/>
        <v>88.859098995879748</v>
      </c>
      <c r="I9" s="3">
        <v>1.8</v>
      </c>
      <c r="J9" s="3">
        <v>7.5300000000000006E-2</v>
      </c>
      <c r="K9" s="3">
        <f t="shared" si="4"/>
        <v>914.19845939054505</v>
      </c>
    </row>
    <row r="10" spans="1:11">
      <c r="A10" s="3">
        <v>8</v>
      </c>
      <c r="B10" s="3">
        <f>2000/44.02</f>
        <v>45.433893684688776</v>
      </c>
      <c r="C10" s="3">
        <f>2000/44.19</f>
        <v>45.25910839556461</v>
      </c>
      <c r="D10" s="3">
        <f>2000/43.93</f>
        <v>45.526974732529027</v>
      </c>
      <c r="E10" s="3">
        <f t="shared" si="0"/>
        <v>45.406658937594138</v>
      </c>
      <c r="F10" s="3">
        <f t="shared" si="1"/>
        <v>0.77470000000000006</v>
      </c>
      <c r="G10" s="3">
        <f t="shared" si="2"/>
        <v>0.47136423428577501</v>
      </c>
      <c r="H10" s="3">
        <f t="shared" si="3"/>
        <v>96.33030178116006</v>
      </c>
      <c r="I10" s="3">
        <v>1.8</v>
      </c>
      <c r="J10" s="3">
        <v>7.5300000000000006E-2</v>
      </c>
      <c r="K10" s="3">
        <f t="shared" si="4"/>
        <v>991.06354302609168</v>
      </c>
    </row>
    <row r="11" spans="1:11">
      <c r="A11" s="3">
        <v>9</v>
      </c>
      <c r="B11" s="3">
        <f>2000/41.09</f>
        <v>48.673643222195174</v>
      </c>
      <c r="C11" s="3">
        <f>2000/41.32</f>
        <v>48.402710551790896</v>
      </c>
      <c r="D11" s="3">
        <f>2000/41.1</f>
        <v>48.661800486618006</v>
      </c>
      <c r="E11" s="3">
        <f t="shared" si="0"/>
        <v>48.57938475353469</v>
      </c>
      <c r="F11" s="3">
        <f t="shared" si="1"/>
        <v>0.77470000000000006</v>
      </c>
      <c r="G11" s="3">
        <f t="shared" si="2"/>
        <v>0.47136423428577501</v>
      </c>
      <c r="H11" s="3">
        <f t="shared" si="3"/>
        <v>103.06124482936981</v>
      </c>
      <c r="I11" s="3">
        <v>1.8</v>
      </c>
      <c r="J11" s="3">
        <v>7.5300000000000006E-2</v>
      </c>
      <c r="K11" s="3">
        <f t="shared" si="4"/>
        <v>1060.3127007876865</v>
      </c>
    </row>
    <row r="12" spans="1:11">
      <c r="A12" s="3">
        <v>10.3</v>
      </c>
      <c r="B12" s="3">
        <f>2500/48.72</f>
        <v>51.313628899835798</v>
      </c>
      <c r="C12" s="3">
        <f>2500/48.31</f>
        <v>51.749120264955494</v>
      </c>
      <c r="D12" s="3">
        <f>2500/48.12</f>
        <v>51.953449709060685</v>
      </c>
      <c r="E12" s="3">
        <f t="shared" si="0"/>
        <v>51.67206629128399</v>
      </c>
      <c r="F12" s="3">
        <f t="shared" si="1"/>
        <v>0.77470000000000006</v>
      </c>
      <c r="G12" s="3">
        <f t="shared" si="2"/>
        <v>0.47136423428577501</v>
      </c>
      <c r="H12" s="3">
        <f t="shared" si="3"/>
        <v>109.62237380945763</v>
      </c>
      <c r="I12" s="3">
        <v>1.8</v>
      </c>
      <c r="J12" s="3">
        <v>7.5300000000000006E-2</v>
      </c>
      <c r="K12" s="3">
        <f t="shared" si="4"/>
        <v>1127.814780746173</v>
      </c>
    </row>
    <row r="13" spans="1:11">
      <c r="A13" s="3">
        <v>12</v>
      </c>
      <c r="B13" s="3">
        <f>2500/44.62</f>
        <v>56.028686687584049</v>
      </c>
      <c r="C13" s="3">
        <f>2500/44.6</f>
        <v>56.053811659192824</v>
      </c>
      <c r="D13" s="3">
        <f>2500/44.65</f>
        <v>55.991041433370661</v>
      </c>
      <c r="E13" s="3">
        <f t="shared" si="0"/>
        <v>56.024513260049183</v>
      </c>
      <c r="F13" s="3">
        <f t="shared" si="1"/>
        <v>0.77470000000000006</v>
      </c>
      <c r="G13" s="3">
        <f t="shared" si="2"/>
        <v>0.47136423428577501</v>
      </c>
      <c r="H13" s="3">
        <f t="shared" si="3"/>
        <v>118.85609722795192</v>
      </c>
      <c r="I13" s="3">
        <v>1.8</v>
      </c>
      <c r="J13" s="3">
        <v>7.5300000000000006E-2</v>
      </c>
      <c r="K13" s="3">
        <f t="shared" si="4"/>
        <v>1222.8129949866448</v>
      </c>
    </row>
    <row r="14" spans="1:11">
      <c r="A14" s="3">
        <v>14</v>
      </c>
      <c r="B14" s="3">
        <f>3000/50.32</f>
        <v>59.618441971383149</v>
      </c>
      <c r="C14" s="3">
        <f>3000/50.23</f>
        <v>59.725263786581728</v>
      </c>
      <c r="D14" s="3">
        <f>3000/50.28</f>
        <v>59.665871121718375</v>
      </c>
      <c r="E14" s="3">
        <f t="shared" si="0"/>
        <v>59.669858959894412</v>
      </c>
      <c r="F14" s="3">
        <f t="shared" si="1"/>
        <v>0.77470000000000006</v>
      </c>
      <c r="G14" s="3">
        <f t="shared" si="2"/>
        <v>0.47136423428577501</v>
      </c>
      <c r="H14" s="3">
        <f t="shared" si="3"/>
        <v>126.5897041388979</v>
      </c>
      <c r="I14" s="3">
        <v>1.8</v>
      </c>
      <c r="J14" s="3">
        <v>7.5300000000000006E-2</v>
      </c>
      <c r="K14" s="3">
        <f t="shared" si="4"/>
        <v>1302.3777396600824</v>
      </c>
    </row>
    <row r="15" spans="1:11">
      <c r="A15" s="3">
        <v>16</v>
      </c>
      <c r="B15" s="3">
        <f>3000/46.28</f>
        <v>64.822817631806387</v>
      </c>
      <c r="C15" s="3">
        <f>3000/46.79</f>
        <v>64.116264159008338</v>
      </c>
      <c r="D15" s="3">
        <f>3000/46.88</f>
        <v>63.993174061433443</v>
      </c>
      <c r="E15" s="3">
        <f t="shared" si="0"/>
        <v>64.310751950749392</v>
      </c>
      <c r="F15" s="3">
        <f t="shared" si="1"/>
        <v>0.77470000000000006</v>
      </c>
      <c r="G15" s="3">
        <f t="shared" si="2"/>
        <v>0.47136423428577501</v>
      </c>
      <c r="H15" s="3">
        <f t="shared" si="3"/>
        <v>136.43536626870926</v>
      </c>
      <c r="I15" s="3">
        <v>1.8</v>
      </c>
      <c r="J15" s="3">
        <v>7.5300000000000006E-2</v>
      </c>
      <c r="K15" s="3">
        <f t="shared" si="4"/>
        <v>1403.6716898853795</v>
      </c>
    </row>
    <row r="16" spans="1:11">
      <c r="A16" s="3">
        <v>18</v>
      </c>
      <c r="B16" s="3">
        <f>3000/43.83</f>
        <v>68.446269678302542</v>
      </c>
      <c r="C16" s="3">
        <f>3000/43.59</f>
        <v>68.823124569855466</v>
      </c>
      <c r="D16" s="3">
        <f>3000/43.73</f>
        <v>68.602789846787104</v>
      </c>
      <c r="E16" s="3">
        <f t="shared" si="0"/>
        <v>68.624061364981699</v>
      </c>
      <c r="F16" s="3">
        <f t="shared" si="1"/>
        <v>0.77470000000000006</v>
      </c>
      <c r="G16" s="3">
        <f t="shared" si="2"/>
        <v>0.47136423428577501</v>
      </c>
      <c r="H16" s="3">
        <f t="shared" si="3"/>
        <v>145.58605930075052</v>
      </c>
      <c r="I16" s="3">
        <v>1.8</v>
      </c>
      <c r="J16" s="3">
        <v>7.5300000000000006E-2</v>
      </c>
      <c r="K16" s="3">
        <f t="shared" si="4"/>
        <v>1497.8156725138303</v>
      </c>
    </row>
  </sheetData>
  <pageMargins left="0.7" right="0.7" top="0.75" bottom="0.75" header="0" footer="0"/>
  <pageSetup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K16"/>
  <sheetViews>
    <sheetView workbookViewId="0"/>
  </sheetViews>
  <sheetFormatPr defaultColWidth="11.33203125" defaultRowHeight="15" customHeight="1"/>
  <cols>
    <col min="1" max="26" width="7" customWidth="1"/>
  </cols>
  <sheetData>
    <row r="1" spans="1:11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</row>
    <row r="2" spans="1:11">
      <c r="A2" s="3">
        <v>0</v>
      </c>
      <c r="B2" s="3"/>
      <c r="C2" s="3"/>
      <c r="D2" s="3"/>
      <c r="E2" s="3">
        <f t="shared" ref="E2:E16" si="0">(B2+C2+D2)/3</f>
        <v>0</v>
      </c>
      <c r="F2" s="3">
        <v>0.63754</v>
      </c>
      <c r="G2" s="3">
        <f t="shared" ref="G2:G16" si="1">3.14159*(F2/2)^2</f>
        <v>0.31923050926351099</v>
      </c>
      <c r="H2" s="3">
        <f t="shared" ref="H2:H16" si="2">E2/G2</f>
        <v>0</v>
      </c>
      <c r="I2" s="3">
        <v>2</v>
      </c>
      <c r="J2" s="3">
        <v>7.5300000000000006E-2</v>
      </c>
      <c r="K2" s="3">
        <f t="shared" ref="K2:K16" si="3">H2*F2/J2</f>
        <v>0</v>
      </c>
    </row>
    <row r="3" spans="1:11">
      <c r="A3" s="3">
        <v>1</v>
      </c>
      <c r="B3" s="3">
        <f>500/52.78</f>
        <v>9.4732853353543014</v>
      </c>
      <c r="C3" s="3">
        <f>500/56.57</f>
        <v>8.8386070355312008</v>
      </c>
      <c r="D3" s="3">
        <f>500/55.64</f>
        <v>8.9863407620416957</v>
      </c>
      <c r="E3" s="3">
        <f t="shared" si="0"/>
        <v>9.0994110443090666</v>
      </c>
      <c r="F3" s="3">
        <v>0.63754</v>
      </c>
      <c r="G3" s="3">
        <f t="shared" si="1"/>
        <v>0.31923050926351099</v>
      </c>
      <c r="H3" s="3">
        <f t="shared" si="2"/>
        <v>28.504202387491404</v>
      </c>
      <c r="I3" s="3">
        <v>2</v>
      </c>
      <c r="J3" s="3">
        <v>7.5300000000000006E-2</v>
      </c>
      <c r="K3" s="3">
        <f t="shared" si="3"/>
        <v>241.33558021409385</v>
      </c>
    </row>
    <row r="4" spans="1:11">
      <c r="A4" s="3">
        <v>2</v>
      </c>
      <c r="B4" s="3">
        <f>500/39.59</f>
        <v>12.629451881788329</v>
      </c>
      <c r="C4" s="3">
        <f>500/36.83</f>
        <v>13.57588922074396</v>
      </c>
      <c r="D4" s="3">
        <f>500/37.12</f>
        <v>13.469827586206897</v>
      </c>
      <c r="E4" s="3">
        <f t="shared" si="0"/>
        <v>13.225056229579728</v>
      </c>
      <c r="F4" s="3">
        <v>0.63754</v>
      </c>
      <c r="G4" s="3">
        <f t="shared" si="1"/>
        <v>0.31923050926351099</v>
      </c>
      <c r="H4" s="3">
        <f t="shared" si="2"/>
        <v>41.427920721271086</v>
      </c>
      <c r="I4" s="3">
        <v>2</v>
      </c>
      <c r="J4" s="3">
        <v>7.5300000000000006E-2</v>
      </c>
      <c r="K4" s="3">
        <f t="shared" si="3"/>
        <v>350.75639544009516</v>
      </c>
    </row>
    <row r="5" spans="1:11">
      <c r="A5" s="3">
        <v>3</v>
      </c>
      <c r="B5" s="5">
        <f>750/46.39</f>
        <v>16.167277430480706</v>
      </c>
      <c r="C5" s="5">
        <f>750/46.53</f>
        <v>16.118633139909736</v>
      </c>
      <c r="D5" s="5">
        <f>750/46.02</f>
        <v>16.297262059973924</v>
      </c>
      <c r="E5" s="3">
        <f t="shared" si="0"/>
        <v>16.194390876788123</v>
      </c>
      <c r="F5" s="3">
        <v>0.63754</v>
      </c>
      <c r="G5" s="3">
        <f t="shared" si="1"/>
        <v>0.31923050926351099</v>
      </c>
      <c r="H5" s="3">
        <f t="shared" si="2"/>
        <v>50.729458516198257</v>
      </c>
      <c r="I5" s="3">
        <v>2</v>
      </c>
      <c r="J5" s="3">
        <v>7.5300000000000006E-2</v>
      </c>
      <c r="K5" s="3">
        <f t="shared" si="3"/>
        <v>429.50941543714521</v>
      </c>
    </row>
    <row r="6" spans="1:11">
      <c r="A6" s="3">
        <v>4</v>
      </c>
      <c r="B6" s="3">
        <f>1000/50.77</f>
        <v>19.696671262556627</v>
      </c>
      <c r="C6" s="3">
        <f>1000/51.2</f>
        <v>19.53125</v>
      </c>
      <c r="D6" s="3">
        <f>1000/51.02</f>
        <v>19.600156801254411</v>
      </c>
      <c r="E6" s="3">
        <f t="shared" si="0"/>
        <v>19.609359354603679</v>
      </c>
      <c r="F6" s="3">
        <v>0.63754</v>
      </c>
      <c r="G6" s="3">
        <f t="shared" si="1"/>
        <v>0.31923050926351099</v>
      </c>
      <c r="H6" s="3">
        <f t="shared" si="2"/>
        <v>61.426958845017538</v>
      </c>
      <c r="I6" s="3">
        <v>2</v>
      </c>
      <c r="J6" s="3">
        <v>7.5300000000000006E-2</v>
      </c>
      <c r="K6" s="3">
        <f t="shared" si="3"/>
        <v>520.0815848878151</v>
      </c>
    </row>
    <row r="7" spans="1:11">
      <c r="A7" s="3">
        <v>5</v>
      </c>
      <c r="B7" s="3">
        <f>1000/45.33</f>
        <v>22.060445621001545</v>
      </c>
      <c r="C7" s="3">
        <f>1000/45.01</f>
        <v>22.217285047767163</v>
      </c>
      <c r="D7" s="3">
        <f>1000/45.14</f>
        <v>22.15330084182543</v>
      </c>
      <c r="E7" s="3">
        <f t="shared" si="0"/>
        <v>22.143677170198046</v>
      </c>
      <c r="F7" s="3">
        <v>0.63754</v>
      </c>
      <c r="G7" s="3">
        <f t="shared" si="1"/>
        <v>0.31923050926351099</v>
      </c>
      <c r="H7" s="3">
        <f t="shared" si="2"/>
        <v>69.365792202271606</v>
      </c>
      <c r="I7" s="3">
        <v>2</v>
      </c>
      <c r="J7" s="3">
        <v>7.5300000000000006E-2</v>
      </c>
      <c r="K7" s="3">
        <f t="shared" si="3"/>
        <v>587.29704064589953</v>
      </c>
    </row>
    <row r="8" spans="1:11">
      <c r="A8" s="3">
        <v>6</v>
      </c>
      <c r="B8" s="3">
        <f>1000/41.09</f>
        <v>24.336821611097587</v>
      </c>
      <c r="C8" s="3">
        <f>1000/40.88</f>
        <v>24.461839530332679</v>
      </c>
      <c r="D8" s="3">
        <f>1000/40.94</f>
        <v>24.42598925256473</v>
      </c>
      <c r="E8" s="3">
        <f t="shared" si="0"/>
        <v>24.408216797998332</v>
      </c>
      <c r="F8" s="3">
        <v>0.63754</v>
      </c>
      <c r="G8" s="3">
        <f t="shared" si="1"/>
        <v>0.31923050926351099</v>
      </c>
      <c r="H8" s="3">
        <f t="shared" si="2"/>
        <v>76.459536572209032</v>
      </c>
      <c r="I8" s="3">
        <v>2</v>
      </c>
      <c r="J8" s="3">
        <v>7.5300000000000006E-2</v>
      </c>
      <c r="K8" s="3">
        <f t="shared" si="3"/>
        <v>647.35740964470313</v>
      </c>
    </row>
    <row r="9" spans="1:11">
      <c r="A9" s="3">
        <v>7</v>
      </c>
      <c r="B9" s="3">
        <f>1000/36.37</f>
        <v>27.495188342040144</v>
      </c>
      <c r="C9" s="3">
        <f>1000/36.78</f>
        <v>27.188689505165851</v>
      </c>
      <c r="D9" s="3">
        <f>1000/36.93</f>
        <v>27.078256160303276</v>
      </c>
      <c r="E9" s="3">
        <f t="shared" si="0"/>
        <v>27.254044669169758</v>
      </c>
      <c r="F9" s="3">
        <v>0.63754</v>
      </c>
      <c r="G9" s="3">
        <f t="shared" si="1"/>
        <v>0.31923050926351099</v>
      </c>
      <c r="H9" s="3">
        <f t="shared" si="2"/>
        <v>85.374185356051669</v>
      </c>
      <c r="I9" s="3">
        <v>2</v>
      </c>
      <c r="J9" s="3">
        <v>7.5300000000000006E-2</v>
      </c>
      <c r="K9" s="3">
        <f t="shared" si="3"/>
        <v>722.83476934790406</v>
      </c>
    </row>
    <row r="10" spans="1:11">
      <c r="A10" s="3">
        <v>8</v>
      </c>
      <c r="B10" s="3">
        <f>1000/34.28</f>
        <v>29.171528588098017</v>
      </c>
      <c r="C10" s="3">
        <f>1000/33.83</f>
        <v>29.559562518474728</v>
      </c>
      <c r="D10" s="3">
        <f>1000/33.69</f>
        <v>29.682398337785695</v>
      </c>
      <c r="E10" s="3">
        <f t="shared" si="0"/>
        <v>29.471163148119484</v>
      </c>
      <c r="F10" s="3">
        <v>0.63754</v>
      </c>
      <c r="G10" s="3">
        <f t="shared" si="1"/>
        <v>0.31923050926351099</v>
      </c>
      <c r="H10" s="3">
        <f t="shared" si="2"/>
        <v>92.319381427895763</v>
      </c>
      <c r="I10" s="3">
        <v>2</v>
      </c>
      <c r="J10" s="3">
        <v>7.5300000000000006E-2</v>
      </c>
      <c r="K10" s="3">
        <f t="shared" si="3"/>
        <v>781.63742942285069</v>
      </c>
    </row>
    <row r="11" spans="1:11">
      <c r="A11" s="3">
        <v>9</v>
      </c>
      <c r="B11" s="3">
        <f>1500/47.37</f>
        <v>31.665611146295124</v>
      </c>
      <c r="C11" s="3">
        <f>1500/47.52</f>
        <v>31.565656565656564</v>
      </c>
      <c r="D11" s="3">
        <f>1500/47.78</f>
        <v>31.393888656341566</v>
      </c>
      <c r="E11" s="3">
        <f t="shared" si="0"/>
        <v>31.541718789431087</v>
      </c>
      <c r="F11" s="3">
        <v>0.63754</v>
      </c>
      <c r="G11" s="3">
        <f t="shared" si="1"/>
        <v>0.31923050926351099</v>
      </c>
      <c r="H11" s="3">
        <f t="shared" si="2"/>
        <v>98.805464622414149</v>
      </c>
      <c r="I11" s="3">
        <v>2</v>
      </c>
      <c r="J11" s="3">
        <v>7.5300000000000006E-2</v>
      </c>
      <c r="K11" s="3">
        <f t="shared" si="3"/>
        <v>836.55293380310638</v>
      </c>
    </row>
    <row r="12" spans="1:11">
      <c r="A12" s="3">
        <v>10</v>
      </c>
      <c r="B12" s="3">
        <f>1500/44.73</f>
        <v>33.5345405767941</v>
      </c>
      <c r="C12" s="3">
        <f>1500/45.39</f>
        <v>33.046926635822871</v>
      </c>
      <c r="D12" s="3">
        <f>1500/45.12</f>
        <v>33.244680851063833</v>
      </c>
      <c r="E12" s="3">
        <f t="shared" si="0"/>
        <v>33.275382687893604</v>
      </c>
      <c r="F12" s="3">
        <v>0.63754</v>
      </c>
      <c r="G12" s="3">
        <f t="shared" si="1"/>
        <v>0.31923050926351099</v>
      </c>
      <c r="H12" s="3">
        <f t="shared" si="2"/>
        <v>104.23622342570714</v>
      </c>
      <c r="I12" s="3">
        <v>2</v>
      </c>
      <c r="J12" s="3">
        <v>7.5300000000000006E-2</v>
      </c>
      <c r="K12" s="3">
        <f t="shared" si="3"/>
        <v>882.53335833765368</v>
      </c>
    </row>
    <row r="13" spans="1:11">
      <c r="A13" s="3">
        <v>12</v>
      </c>
      <c r="B13" s="3">
        <f>1500/40.31</f>
        <v>37.211610022326965</v>
      </c>
      <c r="C13" s="3">
        <f>1500/40.51</f>
        <v>37.027894347074799</v>
      </c>
      <c r="D13" s="3">
        <f>1500/40.33</f>
        <v>37.193156459211508</v>
      </c>
      <c r="E13" s="3">
        <f t="shared" si="0"/>
        <v>37.144220276204429</v>
      </c>
      <c r="F13" s="3">
        <v>0.63754</v>
      </c>
      <c r="G13" s="3">
        <f t="shared" si="1"/>
        <v>0.31923050926351099</v>
      </c>
      <c r="H13" s="3">
        <f t="shared" si="2"/>
        <v>116.35548357172679</v>
      </c>
      <c r="I13" s="3">
        <v>2</v>
      </c>
      <c r="J13" s="3">
        <v>7.5300000000000006E-2</v>
      </c>
      <c r="K13" s="3">
        <f t="shared" si="3"/>
        <v>985.14309424062014</v>
      </c>
    </row>
    <row r="14" spans="1:11">
      <c r="A14" s="3">
        <v>14</v>
      </c>
      <c r="B14" s="3">
        <f>1500/36.99</f>
        <v>40.551500405515</v>
      </c>
      <c r="C14" s="3">
        <f>1500/39.53</f>
        <v>37.945863900834809</v>
      </c>
      <c r="D14" s="3">
        <f>1500/36.95</f>
        <v>40.59539918809201</v>
      </c>
      <c r="E14" s="3">
        <f t="shared" si="0"/>
        <v>39.697587831480604</v>
      </c>
      <c r="F14" s="3">
        <v>0.63754</v>
      </c>
      <c r="G14" s="3">
        <f t="shared" si="1"/>
        <v>0.31923050926351099</v>
      </c>
      <c r="H14" s="3">
        <f t="shared" si="2"/>
        <v>124.35399086091725</v>
      </c>
      <c r="I14" s="3">
        <v>2</v>
      </c>
      <c r="J14" s="3">
        <v>7.5300000000000006E-2</v>
      </c>
      <c r="K14" s="3">
        <f t="shared" si="3"/>
        <v>1052.8637892890993</v>
      </c>
    </row>
    <row r="15" spans="1:11">
      <c r="A15" s="3">
        <v>16</v>
      </c>
      <c r="B15" s="3">
        <f>2000/46.43</f>
        <v>43.075597673917727</v>
      </c>
      <c r="C15" s="3">
        <f>2000/46.26</f>
        <v>43.233895373973198</v>
      </c>
      <c r="D15" s="3">
        <f>2000/46.28</f>
        <v>43.215211754537599</v>
      </c>
      <c r="E15" s="3">
        <f t="shared" si="0"/>
        <v>43.174901600809505</v>
      </c>
      <c r="F15" s="3">
        <v>0.63754</v>
      </c>
      <c r="G15" s="3">
        <f t="shared" si="1"/>
        <v>0.31923050926351099</v>
      </c>
      <c r="H15" s="3">
        <f t="shared" si="2"/>
        <v>135.24678985231481</v>
      </c>
      <c r="I15" s="3">
        <v>2</v>
      </c>
      <c r="J15" s="3">
        <v>7.5300000000000006E-2</v>
      </c>
      <c r="K15" s="3">
        <f t="shared" si="3"/>
        <v>1145.0894874162652</v>
      </c>
    </row>
    <row r="16" spans="1:11">
      <c r="A16" s="3">
        <v>18</v>
      </c>
      <c r="B16" s="3">
        <f>3000/67.09</f>
        <v>44.716053063049635</v>
      </c>
      <c r="C16" s="3">
        <f>2000/43.29</f>
        <v>46.200046200046202</v>
      </c>
      <c r="D16" s="3">
        <f>2000/43.59</f>
        <v>45.882083046570308</v>
      </c>
      <c r="E16" s="3">
        <f t="shared" si="0"/>
        <v>45.599394103222046</v>
      </c>
      <c r="F16" s="3">
        <v>0.63754</v>
      </c>
      <c r="G16" s="3">
        <f t="shared" si="1"/>
        <v>0.31923050926351099</v>
      </c>
      <c r="H16" s="3">
        <f t="shared" si="2"/>
        <v>142.8415918278717</v>
      </c>
      <c r="I16" s="3">
        <v>2</v>
      </c>
      <c r="J16" s="3">
        <v>7.5300000000000006E-2</v>
      </c>
      <c r="K16" s="3">
        <f t="shared" si="3"/>
        <v>1209.3921441426469</v>
      </c>
    </row>
  </sheetData>
  <pageMargins left="0.7" right="0.7" top="0.75" bottom="0.75" header="0" footer="0"/>
  <pageSetup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K17"/>
  <sheetViews>
    <sheetView workbookViewId="0"/>
  </sheetViews>
  <sheetFormatPr defaultColWidth="11.33203125" defaultRowHeight="15" customHeight="1"/>
  <cols>
    <col min="1" max="1" width="7" customWidth="1"/>
    <col min="2" max="4" width="9.6640625" customWidth="1"/>
    <col min="5" max="26" width="7" customWidth="1"/>
  </cols>
  <sheetData>
    <row r="1" spans="1:11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</row>
    <row r="2" spans="1:11">
      <c r="A2" s="3">
        <v>0</v>
      </c>
      <c r="B2" s="3"/>
      <c r="C2" s="3"/>
      <c r="D2" s="3"/>
      <c r="E2" s="3">
        <f t="shared" ref="E2:E17" si="0">(B2+C2+D2)/3</f>
        <v>0</v>
      </c>
      <c r="F2" s="3">
        <v>0.50546000000000002</v>
      </c>
      <c r="G2" s="3">
        <f t="shared" ref="G2:G17" si="1">3.14159*(F2/2)^2</f>
        <v>0.200661059306111</v>
      </c>
      <c r="H2" s="3">
        <f t="shared" ref="H2:H17" si="2">E2/G2</f>
        <v>0</v>
      </c>
      <c r="I2" s="3">
        <v>1.9</v>
      </c>
      <c r="J2" s="3">
        <v>7.5300000000000006E-2</v>
      </c>
      <c r="K2" s="3">
        <f t="shared" ref="K2:K17" si="3">H2*F2/J2</f>
        <v>0</v>
      </c>
    </row>
    <row r="3" spans="1:11">
      <c r="A3" s="3">
        <v>1</v>
      </c>
      <c r="B3" s="3">
        <f>500/112.25</f>
        <v>4.4543429844097995</v>
      </c>
      <c r="C3" s="3">
        <f>500/111.84</f>
        <v>4.4706723891273246</v>
      </c>
      <c r="D3" s="3">
        <f>500/116.5</f>
        <v>4.2918454935622314</v>
      </c>
      <c r="E3" s="3">
        <f t="shared" si="0"/>
        <v>4.4056202890331191</v>
      </c>
      <c r="F3" s="3">
        <v>0.50546000000000002</v>
      </c>
      <c r="G3" s="3">
        <f t="shared" si="1"/>
        <v>0.200661059306111</v>
      </c>
      <c r="H3" s="3">
        <f t="shared" si="2"/>
        <v>21.955531901744269</v>
      </c>
      <c r="I3" s="3">
        <v>1.9</v>
      </c>
      <c r="J3" s="3">
        <v>7.5300000000000006E-2</v>
      </c>
      <c r="K3" s="3">
        <f t="shared" si="3"/>
        <v>147.37905916408576</v>
      </c>
    </row>
    <row r="4" spans="1:11">
      <c r="A4" s="3">
        <v>2</v>
      </c>
      <c r="B4" s="3">
        <f>500/69.53</f>
        <v>7.1911405148856611</v>
      </c>
      <c r="C4" s="3">
        <f>500/67.53</f>
        <v>7.4041166888790162</v>
      </c>
      <c r="D4" s="3">
        <f>500/71.75</f>
        <v>6.968641114982578</v>
      </c>
      <c r="E4" s="3">
        <f t="shared" si="0"/>
        <v>7.1879661062490854</v>
      </c>
      <c r="F4" s="3">
        <v>0.50546000000000002</v>
      </c>
      <c r="G4" s="3">
        <f t="shared" si="1"/>
        <v>0.200661059306111</v>
      </c>
      <c r="H4" s="3">
        <f t="shared" si="2"/>
        <v>35.82143008267365</v>
      </c>
      <c r="I4" s="3">
        <v>1.9</v>
      </c>
      <c r="J4" s="3">
        <v>7.5300000000000006E-2</v>
      </c>
      <c r="K4" s="3">
        <f t="shared" si="3"/>
        <v>240.45551194672274</v>
      </c>
    </row>
    <row r="5" spans="1:11">
      <c r="A5" s="3">
        <v>3</v>
      </c>
      <c r="B5" s="5">
        <f>500/53.52</f>
        <v>9.3423019431988035</v>
      </c>
      <c r="C5" s="5">
        <f>500/53.57</f>
        <v>9.3335822288594361</v>
      </c>
      <c r="D5" s="5">
        <f>500/55.69</f>
        <v>8.9782725803555401</v>
      </c>
      <c r="E5" s="3">
        <f t="shared" si="0"/>
        <v>9.2180522508045932</v>
      </c>
      <c r="F5" s="3">
        <v>0.50546000000000002</v>
      </c>
      <c r="G5" s="3">
        <f t="shared" si="1"/>
        <v>0.200661059306111</v>
      </c>
      <c r="H5" s="3">
        <f t="shared" si="2"/>
        <v>45.938421149976776</v>
      </c>
      <c r="I5" s="3">
        <v>1.9</v>
      </c>
      <c r="J5" s="3">
        <v>7.5300000000000006E-2</v>
      </c>
      <c r="K5" s="3">
        <f t="shared" si="3"/>
        <v>308.3669900991668</v>
      </c>
    </row>
    <row r="6" spans="1:11">
      <c r="A6" s="3">
        <v>4</v>
      </c>
      <c r="B6" s="3">
        <f>500/45.53</f>
        <v>10.981770261366131</v>
      </c>
      <c r="C6" s="3">
        <f>500/44.22</f>
        <v>11.307100859339666</v>
      </c>
      <c r="D6" s="3">
        <f>500/47.09</f>
        <v>10.617965597791462</v>
      </c>
      <c r="E6" s="3">
        <f t="shared" si="0"/>
        <v>10.968945572832419</v>
      </c>
      <c r="F6" s="3">
        <v>0.50546000000000002</v>
      </c>
      <c r="G6" s="3">
        <f t="shared" si="1"/>
        <v>0.200661059306111</v>
      </c>
      <c r="H6" s="3">
        <f t="shared" si="2"/>
        <v>54.664046979335204</v>
      </c>
      <c r="I6" s="3">
        <v>1.9</v>
      </c>
      <c r="J6" s="3">
        <v>7.5300000000000006E-2</v>
      </c>
      <c r="K6" s="3">
        <f t="shared" si="3"/>
        <v>366.93876741267957</v>
      </c>
    </row>
    <row r="7" spans="1:11">
      <c r="A7" s="3">
        <v>5</v>
      </c>
      <c r="B7" s="3">
        <f>500/39.5</f>
        <v>12.658227848101266</v>
      </c>
      <c r="C7" s="3">
        <f>500/40.12</f>
        <v>12.462612163509473</v>
      </c>
      <c r="D7" s="3">
        <f>500/40.82</f>
        <v>12.24889759921607</v>
      </c>
      <c r="E7" s="3">
        <f t="shared" si="0"/>
        <v>12.456579203608937</v>
      </c>
      <c r="F7" s="3">
        <v>0.50546000000000002</v>
      </c>
      <c r="G7" s="3">
        <f t="shared" si="1"/>
        <v>0.200661059306111</v>
      </c>
      <c r="H7" s="3">
        <f t="shared" si="2"/>
        <v>62.077710775992003</v>
      </c>
      <c r="I7" s="3">
        <v>1.9</v>
      </c>
      <c r="J7" s="3">
        <v>7.5300000000000006E-2</v>
      </c>
      <c r="K7" s="3">
        <f t="shared" si="3"/>
        <v>416.70384712925522</v>
      </c>
    </row>
    <row r="8" spans="1:11">
      <c r="A8" s="3">
        <v>6</v>
      </c>
      <c r="B8" s="3">
        <f>600/43.26</f>
        <v>13.869625520110958</v>
      </c>
      <c r="C8" s="3">
        <f>900/60.36</f>
        <v>14.910536779324056</v>
      </c>
      <c r="D8" s="3">
        <f>1200/83.86</f>
        <v>14.309563558311472</v>
      </c>
      <c r="E8" s="3">
        <f t="shared" si="0"/>
        <v>14.363241952582163</v>
      </c>
      <c r="F8" s="3">
        <v>0.50546000000000002</v>
      </c>
      <c r="G8" s="3">
        <f t="shared" si="1"/>
        <v>0.200661059306111</v>
      </c>
      <c r="H8" s="3">
        <f t="shared" si="2"/>
        <v>71.579617900206813</v>
      </c>
      <c r="I8" s="3">
        <v>1.9</v>
      </c>
      <c r="J8" s="3">
        <v>7.5300000000000006E-2</v>
      </c>
      <c r="K8" s="3">
        <f t="shared" si="3"/>
        <v>480.48650283982113</v>
      </c>
    </row>
    <row r="9" spans="1:11">
      <c r="A9" s="3">
        <v>7</v>
      </c>
      <c r="B9" s="3">
        <f>600/38.68</f>
        <v>15.511892450879007</v>
      </c>
      <c r="C9" s="3">
        <f>700/44.51</f>
        <v>15.726802965625703</v>
      </c>
      <c r="D9" s="3">
        <f>500/33.01</f>
        <v>15.14692517418964</v>
      </c>
      <c r="E9" s="3">
        <f t="shared" si="0"/>
        <v>15.461873530231451</v>
      </c>
      <c r="F9" s="3">
        <v>0.50546000000000002</v>
      </c>
      <c r="G9" s="3">
        <f t="shared" si="1"/>
        <v>0.200661059306111</v>
      </c>
      <c r="H9" s="3">
        <f t="shared" si="2"/>
        <v>77.054679087705637</v>
      </c>
      <c r="I9" s="3">
        <v>1.9</v>
      </c>
      <c r="J9" s="3">
        <v>7.5300000000000006E-2</v>
      </c>
      <c r="K9" s="3">
        <f t="shared" si="3"/>
        <v>517.23848727319637</v>
      </c>
    </row>
    <row r="10" spans="1:11">
      <c r="A10" s="3">
        <v>8</v>
      </c>
      <c r="B10" s="3">
        <f>600/36.51</f>
        <v>16.433853738701725</v>
      </c>
      <c r="C10" s="3">
        <f>600/35.23</f>
        <v>17.030939540164635</v>
      </c>
      <c r="D10" s="3">
        <f>600/35.76</f>
        <v>16.778523489932887</v>
      </c>
      <c r="E10" s="3">
        <f t="shared" si="0"/>
        <v>16.747772256266416</v>
      </c>
      <c r="F10" s="3">
        <v>0.50546000000000002</v>
      </c>
      <c r="G10" s="3">
        <f t="shared" si="1"/>
        <v>0.200661059306111</v>
      </c>
      <c r="H10" s="3">
        <f t="shared" si="2"/>
        <v>83.462991345607705</v>
      </c>
      <c r="I10" s="3">
        <v>1.9</v>
      </c>
      <c r="J10" s="3">
        <v>7.5300000000000006E-2</v>
      </c>
      <c r="K10" s="3">
        <f t="shared" si="3"/>
        <v>560.2550279621629</v>
      </c>
    </row>
    <row r="11" spans="1:11">
      <c r="A11" s="3">
        <v>9</v>
      </c>
      <c r="B11" s="3">
        <f>600/33.54</f>
        <v>17.889087656529519</v>
      </c>
      <c r="C11" s="3">
        <f>600/32.65</f>
        <v>18.376722817764165</v>
      </c>
      <c r="D11" s="3">
        <f>600/34.05</f>
        <v>17.621145374449341</v>
      </c>
      <c r="E11" s="3">
        <f t="shared" si="0"/>
        <v>17.962318616247675</v>
      </c>
      <c r="F11" s="3">
        <v>0.50546000000000002</v>
      </c>
      <c r="G11" s="3">
        <f t="shared" si="1"/>
        <v>0.200661059306111</v>
      </c>
      <c r="H11" s="3">
        <f t="shared" si="2"/>
        <v>89.515717092103699</v>
      </c>
      <c r="I11" s="3">
        <v>1.9</v>
      </c>
      <c r="J11" s="3">
        <v>7.5300000000000006E-2</v>
      </c>
      <c r="K11" s="3">
        <f t="shared" si="3"/>
        <v>600.88465287350243</v>
      </c>
    </row>
    <row r="12" spans="1:11">
      <c r="A12" s="3">
        <v>10</v>
      </c>
      <c r="B12" s="3">
        <f>800/37.82</f>
        <v>21.152829190904285</v>
      </c>
      <c r="C12" s="3">
        <f>800/37.52</f>
        <v>21.321961620469082</v>
      </c>
      <c r="D12" s="3">
        <f>800/36.91</f>
        <v>21.674342996477922</v>
      </c>
      <c r="E12" s="3">
        <f t="shared" si="0"/>
        <v>21.383044602617094</v>
      </c>
      <c r="F12" s="3">
        <v>0.50546000000000002</v>
      </c>
      <c r="G12" s="3">
        <f t="shared" si="1"/>
        <v>0.200661059306111</v>
      </c>
      <c r="H12" s="3">
        <f t="shared" si="2"/>
        <v>106.56300069659747</v>
      </c>
      <c r="I12" s="3">
        <v>1.9</v>
      </c>
      <c r="J12" s="3">
        <v>7.5300000000000006E-2</v>
      </c>
      <c r="K12" s="3">
        <f t="shared" si="3"/>
        <v>715.31652499471659</v>
      </c>
    </row>
    <row r="13" spans="1:11">
      <c r="A13" s="3">
        <v>12</v>
      </c>
      <c r="B13" s="3">
        <f>1000/42.69</f>
        <v>23.424689622862498</v>
      </c>
      <c r="C13" s="3">
        <f>1000/42.44</f>
        <v>23.562676720075402</v>
      </c>
      <c r="D13" s="3">
        <f>1000/42.13</f>
        <v>23.736055067647754</v>
      </c>
      <c r="E13" s="3">
        <f t="shared" si="0"/>
        <v>23.574473803528551</v>
      </c>
      <c r="F13" s="3">
        <v>0.50546000000000002</v>
      </c>
      <c r="G13" s="3">
        <f t="shared" si="1"/>
        <v>0.200661059306111</v>
      </c>
      <c r="H13" s="3">
        <f t="shared" si="2"/>
        <v>117.48404939677604</v>
      </c>
      <c r="I13" s="3">
        <v>1.9</v>
      </c>
      <c r="J13" s="3">
        <v>7.5300000000000006E-2</v>
      </c>
      <c r="K13" s="3">
        <f t="shared" si="3"/>
        <v>788.62533344082885</v>
      </c>
    </row>
    <row r="14" spans="1:11">
      <c r="A14" s="3">
        <v>14</v>
      </c>
      <c r="B14" s="3">
        <f>1000/39.87</f>
        <v>25.081514923501381</v>
      </c>
      <c r="C14" s="3">
        <f>1000/38.96</f>
        <v>25.66735112936345</v>
      </c>
      <c r="D14" s="3">
        <f>1000/39.97</f>
        <v>25.018764073054793</v>
      </c>
      <c r="E14" s="3">
        <f t="shared" si="0"/>
        <v>25.255876708639875</v>
      </c>
      <c r="F14" s="3">
        <v>0.50546000000000002</v>
      </c>
      <c r="G14" s="3">
        <f t="shared" si="1"/>
        <v>0.200661059306111</v>
      </c>
      <c r="H14" s="3">
        <f t="shared" si="2"/>
        <v>125.86336779031807</v>
      </c>
      <c r="I14" s="3">
        <v>1.9</v>
      </c>
      <c r="J14" s="3">
        <v>7.5300000000000006E-2</v>
      </c>
      <c r="K14" s="3">
        <f t="shared" si="3"/>
        <v>844.87248184985617</v>
      </c>
    </row>
    <row r="15" spans="1:11">
      <c r="A15" s="3">
        <v>16</v>
      </c>
      <c r="B15" s="3">
        <f>1000/36.94</f>
        <v>27.070925825663238</v>
      </c>
      <c r="C15" s="3">
        <f>1000/37.06</f>
        <v>26.98327037236913</v>
      </c>
      <c r="D15" s="3">
        <f>1000/37.7</f>
        <v>26.525198938992041</v>
      </c>
      <c r="E15" s="3">
        <f t="shared" si="0"/>
        <v>26.85979837900814</v>
      </c>
      <c r="F15" s="3">
        <v>0.50546000000000002</v>
      </c>
      <c r="G15" s="3">
        <f t="shared" si="1"/>
        <v>0.200661059306111</v>
      </c>
      <c r="H15" s="3">
        <f t="shared" si="2"/>
        <v>133.85655628396327</v>
      </c>
      <c r="I15" s="3">
        <v>1.9</v>
      </c>
      <c r="J15" s="3">
        <v>7.5300000000000006E-2</v>
      </c>
      <c r="K15" s="3">
        <f t="shared" si="3"/>
        <v>898.52768843681361</v>
      </c>
    </row>
    <row r="16" spans="1:11">
      <c r="A16" s="3">
        <v>18</v>
      </c>
      <c r="B16" s="3">
        <f>1000/34.97</f>
        <v>28.595939376608523</v>
      </c>
      <c r="C16" s="3">
        <f>1000/34.75</f>
        <v>28.776978417266186</v>
      </c>
      <c r="D16" s="3">
        <f>1000/34.82</f>
        <v>28.719126938541066</v>
      </c>
      <c r="E16" s="3">
        <f t="shared" si="0"/>
        <v>28.697348244138592</v>
      </c>
      <c r="F16" s="3">
        <v>0.50546000000000002</v>
      </c>
      <c r="G16" s="3">
        <f t="shared" si="1"/>
        <v>0.200661059306111</v>
      </c>
      <c r="H16" s="3">
        <f t="shared" si="2"/>
        <v>143.01403741899131</v>
      </c>
      <c r="I16" s="3">
        <v>1.9</v>
      </c>
      <c r="J16" s="3">
        <v>7.5300000000000006E-2</v>
      </c>
      <c r="K16" s="3">
        <f t="shared" si="3"/>
        <v>959.99834467202311</v>
      </c>
    </row>
    <row r="17" spans="1:11">
      <c r="A17" s="3">
        <v>20</v>
      </c>
      <c r="B17" s="3">
        <f>1500/50.38</f>
        <v>29.773719730051607</v>
      </c>
      <c r="C17" s="3">
        <f>1500/50.13</f>
        <v>29.922202274087372</v>
      </c>
      <c r="D17" s="3">
        <f>1500/50.21</f>
        <v>29.874526986656043</v>
      </c>
      <c r="E17" s="3">
        <f t="shared" si="0"/>
        <v>29.856816330265008</v>
      </c>
      <c r="F17" s="3">
        <v>0.50546000000000002</v>
      </c>
      <c r="G17" s="3">
        <f t="shared" si="1"/>
        <v>0.200661059306111</v>
      </c>
      <c r="H17" s="3">
        <f t="shared" si="2"/>
        <v>148.79227904761558</v>
      </c>
      <c r="I17" s="3">
        <v>1.9</v>
      </c>
      <c r="J17" s="3">
        <v>7.5300000000000006E-2</v>
      </c>
      <c r="K17" s="3">
        <f t="shared" si="3"/>
        <v>998.78546304658403</v>
      </c>
    </row>
  </sheetData>
  <pageMargins left="0.7" right="0.7" top="0.75" bottom="0.75" header="0" footer="0"/>
  <pageSetup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17"/>
  <sheetViews>
    <sheetView workbookViewId="0"/>
  </sheetViews>
  <sheetFormatPr defaultColWidth="11.33203125" defaultRowHeight="15" customHeight="1"/>
  <cols>
    <col min="1" max="1" width="6.6640625" customWidth="1"/>
    <col min="2" max="6" width="9.6640625" customWidth="1"/>
    <col min="7" max="7" width="17.33203125" customWidth="1"/>
    <col min="8" max="8" width="9.44140625" customWidth="1"/>
    <col min="9" max="9" width="7.88671875" customWidth="1"/>
    <col min="10" max="10" width="8.109375" customWidth="1"/>
    <col min="11" max="11" width="9.6640625" customWidth="1"/>
    <col min="12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14</v>
      </c>
    </row>
    <row r="2" spans="1:12">
      <c r="A2" s="3">
        <v>0</v>
      </c>
      <c r="B2" s="3"/>
      <c r="C2" s="3"/>
      <c r="D2" s="3"/>
      <c r="E2" s="3">
        <f t="shared" ref="E2:E17" si="0">(B2+C2+D2)/3</f>
        <v>0</v>
      </c>
      <c r="F2" s="3">
        <v>0.38100000000000001</v>
      </c>
      <c r="G2" s="3">
        <f t="shared" ref="G2:G17" si="1">3.14159*F2*F2/4</f>
        <v>0.11400908649750001</v>
      </c>
      <c r="H2" s="3">
        <f t="shared" ref="H2:H17" si="2">E2/G2</f>
        <v>0</v>
      </c>
      <c r="I2" s="3">
        <v>1.95</v>
      </c>
      <c r="J2" s="3">
        <v>7.5300000000000006E-2</v>
      </c>
      <c r="K2" s="3">
        <f t="shared" ref="K2:K17" si="3">H2*F2/J2</f>
        <v>0</v>
      </c>
      <c r="L2" s="13"/>
    </row>
    <row r="3" spans="1:12">
      <c r="A3" s="3">
        <v>1</v>
      </c>
      <c r="B3" s="3">
        <f>100/47.31</f>
        <v>2.113718030014796</v>
      </c>
      <c r="C3" s="3">
        <f>100/50.4</f>
        <v>1.9841269841269842</v>
      </c>
      <c r="D3" s="3">
        <f>100/49.18</f>
        <v>2.0333468889792599</v>
      </c>
      <c r="E3" s="3">
        <f t="shared" si="0"/>
        <v>2.0437306343736803</v>
      </c>
      <c r="F3" s="3">
        <v>0.38100000000000001</v>
      </c>
      <c r="G3" s="3">
        <f t="shared" si="1"/>
        <v>0.11400908649750001</v>
      </c>
      <c r="H3" s="3">
        <f t="shared" si="2"/>
        <v>17.926032890531889</v>
      </c>
      <c r="I3" s="3">
        <v>1.95</v>
      </c>
      <c r="J3" s="3">
        <v>7.5300000000000006E-2</v>
      </c>
      <c r="K3" s="3">
        <f t="shared" si="3"/>
        <v>90.701441318627488</v>
      </c>
      <c r="L3" s="13"/>
    </row>
    <row r="4" spans="1:12">
      <c r="A4" s="3">
        <v>2</v>
      </c>
      <c r="B4" s="3">
        <f>200/58.69</f>
        <v>3.4077355597205656</v>
      </c>
      <c r="C4" s="3">
        <f>200/56.94</f>
        <v>3.5124692658939236</v>
      </c>
      <c r="D4" s="3">
        <f>200/58.05</f>
        <v>3.4453057708871664</v>
      </c>
      <c r="E4" s="3">
        <f t="shared" si="0"/>
        <v>3.4551701988338852</v>
      </c>
      <c r="F4" s="3">
        <v>0.38100000000000001</v>
      </c>
      <c r="G4" s="3">
        <f t="shared" si="1"/>
        <v>0.11400908649750001</v>
      </c>
      <c r="H4" s="3">
        <f t="shared" si="2"/>
        <v>30.306094934894951</v>
      </c>
      <c r="I4" s="3">
        <v>1.95</v>
      </c>
      <c r="J4" s="3">
        <v>7.5300000000000006E-2</v>
      </c>
      <c r="K4" s="3">
        <f t="shared" si="3"/>
        <v>153.34159588572345</v>
      </c>
      <c r="L4" s="13"/>
    </row>
    <row r="5" spans="1:12">
      <c r="A5" s="3">
        <v>3</v>
      </c>
      <c r="B5" s="3">
        <f>300/64.15</f>
        <v>4.6765393608729537</v>
      </c>
      <c r="C5" s="3">
        <f>200/43.85</f>
        <v>4.5610034207525656</v>
      </c>
      <c r="D5" s="3">
        <f>200/42.69</f>
        <v>4.6849379245725</v>
      </c>
      <c r="E5" s="3">
        <f t="shared" si="0"/>
        <v>4.6408269020660065</v>
      </c>
      <c r="F5" s="3">
        <v>0.38100000000000001</v>
      </c>
      <c r="G5" s="3">
        <f t="shared" si="1"/>
        <v>0.11400908649750001</v>
      </c>
      <c r="H5" s="3">
        <f t="shared" si="2"/>
        <v>40.70576341446057</v>
      </c>
      <c r="I5" s="3">
        <v>1.95</v>
      </c>
      <c r="J5" s="3">
        <v>7.5300000000000006E-2</v>
      </c>
      <c r="K5" s="3">
        <f t="shared" si="3"/>
        <v>205.96143241579651</v>
      </c>
      <c r="L5" s="13"/>
    </row>
    <row r="6" spans="1:12">
      <c r="A6" s="3">
        <v>4</v>
      </c>
      <c r="B6" s="3">
        <f>300/54.09</f>
        <v>5.5463117027176922</v>
      </c>
      <c r="C6" s="3">
        <f>300/54.04</f>
        <v>5.5514433752775725</v>
      </c>
      <c r="D6" s="3">
        <f>300/53.57</f>
        <v>5.6001493373156617</v>
      </c>
      <c r="E6" s="3">
        <f t="shared" si="0"/>
        <v>5.5659681384369755</v>
      </c>
      <c r="F6" s="3">
        <v>0.38100000000000001</v>
      </c>
      <c r="G6" s="3">
        <f t="shared" si="1"/>
        <v>0.11400908649750001</v>
      </c>
      <c r="H6" s="3">
        <f t="shared" si="2"/>
        <v>48.82039063227672</v>
      </c>
      <c r="I6" s="3">
        <v>1.95</v>
      </c>
      <c r="J6" s="3">
        <v>7.5300000000000006E-2</v>
      </c>
      <c r="K6" s="3">
        <f t="shared" si="3"/>
        <v>247.01950638642003</v>
      </c>
      <c r="L6" s="13"/>
    </row>
    <row r="7" spans="1:12">
      <c r="A7" s="3">
        <v>5</v>
      </c>
      <c r="B7" s="3">
        <f>300/46.65</f>
        <v>6.4308681672025729</v>
      </c>
      <c r="C7" s="3">
        <f>300/46.61</f>
        <v>6.4363870414074231</v>
      </c>
      <c r="D7" s="3">
        <f>300/46.4</f>
        <v>6.4655172413793105</v>
      </c>
      <c r="E7" s="3">
        <f t="shared" si="0"/>
        <v>6.4442574833297686</v>
      </c>
      <c r="F7" s="3">
        <v>0.38100000000000001</v>
      </c>
      <c r="G7" s="3">
        <f t="shared" si="1"/>
        <v>0.11400908649750001</v>
      </c>
      <c r="H7" s="3">
        <f t="shared" si="2"/>
        <v>56.524069101027997</v>
      </c>
      <c r="I7" s="3">
        <v>1.95</v>
      </c>
      <c r="J7" s="3">
        <v>7.5300000000000006E-2</v>
      </c>
      <c r="K7" s="3">
        <f t="shared" si="3"/>
        <v>285.9982779215361</v>
      </c>
      <c r="L7" s="13"/>
    </row>
    <row r="8" spans="1:12">
      <c r="A8" s="3">
        <v>6</v>
      </c>
      <c r="B8" s="3">
        <f>300/41.9</f>
        <v>7.1599045346062056</v>
      </c>
      <c r="C8" s="3">
        <f>300/41.62</f>
        <v>7.2080730418068244</v>
      </c>
      <c r="D8" s="3">
        <f>300/41.26</f>
        <v>7.270964614638876</v>
      </c>
      <c r="E8" s="3">
        <f t="shared" si="0"/>
        <v>7.2129807303506341</v>
      </c>
      <c r="F8" s="3">
        <v>0.38100000000000001</v>
      </c>
      <c r="G8" s="3">
        <f t="shared" si="1"/>
        <v>0.11400908649750001</v>
      </c>
      <c r="H8" s="3">
        <f t="shared" si="2"/>
        <v>63.266718048028572</v>
      </c>
      <c r="I8" s="3">
        <v>1.95</v>
      </c>
      <c r="J8" s="3">
        <v>7.5300000000000006E-2</v>
      </c>
      <c r="K8" s="3">
        <f t="shared" si="3"/>
        <v>320.11446980476609</v>
      </c>
      <c r="L8" s="13"/>
    </row>
    <row r="9" spans="1:12">
      <c r="A9" s="3">
        <v>7</v>
      </c>
      <c r="B9" s="3">
        <f>300/37.9</f>
        <v>7.9155672823219003</v>
      </c>
      <c r="C9" s="3">
        <f>300/38.01</f>
        <v>7.8926598263614842</v>
      </c>
      <c r="D9" s="3">
        <f>300/37.18</f>
        <v>8.0688542227003772</v>
      </c>
      <c r="E9" s="3">
        <f t="shared" si="0"/>
        <v>7.9590271104612542</v>
      </c>
      <c r="F9" s="3">
        <v>0.38100000000000001</v>
      </c>
      <c r="G9" s="3">
        <f t="shared" si="1"/>
        <v>0.11400908649750001</v>
      </c>
      <c r="H9" s="3">
        <f t="shared" si="2"/>
        <v>69.810462963719829</v>
      </c>
      <c r="I9" s="3">
        <v>1.95</v>
      </c>
      <c r="J9" s="3">
        <v>7.5300000000000006E-2</v>
      </c>
      <c r="K9" s="3">
        <f t="shared" si="3"/>
        <v>353.22425483635129</v>
      </c>
      <c r="L9" s="13"/>
    </row>
    <row r="10" spans="1:12">
      <c r="A10" s="3">
        <v>8</v>
      </c>
      <c r="B10" s="3">
        <v>8.8313217539999993</v>
      </c>
      <c r="C10" s="3">
        <v>8.5106382979999999</v>
      </c>
      <c r="D10" s="3">
        <v>8.6405529950000002</v>
      </c>
      <c r="E10" s="3">
        <f t="shared" si="0"/>
        <v>8.660837682333332</v>
      </c>
      <c r="F10" s="3">
        <v>0.38100000000000001</v>
      </c>
      <c r="G10" s="3">
        <f t="shared" si="1"/>
        <v>0.11400908649750001</v>
      </c>
      <c r="H10" s="3">
        <f t="shared" si="2"/>
        <v>75.966205399981405</v>
      </c>
      <c r="I10" s="3">
        <v>1.95</v>
      </c>
      <c r="J10" s="3">
        <v>7.5300000000000006E-2</v>
      </c>
      <c r="K10" s="3">
        <f t="shared" si="3"/>
        <v>384.37084007161906</v>
      </c>
      <c r="L10" s="13"/>
    </row>
    <row r="11" spans="1:12">
      <c r="A11" s="3">
        <v>9</v>
      </c>
      <c r="B11" s="3">
        <f>300/32.13</f>
        <v>9.3370681605975712</v>
      </c>
      <c r="C11" s="3">
        <f>300/32.87</f>
        <v>9.1268634012777614</v>
      </c>
      <c r="D11" s="3">
        <f>300/32.01</f>
        <v>9.3720712277413316</v>
      </c>
      <c r="E11" s="3">
        <f t="shared" si="0"/>
        <v>9.2786675965388881</v>
      </c>
      <c r="F11" s="3">
        <v>0.38100000000000001</v>
      </c>
      <c r="G11" s="3">
        <f t="shared" si="1"/>
        <v>0.11400908649750001</v>
      </c>
      <c r="H11" s="3">
        <f t="shared" si="2"/>
        <v>81.385334113192386</v>
      </c>
      <c r="I11" s="3">
        <v>1.95</v>
      </c>
      <c r="J11" s="3">
        <v>7.5300000000000006E-2</v>
      </c>
      <c r="K11" s="3">
        <f t="shared" si="3"/>
        <v>411.79033595121246</v>
      </c>
      <c r="L11" s="13"/>
    </row>
    <row r="12" spans="1:12">
      <c r="A12" s="3">
        <v>10</v>
      </c>
      <c r="B12" s="3">
        <f>500/51.03</f>
        <v>9.7981579463060946</v>
      </c>
      <c r="C12" s="3">
        <f>500/49.47</f>
        <v>10.107135637760258</v>
      </c>
      <c r="D12" s="3">
        <f>500/52.18</f>
        <v>9.5822154082023765</v>
      </c>
      <c r="E12" s="3">
        <f t="shared" si="0"/>
        <v>9.8291696640895765</v>
      </c>
      <c r="F12" s="3">
        <v>0.38100000000000001</v>
      </c>
      <c r="G12" s="3">
        <f t="shared" si="1"/>
        <v>0.11400908649750001</v>
      </c>
      <c r="H12" s="3">
        <f t="shared" si="2"/>
        <v>86.213914750602882</v>
      </c>
      <c r="I12" s="3">
        <v>1.95</v>
      </c>
      <c r="J12" s="3">
        <v>7.5300000000000006E-2</v>
      </c>
      <c r="K12" s="3">
        <f t="shared" si="3"/>
        <v>436.22179973412614</v>
      </c>
      <c r="L12" s="13"/>
    </row>
    <row r="13" spans="1:12">
      <c r="A13" s="3">
        <v>12</v>
      </c>
      <c r="B13" s="3">
        <f>500/44.9</f>
        <v>11.1358574610245</v>
      </c>
      <c r="C13" s="3">
        <f>500/45.07</f>
        <v>11.093854004881296</v>
      </c>
      <c r="D13" s="3">
        <f>500/46.19</f>
        <v>10.82485386447283</v>
      </c>
      <c r="E13" s="3">
        <f t="shared" si="0"/>
        <v>11.018188443459541</v>
      </c>
      <c r="F13" s="3">
        <v>0.38100000000000001</v>
      </c>
      <c r="G13" s="3">
        <f t="shared" si="1"/>
        <v>0.11400908649750001</v>
      </c>
      <c r="H13" s="3">
        <f t="shared" si="2"/>
        <v>96.643072775617298</v>
      </c>
      <c r="I13" s="3">
        <v>1.95</v>
      </c>
      <c r="J13" s="3">
        <v>7.5300000000000006E-2</v>
      </c>
      <c r="K13" s="3">
        <f t="shared" si="3"/>
        <v>488.99084631487636</v>
      </c>
      <c r="L13" s="13"/>
    </row>
    <row r="14" spans="1:12">
      <c r="A14" s="3">
        <v>14</v>
      </c>
      <c r="B14" s="3">
        <f>500/40.96</f>
        <v>12.20703125</v>
      </c>
      <c r="C14" s="3">
        <f>500/40.86</f>
        <v>12.236906510034263</v>
      </c>
      <c r="D14" s="3">
        <f>500/42.59</f>
        <v>11.739845034045549</v>
      </c>
      <c r="E14" s="3">
        <f t="shared" si="0"/>
        <v>12.061260931359937</v>
      </c>
      <c r="F14" s="3">
        <v>0.38100000000000001</v>
      </c>
      <c r="G14" s="3">
        <f t="shared" si="1"/>
        <v>0.11400908649750001</v>
      </c>
      <c r="H14" s="3">
        <f t="shared" si="2"/>
        <v>105.7921022077869</v>
      </c>
      <c r="I14" s="3">
        <v>1.95</v>
      </c>
      <c r="J14" s="3">
        <v>7.5300000000000006E-2</v>
      </c>
      <c r="K14" s="3">
        <f t="shared" si="3"/>
        <v>535.28274822266678</v>
      </c>
      <c r="L14" s="13"/>
    </row>
    <row r="15" spans="1:12">
      <c r="A15" s="3">
        <v>16</v>
      </c>
      <c r="B15" s="3">
        <f>500/38.21</f>
        <v>13.085579691180319</v>
      </c>
      <c r="C15" s="3">
        <f>500/37.59</f>
        <v>13.301409949454641</v>
      </c>
      <c r="D15" s="3">
        <f>500/39.14</f>
        <v>12.774655084312723</v>
      </c>
      <c r="E15" s="3">
        <f t="shared" si="0"/>
        <v>13.05388157498256</v>
      </c>
      <c r="F15" s="3">
        <v>0.38100000000000001</v>
      </c>
      <c r="G15" s="3">
        <f t="shared" si="1"/>
        <v>0.11400908649750001</v>
      </c>
      <c r="H15" s="3">
        <f t="shared" si="2"/>
        <v>114.49860687436352</v>
      </c>
      <c r="I15" s="3">
        <v>1.95</v>
      </c>
      <c r="J15" s="3">
        <v>7.5300000000000006E-2</v>
      </c>
      <c r="K15" s="3">
        <f t="shared" si="3"/>
        <v>579.33558059936911</v>
      </c>
      <c r="L15" s="13"/>
    </row>
    <row r="16" spans="1:12">
      <c r="A16" s="3">
        <v>18</v>
      </c>
      <c r="B16" s="3">
        <f>500/35.4</f>
        <v>14.124293785310735</v>
      </c>
      <c r="C16" s="3">
        <f>500/35.11</f>
        <v>14.240956992309883</v>
      </c>
      <c r="D16" s="3">
        <f>500/36.14</f>
        <v>13.83508577753182</v>
      </c>
      <c r="E16" s="3">
        <f t="shared" si="0"/>
        <v>14.066778851717478</v>
      </c>
      <c r="F16" s="3">
        <v>0.38100000000000001</v>
      </c>
      <c r="G16" s="3">
        <f t="shared" si="1"/>
        <v>0.11400908649750001</v>
      </c>
      <c r="H16" s="3">
        <f t="shared" si="2"/>
        <v>123.38296256786458</v>
      </c>
      <c r="I16" s="3">
        <v>1.95</v>
      </c>
      <c r="J16" s="3">
        <v>7.5300000000000006E-2</v>
      </c>
      <c r="K16" s="3">
        <f t="shared" si="3"/>
        <v>624.28829665811952</v>
      </c>
      <c r="L16" s="13"/>
    </row>
    <row r="17" spans="1:11">
      <c r="A17" s="3">
        <v>20</v>
      </c>
      <c r="B17" s="3">
        <f>1000/62.95</f>
        <v>15.885623510722795</v>
      </c>
      <c r="C17" s="3">
        <f>1000/66.44</f>
        <v>15.051173991571343</v>
      </c>
      <c r="D17" s="3">
        <f>1000/67.01</f>
        <v>14.923145799134456</v>
      </c>
      <c r="E17" s="3">
        <f t="shared" si="0"/>
        <v>15.286647767142865</v>
      </c>
      <c r="F17" s="3">
        <v>0.38100000000000001</v>
      </c>
      <c r="G17" s="3">
        <f t="shared" si="1"/>
        <v>0.11400908649750001</v>
      </c>
      <c r="H17" s="3">
        <f t="shared" si="2"/>
        <v>134.08271425346496</v>
      </c>
      <c r="I17" s="3">
        <v>1.95</v>
      </c>
      <c r="J17" s="3">
        <v>7.5300000000000006E-2</v>
      </c>
      <c r="K17" s="3">
        <f t="shared" si="3"/>
        <v>678.42648247769114</v>
      </c>
    </row>
  </sheetData>
  <pageMargins left="0.75" right="0.75" top="1" bottom="1" header="0" footer="0"/>
  <pageSetup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K15"/>
  <sheetViews>
    <sheetView workbookViewId="0"/>
  </sheetViews>
  <sheetFormatPr defaultColWidth="11.33203125" defaultRowHeight="15" customHeight="1"/>
  <cols>
    <col min="1" max="1" width="6.6640625" customWidth="1"/>
    <col min="2" max="5" width="9.6640625" customWidth="1"/>
    <col min="6" max="6" width="6.6640625" customWidth="1"/>
    <col min="7" max="7" width="17.33203125" customWidth="1"/>
    <col min="8" max="8" width="9.6640625" customWidth="1"/>
    <col min="9" max="9" width="7.88671875" customWidth="1"/>
    <col min="10" max="10" width="7.33203125" customWidth="1"/>
    <col min="11" max="11" width="9.6640625" customWidth="1"/>
    <col min="12" max="26" width="6.6640625" customWidth="1"/>
  </cols>
  <sheetData>
    <row r="1" spans="1:11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</row>
    <row r="2" spans="1:11">
      <c r="A2" s="3">
        <v>0</v>
      </c>
      <c r="B2" s="3"/>
      <c r="C2" s="3"/>
      <c r="D2" s="3"/>
      <c r="E2" s="3">
        <v>0</v>
      </c>
      <c r="F2" s="3">
        <f t="shared" ref="F2:F15" si="0">0.7747</f>
        <v>0.77470000000000006</v>
      </c>
      <c r="G2" s="3">
        <f t="shared" ref="G2:G15" si="1">3.14159*(F2/2)^2</f>
        <v>0.47136423428577501</v>
      </c>
      <c r="H2" s="3">
        <f t="shared" ref="H2:H15" si="2">E2/G2</f>
        <v>0</v>
      </c>
      <c r="I2" s="3">
        <v>5.0999999999999996</v>
      </c>
      <c r="J2" s="3">
        <v>7.5300000000000006E-2</v>
      </c>
      <c r="K2" s="3">
        <f t="shared" ref="K2:K15" si="3">H2*F2/J2</f>
        <v>0</v>
      </c>
    </row>
    <row r="3" spans="1:11">
      <c r="A3" s="3">
        <v>1</v>
      </c>
      <c r="B3" s="3">
        <f>1000/81.45</f>
        <v>12.277470841006751</v>
      </c>
      <c r="C3" s="3">
        <f>500/43.36</f>
        <v>11.531365313653136</v>
      </c>
      <c r="D3" s="3">
        <f>500/42.9</f>
        <v>11.655011655011656</v>
      </c>
      <c r="E3" s="3">
        <f t="shared" ref="E3:E15" si="4">(B3+C3+D3)/3</f>
        <v>11.821282603223848</v>
      </c>
      <c r="F3" s="3">
        <f t="shared" si="0"/>
        <v>0.77470000000000006</v>
      </c>
      <c r="G3" s="3">
        <f t="shared" si="1"/>
        <v>0.47136423428577501</v>
      </c>
      <c r="H3" s="3">
        <f t="shared" si="2"/>
        <v>25.078870528087062</v>
      </c>
      <c r="I3" s="3">
        <v>5.0999999999999996</v>
      </c>
      <c r="J3" s="3">
        <v>7.5300000000000006E-2</v>
      </c>
      <c r="K3" s="3">
        <f t="shared" si="3"/>
        <v>258.0159495100803</v>
      </c>
    </row>
    <row r="4" spans="1:11">
      <c r="A4" s="3">
        <v>2</v>
      </c>
      <c r="B4" s="3">
        <f>1000/54.13</f>
        <v>18.474043968224642</v>
      </c>
      <c r="C4" s="3">
        <f>1000/58.08</f>
        <v>17.217630853994489</v>
      </c>
      <c r="D4" s="3">
        <f>1000/58.86</f>
        <v>16.989466530750935</v>
      </c>
      <c r="E4" s="3">
        <f t="shared" si="4"/>
        <v>17.560380450990021</v>
      </c>
      <c r="F4" s="3">
        <f t="shared" si="0"/>
        <v>0.77470000000000006</v>
      </c>
      <c r="G4" s="3">
        <f t="shared" si="1"/>
        <v>0.47136423428577501</v>
      </c>
      <c r="H4" s="3">
        <f t="shared" si="2"/>
        <v>37.254376072037005</v>
      </c>
      <c r="I4" s="3">
        <v>5.0999999999999996</v>
      </c>
      <c r="J4" s="3">
        <v>7.5300000000000006E-2</v>
      </c>
      <c r="K4" s="3">
        <f t="shared" si="3"/>
        <v>383.27974957512703</v>
      </c>
    </row>
    <row r="5" spans="1:11">
      <c r="A5" s="3">
        <v>3</v>
      </c>
      <c r="B5" s="3">
        <f>1000/41.43</f>
        <v>24.137098720733768</v>
      </c>
      <c r="C5" s="3">
        <f>1000/45.65</f>
        <v>21.90580503833516</v>
      </c>
      <c r="D5" s="3">
        <f>1000/46.36</f>
        <v>21.570319240724764</v>
      </c>
      <c r="E5" s="3">
        <f t="shared" si="4"/>
        <v>22.537740999931231</v>
      </c>
      <c r="F5" s="3">
        <f t="shared" si="0"/>
        <v>0.77470000000000006</v>
      </c>
      <c r="G5" s="3">
        <f t="shared" si="1"/>
        <v>0.47136423428577501</v>
      </c>
      <c r="H5" s="3">
        <f t="shared" si="2"/>
        <v>47.813854680937091</v>
      </c>
      <c r="I5" s="3">
        <v>5.0999999999999996</v>
      </c>
      <c r="J5" s="3">
        <v>7.5300000000000006E-2</v>
      </c>
      <c r="K5" s="3">
        <f t="shared" si="3"/>
        <v>491.91757266031829</v>
      </c>
    </row>
    <row r="6" spans="1:11">
      <c r="A6" s="3">
        <v>4</v>
      </c>
      <c r="B6" s="3">
        <f>1000/34.84</f>
        <v>28.702640642939148</v>
      </c>
      <c r="C6" s="3">
        <f>1000/38.97</f>
        <v>25.660764690787786</v>
      </c>
      <c r="D6" s="3">
        <f>1000/30.46</f>
        <v>32.829940906106366</v>
      </c>
      <c r="E6" s="3">
        <f t="shared" si="4"/>
        <v>29.064448746611095</v>
      </c>
      <c r="F6" s="3">
        <f t="shared" si="0"/>
        <v>0.77470000000000006</v>
      </c>
      <c r="G6" s="3">
        <f t="shared" si="1"/>
        <v>0.47136423428577501</v>
      </c>
      <c r="H6" s="3">
        <f t="shared" si="2"/>
        <v>61.660275923671648</v>
      </c>
      <c r="I6" s="3">
        <v>5.0999999999999996</v>
      </c>
      <c r="J6" s="3">
        <v>7.5300000000000006E-2</v>
      </c>
      <c r="K6" s="3">
        <f t="shared" si="3"/>
        <v>634.37205522003217</v>
      </c>
    </row>
    <row r="7" spans="1:11">
      <c r="A7" s="3">
        <v>5</v>
      </c>
      <c r="B7" s="3">
        <f>1000/30.75</f>
        <v>32.520325203252035</v>
      </c>
      <c r="C7" s="3">
        <f>1000/33.76</f>
        <v>29.620853080568722</v>
      </c>
      <c r="D7" s="3">
        <f>1000/34.45</f>
        <v>29.027576197387514</v>
      </c>
      <c r="E7" s="3">
        <f t="shared" si="4"/>
        <v>30.389584827069424</v>
      </c>
      <c r="F7" s="3">
        <f t="shared" si="0"/>
        <v>0.77470000000000006</v>
      </c>
      <c r="G7" s="3">
        <f t="shared" si="1"/>
        <v>0.47136423428577501</v>
      </c>
      <c r="H7" s="3">
        <f t="shared" si="2"/>
        <v>64.471554302622508</v>
      </c>
      <c r="I7" s="3">
        <v>5.0999999999999996</v>
      </c>
      <c r="J7" s="3">
        <v>7.5300000000000006E-2</v>
      </c>
      <c r="K7" s="3">
        <f t="shared" si="3"/>
        <v>663.29499493016806</v>
      </c>
    </row>
    <row r="8" spans="1:11">
      <c r="A8" s="3">
        <v>6</v>
      </c>
      <c r="B8" s="3">
        <f>1000/28.82</f>
        <v>34.698126301179734</v>
      </c>
      <c r="C8" s="3">
        <f>1000/30.19</f>
        <v>33.123550844650545</v>
      </c>
      <c r="D8" s="3">
        <f>1000/30.32</f>
        <v>32.981530343007918</v>
      </c>
      <c r="E8" s="3">
        <f t="shared" si="4"/>
        <v>33.601069162946068</v>
      </c>
      <c r="F8" s="3">
        <f t="shared" si="0"/>
        <v>0.77470000000000006</v>
      </c>
      <c r="G8" s="3">
        <f t="shared" si="1"/>
        <v>0.47136423428577501</v>
      </c>
      <c r="H8" s="3">
        <f t="shared" si="2"/>
        <v>71.284723614763436</v>
      </c>
      <c r="I8" s="3">
        <v>5.0999999999999996</v>
      </c>
      <c r="J8" s="3">
        <v>7.5300000000000006E-2</v>
      </c>
      <c r="K8" s="3">
        <f t="shared" si="3"/>
        <v>733.3901113460455</v>
      </c>
    </row>
    <row r="9" spans="1:11">
      <c r="A9" s="3">
        <v>8</v>
      </c>
      <c r="B9" s="3">
        <f>1000/24.7</f>
        <v>40.48582995951417</v>
      </c>
      <c r="C9" s="3">
        <f>1000/25.69</f>
        <v>38.925652004671079</v>
      </c>
      <c r="D9" s="3">
        <f>1000/26.19</f>
        <v>38.18251240931653</v>
      </c>
      <c r="E9" s="3">
        <f t="shared" si="4"/>
        <v>39.197998124500593</v>
      </c>
      <c r="F9" s="3">
        <f t="shared" si="0"/>
        <v>0.77470000000000006</v>
      </c>
      <c r="G9" s="3">
        <f t="shared" si="1"/>
        <v>0.47136423428577501</v>
      </c>
      <c r="H9" s="3">
        <f t="shared" si="2"/>
        <v>83.158617632274442</v>
      </c>
      <c r="I9" s="3">
        <v>5.0999999999999996</v>
      </c>
      <c r="J9" s="3">
        <v>7.5300000000000006E-2</v>
      </c>
      <c r="K9" s="3">
        <f t="shared" si="3"/>
        <v>855.55087755276247</v>
      </c>
    </row>
    <row r="10" spans="1:11">
      <c r="A10" s="3">
        <v>10</v>
      </c>
      <c r="B10" s="3">
        <f>1500/34.44</f>
        <v>43.554006968641119</v>
      </c>
      <c r="C10" s="3">
        <f>1500/33.89</f>
        <v>44.260843906757152</v>
      </c>
      <c r="D10" s="3">
        <f>1500/33.19</f>
        <v>45.194335643266044</v>
      </c>
      <c r="E10" s="3">
        <f t="shared" si="4"/>
        <v>44.336395506221436</v>
      </c>
      <c r="F10" s="3">
        <f t="shared" si="0"/>
        <v>0.77470000000000006</v>
      </c>
      <c r="G10" s="3">
        <f t="shared" si="1"/>
        <v>0.47136423428577501</v>
      </c>
      <c r="H10" s="3">
        <f t="shared" si="2"/>
        <v>94.059736147357995</v>
      </c>
      <c r="I10" s="3">
        <v>5.0999999999999996</v>
      </c>
      <c r="J10" s="3">
        <v>7.5300000000000006E-2</v>
      </c>
      <c r="K10" s="3">
        <f t="shared" si="3"/>
        <v>967.70355369665663</v>
      </c>
    </row>
    <row r="11" spans="1:11">
      <c r="A11" s="3">
        <v>12</v>
      </c>
      <c r="B11" s="3">
        <f>2500/53.54</f>
        <v>46.694060515502429</v>
      </c>
      <c r="C11" s="3">
        <f>2500/52.79</f>
        <v>47.357454063269557</v>
      </c>
      <c r="D11" s="3">
        <f>5000/106.33</f>
        <v>47.023417661995673</v>
      </c>
      <c r="E11" s="3">
        <f t="shared" si="4"/>
        <v>47.02497741358922</v>
      </c>
      <c r="F11" s="3">
        <f t="shared" si="0"/>
        <v>0.77470000000000006</v>
      </c>
      <c r="G11" s="3">
        <f t="shared" si="1"/>
        <v>0.47136423428577501</v>
      </c>
      <c r="H11" s="3">
        <f t="shared" si="2"/>
        <v>99.763567095502808</v>
      </c>
      <c r="I11" s="3">
        <v>5.0999999999999996</v>
      </c>
      <c r="J11" s="3">
        <v>7.5300000000000006E-2</v>
      </c>
      <c r="K11" s="3">
        <f t="shared" si="3"/>
        <v>1026.3855966651531</v>
      </c>
    </row>
    <row r="12" spans="1:11">
      <c r="A12" s="3">
        <v>14</v>
      </c>
      <c r="B12" s="3">
        <f>2500/49.59</f>
        <v>50.413389796329902</v>
      </c>
      <c r="C12" s="3">
        <f>2500/50.37</f>
        <v>49.632717887631529</v>
      </c>
      <c r="D12" s="3">
        <f>5000/99.96</f>
        <v>50.020008003201283</v>
      </c>
      <c r="E12" s="3">
        <f t="shared" si="4"/>
        <v>50.022038562387571</v>
      </c>
      <c r="F12" s="3">
        <f t="shared" si="0"/>
        <v>0.77470000000000006</v>
      </c>
      <c r="G12" s="3">
        <f t="shared" si="1"/>
        <v>0.47136423428577501</v>
      </c>
      <c r="H12" s="3">
        <f t="shared" si="2"/>
        <v>106.12183726281745</v>
      </c>
      <c r="I12" s="3">
        <v>5.0999999999999996</v>
      </c>
      <c r="J12" s="3">
        <v>7.5300000000000006E-2</v>
      </c>
      <c r="K12" s="3">
        <f t="shared" si="3"/>
        <v>1091.8006285193183</v>
      </c>
    </row>
    <row r="13" spans="1:11">
      <c r="A13" s="3">
        <v>16</v>
      </c>
      <c r="B13" s="3">
        <f>2500/45.59</f>
        <v>54.836586970826929</v>
      </c>
      <c r="C13" s="3">
        <f>2500/42.75</f>
        <v>58.479532163742689</v>
      </c>
      <c r="D13" s="3">
        <f>5000/88.34</f>
        <v>56.599501924383063</v>
      </c>
      <c r="E13" s="3">
        <f t="shared" si="4"/>
        <v>56.638540352984229</v>
      </c>
      <c r="F13" s="3">
        <f t="shared" si="0"/>
        <v>0.77470000000000006</v>
      </c>
      <c r="G13" s="3">
        <f t="shared" si="1"/>
        <v>0.47136423428577501</v>
      </c>
      <c r="H13" s="3">
        <f t="shared" si="2"/>
        <v>120.15875671773149</v>
      </c>
      <c r="I13" s="3">
        <v>5.0999999999999996</v>
      </c>
      <c r="J13" s="3">
        <v>7.5300000000000006E-2</v>
      </c>
      <c r="K13" s="3">
        <f t="shared" si="3"/>
        <v>1236.2149910919866</v>
      </c>
    </row>
    <row r="14" spans="1:11">
      <c r="A14" s="3">
        <v>18</v>
      </c>
      <c r="B14" s="3">
        <f>2500/39.31</f>
        <v>63.5970490969219</v>
      </c>
      <c r="C14" s="3">
        <f>2500/39.44</f>
        <v>63.387423935091284</v>
      </c>
      <c r="D14" s="3">
        <f>5000/78.75</f>
        <v>63.492063492063494</v>
      </c>
      <c r="E14" s="3">
        <f t="shared" si="4"/>
        <v>63.492178841358886</v>
      </c>
      <c r="F14" s="3">
        <f t="shared" si="0"/>
        <v>0.77470000000000006</v>
      </c>
      <c r="G14" s="3">
        <f t="shared" si="1"/>
        <v>0.47136423428577501</v>
      </c>
      <c r="H14" s="3">
        <f t="shared" si="2"/>
        <v>134.69876206786054</v>
      </c>
      <c r="I14" s="3">
        <v>5.0999999999999996</v>
      </c>
      <c r="J14" s="3">
        <v>7.5300000000000006E-2</v>
      </c>
      <c r="K14" s="3">
        <f t="shared" si="3"/>
        <v>1385.8051922174177</v>
      </c>
    </row>
    <row r="15" spans="1:11">
      <c r="A15" s="3">
        <v>20</v>
      </c>
      <c r="B15" s="3">
        <f>2500/37.63</f>
        <v>66.436353972893968</v>
      </c>
      <c r="C15" s="3">
        <f>2500/36.58</f>
        <v>68.343357025697102</v>
      </c>
      <c r="D15" s="3">
        <f>5000/74.21</f>
        <v>67.376364371378529</v>
      </c>
      <c r="E15" s="3">
        <f t="shared" si="4"/>
        <v>67.385358456656533</v>
      </c>
      <c r="F15" s="3">
        <f t="shared" si="0"/>
        <v>0.77470000000000006</v>
      </c>
      <c r="G15" s="3">
        <f t="shared" si="1"/>
        <v>0.47136423428577501</v>
      </c>
      <c r="H15" s="3">
        <f t="shared" si="2"/>
        <v>142.95814903895035</v>
      </c>
      <c r="I15" s="3">
        <v>5.0999999999999996</v>
      </c>
      <c r="J15" s="3">
        <v>7.5300000000000006E-2</v>
      </c>
      <c r="K15" s="3">
        <f t="shared" si="3"/>
        <v>1470.7792571112197</v>
      </c>
    </row>
  </sheetData>
  <pageMargins left="0.75" right="0.75" top="1" bottom="1" header="0" footer="0"/>
  <pageSetup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16"/>
  <sheetViews>
    <sheetView workbookViewId="0"/>
  </sheetViews>
  <sheetFormatPr defaultColWidth="11.33203125" defaultRowHeight="15" customHeight="1"/>
  <cols>
    <col min="1" max="5" width="9.6640625" customWidth="1"/>
    <col min="6" max="6" width="6.6640625" customWidth="1"/>
    <col min="7" max="8" width="9.6640625" customWidth="1"/>
    <col min="9" max="9" width="6.6640625" customWidth="1"/>
    <col min="10" max="10" width="8.109375" customWidth="1"/>
    <col min="11" max="11" width="9.6640625" customWidth="1"/>
    <col min="12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22</v>
      </c>
    </row>
    <row r="2" spans="1:12">
      <c r="A2" s="3">
        <v>0</v>
      </c>
      <c r="B2" s="13"/>
      <c r="C2" s="13"/>
      <c r="D2" s="13"/>
      <c r="E2" s="3">
        <f t="shared" ref="E2:E16" si="0">(B2+C2+D2)/3</f>
        <v>0</v>
      </c>
      <c r="F2" s="3">
        <v>0.63754</v>
      </c>
      <c r="G2" s="3">
        <f t="shared" ref="G2:G16" si="1">(F2^2)/4*PI()</f>
        <v>0.31923077890621454</v>
      </c>
      <c r="H2" s="3">
        <f t="shared" ref="H2:H16" si="2">E2/G2</f>
        <v>0</v>
      </c>
      <c r="I2" s="3">
        <v>5.2</v>
      </c>
      <c r="J2" s="3">
        <v>7.9653299999999996E-2</v>
      </c>
      <c r="K2" s="3">
        <f t="shared" ref="K2:K16" si="3">H2*F2/J2</f>
        <v>0</v>
      </c>
      <c r="L2" s="13"/>
    </row>
    <row r="3" spans="1:12">
      <c r="A3" s="3">
        <v>1</v>
      </c>
      <c r="B3" s="3">
        <f>250/38</f>
        <v>6.5789473684210522</v>
      </c>
      <c r="C3" s="3">
        <f>250/38.36</f>
        <v>6.5172054223149116</v>
      </c>
      <c r="D3" s="3">
        <f>250/34.76</f>
        <v>7.1921749136939015</v>
      </c>
      <c r="E3" s="3">
        <f t="shared" si="0"/>
        <v>6.7627759014766218</v>
      </c>
      <c r="F3" s="3">
        <v>0.63754</v>
      </c>
      <c r="G3" s="3">
        <f t="shared" si="1"/>
        <v>0.31923077890621454</v>
      </c>
      <c r="H3" s="3">
        <f t="shared" si="2"/>
        <v>21.184598567368809</v>
      </c>
      <c r="I3" s="3">
        <v>5.2</v>
      </c>
      <c r="J3" s="3">
        <v>7.9653299999999996E-2</v>
      </c>
      <c r="K3" s="3">
        <f t="shared" si="3"/>
        <v>169.56019362211373</v>
      </c>
      <c r="L3" s="13"/>
    </row>
    <row r="4" spans="1:12">
      <c r="A4" s="3">
        <v>1.9</v>
      </c>
      <c r="B4" s="3">
        <f>500/51.94</f>
        <v>9.6264921062764728</v>
      </c>
      <c r="C4" s="3">
        <f>500/46.97</f>
        <v>10.645092612305728</v>
      </c>
      <c r="D4" s="3">
        <f>500/53.47</f>
        <v>9.3510379652141395</v>
      </c>
      <c r="E4" s="3">
        <f t="shared" si="0"/>
        <v>9.8742075612654467</v>
      </c>
      <c r="F4" s="3">
        <v>0.63754</v>
      </c>
      <c r="G4" s="3">
        <f t="shared" si="1"/>
        <v>0.31923077890621454</v>
      </c>
      <c r="H4" s="3">
        <f t="shared" si="2"/>
        <v>30.931251664070739</v>
      </c>
      <c r="I4" s="3">
        <v>5.2</v>
      </c>
      <c r="J4" s="3">
        <v>7.9653299999999996E-2</v>
      </c>
      <c r="K4" s="3">
        <f t="shared" si="3"/>
        <v>247.57179157563667</v>
      </c>
      <c r="L4" s="13"/>
    </row>
    <row r="5" spans="1:12">
      <c r="A5" s="3">
        <v>3</v>
      </c>
      <c r="B5" s="3">
        <f>600/47.68</f>
        <v>12.583892617449665</v>
      </c>
      <c r="C5" s="3">
        <f>600/47.08</f>
        <v>12.74426508071368</v>
      </c>
      <c r="D5" s="3">
        <f>600/49.55</f>
        <v>12.108980827447024</v>
      </c>
      <c r="E5" s="3">
        <f t="shared" si="0"/>
        <v>12.479046175203456</v>
      </c>
      <c r="F5" s="3">
        <v>0.63754</v>
      </c>
      <c r="G5" s="3">
        <f t="shared" si="1"/>
        <v>0.31923077890621454</v>
      </c>
      <c r="H5" s="3">
        <f t="shared" si="2"/>
        <v>39.090986833915601</v>
      </c>
      <c r="I5" s="3">
        <v>5.2</v>
      </c>
      <c r="J5" s="3">
        <v>7.9653299999999996E-2</v>
      </c>
      <c r="K5" s="3">
        <f t="shared" si="3"/>
        <v>312.8817983196497</v>
      </c>
      <c r="L5" s="13"/>
    </row>
    <row r="6" spans="1:12">
      <c r="A6" s="3">
        <v>4</v>
      </c>
      <c r="B6" s="3">
        <f>600/39.86</f>
        <v>15.052684395383844</v>
      </c>
      <c r="C6" s="3">
        <f>600/38.58</f>
        <v>15.552099533437016</v>
      </c>
      <c r="D6" s="3">
        <f>600/39.47</f>
        <v>15.201418799087916</v>
      </c>
      <c r="E6" s="3">
        <f t="shared" si="0"/>
        <v>15.268734242636258</v>
      </c>
      <c r="F6" s="3">
        <v>0.63754</v>
      </c>
      <c r="G6" s="3">
        <f t="shared" si="1"/>
        <v>0.31923077890621454</v>
      </c>
      <c r="H6" s="3">
        <f t="shared" si="2"/>
        <v>47.829768467037432</v>
      </c>
      <c r="I6" s="3">
        <v>5.2</v>
      </c>
      <c r="J6" s="3">
        <v>7.9653299999999996E-2</v>
      </c>
      <c r="K6" s="3">
        <f t="shared" si="3"/>
        <v>382.82645651184629</v>
      </c>
      <c r="L6" s="13"/>
    </row>
    <row r="7" spans="1:12">
      <c r="A7" s="3">
        <v>5</v>
      </c>
      <c r="B7" s="3">
        <f>600/35.43</f>
        <v>16.934801016088063</v>
      </c>
      <c r="C7" s="3">
        <f>600/33.34</f>
        <v>17.996400719856027</v>
      </c>
      <c r="D7" s="3">
        <f>600/34.18</f>
        <v>17.554125219426567</v>
      </c>
      <c r="E7" s="3">
        <f t="shared" si="0"/>
        <v>17.495108985123551</v>
      </c>
      <c r="F7" s="3">
        <v>0.63754</v>
      </c>
      <c r="G7" s="3">
        <f t="shared" si="1"/>
        <v>0.31923077890621454</v>
      </c>
      <c r="H7" s="3">
        <f t="shared" si="2"/>
        <v>54.803954195981099</v>
      </c>
      <c r="I7" s="3">
        <v>5.2</v>
      </c>
      <c r="J7" s="3">
        <v>7.9653299999999996E-2</v>
      </c>
      <c r="K7" s="3">
        <f t="shared" si="3"/>
        <v>438.64740014670815</v>
      </c>
      <c r="L7" s="13"/>
    </row>
    <row r="8" spans="1:12">
      <c r="A8" s="3">
        <v>6</v>
      </c>
      <c r="B8" s="3">
        <f>600/29.66</f>
        <v>20.229265003371545</v>
      </c>
      <c r="C8" s="3">
        <f>800/40.59</f>
        <v>19.709288001970926</v>
      </c>
      <c r="D8" s="3">
        <f>400/20.05</f>
        <v>19.950124688279303</v>
      </c>
      <c r="E8" s="3">
        <f t="shared" si="0"/>
        <v>19.962892564540592</v>
      </c>
      <c r="F8" s="3">
        <v>0.63754</v>
      </c>
      <c r="G8" s="3">
        <f t="shared" si="1"/>
        <v>0.31923077890621454</v>
      </c>
      <c r="H8" s="3">
        <f t="shared" si="2"/>
        <v>62.534360355037713</v>
      </c>
      <c r="I8" s="3">
        <v>5.2</v>
      </c>
      <c r="J8" s="3">
        <v>7.9653299999999996E-2</v>
      </c>
      <c r="K8" s="3">
        <f t="shared" si="3"/>
        <v>500.52108450937686</v>
      </c>
      <c r="L8" s="13"/>
    </row>
    <row r="9" spans="1:12">
      <c r="A9" s="3">
        <v>7</v>
      </c>
      <c r="B9" s="3">
        <f>1000/44.01</f>
        <v>22.722108611679165</v>
      </c>
      <c r="C9" s="3">
        <f>1000/45.54</f>
        <v>21.958717610891526</v>
      </c>
      <c r="D9" s="3">
        <f>2000/89.55</f>
        <v>22.333891680625349</v>
      </c>
      <c r="E9" s="3">
        <f t="shared" si="0"/>
        <v>22.338239301065347</v>
      </c>
      <c r="F9" s="3">
        <v>0.63754</v>
      </c>
      <c r="G9" s="3">
        <f t="shared" si="1"/>
        <v>0.31923077890621454</v>
      </c>
      <c r="H9" s="3">
        <f t="shared" si="2"/>
        <v>69.975205328268189</v>
      </c>
      <c r="I9" s="3">
        <v>5.2</v>
      </c>
      <c r="J9" s="3">
        <v>7.9653299999999996E-2</v>
      </c>
      <c r="K9" s="3">
        <f t="shared" si="3"/>
        <v>560.07713936502444</v>
      </c>
      <c r="L9" s="13"/>
    </row>
    <row r="10" spans="1:12">
      <c r="A10" s="3">
        <v>8</v>
      </c>
      <c r="B10" s="3">
        <f>1000/40.01</f>
        <v>24.993751562109473</v>
      </c>
      <c r="C10" s="3">
        <f>2000/82.02</f>
        <v>24.384296513045602</v>
      </c>
      <c r="D10" s="3">
        <f>1000/42.01</f>
        <v>23.803856224708404</v>
      </c>
      <c r="E10" s="3">
        <f t="shared" si="0"/>
        <v>24.393968099954492</v>
      </c>
      <c r="F10" s="3">
        <v>0.63754</v>
      </c>
      <c r="G10" s="3">
        <f t="shared" si="1"/>
        <v>0.31923077890621454</v>
      </c>
      <c r="H10" s="3">
        <f t="shared" si="2"/>
        <v>76.414837515154176</v>
      </c>
      <c r="I10" s="3">
        <v>5.2</v>
      </c>
      <c r="J10" s="3">
        <v>7.9653299999999996E-2</v>
      </c>
      <c r="K10" s="3">
        <f t="shared" si="3"/>
        <v>611.61955009285737</v>
      </c>
      <c r="L10" s="13"/>
    </row>
    <row r="11" spans="1:12">
      <c r="A11" s="3">
        <v>9.8000000000000007</v>
      </c>
      <c r="B11" s="3">
        <f>1500/56.86</f>
        <v>26.380583890256773</v>
      </c>
      <c r="C11" s="3">
        <f>1500/58.32</f>
        <v>25.720164609053498</v>
      </c>
      <c r="D11" s="3">
        <f>1500/55.75</f>
        <v>26.905829596412556</v>
      </c>
      <c r="E11" s="3">
        <f t="shared" si="0"/>
        <v>26.335526031907609</v>
      </c>
      <c r="F11" s="3">
        <v>0.63754</v>
      </c>
      <c r="G11" s="3">
        <f t="shared" si="1"/>
        <v>0.31923077890621454</v>
      </c>
      <c r="H11" s="3">
        <f t="shared" si="2"/>
        <v>82.496826033321213</v>
      </c>
      <c r="I11" s="3">
        <v>5.2</v>
      </c>
      <c r="J11" s="3">
        <v>7.9653299999999996E-2</v>
      </c>
      <c r="K11" s="3">
        <f t="shared" si="3"/>
        <v>660.2994034055539</v>
      </c>
      <c r="L11" s="13"/>
    </row>
    <row r="12" spans="1:12">
      <c r="A12" s="3">
        <v>12</v>
      </c>
      <c r="B12" s="3">
        <f>1500/48.4</f>
        <v>30.991735537190085</v>
      </c>
      <c r="C12" s="3">
        <f>1250/41.37</f>
        <v>30.215131737974378</v>
      </c>
      <c r="D12" s="3">
        <f>1500/49.82</f>
        <v>30.108390204737052</v>
      </c>
      <c r="E12" s="3">
        <f t="shared" si="0"/>
        <v>30.438419159967172</v>
      </c>
      <c r="F12" s="3">
        <v>0.63754</v>
      </c>
      <c r="G12" s="3">
        <f t="shared" si="1"/>
        <v>0.31923077890621454</v>
      </c>
      <c r="H12" s="3">
        <f t="shared" si="2"/>
        <v>95.34926194854647</v>
      </c>
      <c r="I12" s="3">
        <v>5.2</v>
      </c>
      <c r="J12" s="3">
        <v>7.9653299999999996E-2</v>
      </c>
      <c r="K12" s="3">
        <f t="shared" si="3"/>
        <v>763.16949156753481</v>
      </c>
      <c r="L12" s="13"/>
    </row>
    <row r="13" spans="1:12">
      <c r="A13" s="3">
        <v>14</v>
      </c>
      <c r="B13" s="3">
        <f>1000/28.33</f>
        <v>35.298270384751149</v>
      </c>
      <c r="C13" s="3">
        <f>1000/30.18</f>
        <v>33.134526176275678</v>
      </c>
      <c r="D13" s="3">
        <f>1000/28.69</f>
        <v>34.855350296270473</v>
      </c>
      <c r="E13" s="3">
        <f t="shared" si="0"/>
        <v>34.429382285765769</v>
      </c>
      <c r="F13" s="3">
        <v>0.63754</v>
      </c>
      <c r="G13" s="3">
        <f t="shared" si="1"/>
        <v>0.31923077890621454</v>
      </c>
      <c r="H13" s="3">
        <f t="shared" si="2"/>
        <v>107.85107377093057</v>
      </c>
      <c r="I13" s="3">
        <v>5.2</v>
      </c>
      <c r="J13" s="3">
        <v>7.9653299999999996E-2</v>
      </c>
      <c r="K13" s="3">
        <f t="shared" si="3"/>
        <v>863.23320655790872</v>
      </c>
      <c r="L13" s="13"/>
    </row>
    <row r="14" spans="1:12">
      <c r="A14" s="3">
        <v>16</v>
      </c>
      <c r="B14" s="3">
        <f>1000/25.39</f>
        <v>39.385584875935407</v>
      </c>
      <c r="C14" s="3">
        <f>1000/27.76</f>
        <v>36.023054755043226</v>
      </c>
      <c r="D14" s="3">
        <f>1000/28.26</f>
        <v>35.385704175513091</v>
      </c>
      <c r="E14" s="3">
        <f t="shared" si="0"/>
        <v>36.931447935497239</v>
      </c>
      <c r="F14" s="3">
        <v>0.63754</v>
      </c>
      <c r="G14" s="3">
        <f t="shared" si="1"/>
        <v>0.31923077890621454</v>
      </c>
      <c r="H14" s="3">
        <f t="shared" si="2"/>
        <v>115.68886954458478</v>
      </c>
      <c r="I14" s="3">
        <v>5.2</v>
      </c>
      <c r="J14" s="3">
        <v>7.9653299999999996E-2</v>
      </c>
      <c r="K14" s="3">
        <f t="shared" si="3"/>
        <v>925.96643063695524</v>
      </c>
      <c r="L14" s="13"/>
    </row>
    <row r="15" spans="1:12">
      <c r="A15" s="3">
        <v>18</v>
      </c>
      <c r="B15" s="3">
        <f>1000/24.84</f>
        <v>40.257648953301128</v>
      </c>
      <c r="C15" s="3">
        <f>1000/25.18</f>
        <v>39.714058776806993</v>
      </c>
      <c r="D15" s="3">
        <f>1000/26.33</f>
        <v>37.979491074819599</v>
      </c>
      <c r="E15" s="3">
        <f t="shared" si="0"/>
        <v>39.31706626830924</v>
      </c>
      <c r="F15" s="3">
        <v>0.63754</v>
      </c>
      <c r="G15" s="3">
        <f t="shared" si="1"/>
        <v>0.31923077890621454</v>
      </c>
      <c r="H15" s="3">
        <f t="shared" si="2"/>
        <v>123.16189060159526</v>
      </c>
      <c r="I15" s="3">
        <v>5.2</v>
      </c>
      <c r="J15" s="3">
        <v>7.9653299999999996E-2</v>
      </c>
      <c r="K15" s="3">
        <f t="shared" si="3"/>
        <v>985.78002084208754</v>
      </c>
      <c r="L15" s="13"/>
    </row>
    <row r="16" spans="1:12">
      <c r="A16" s="3">
        <v>20</v>
      </c>
      <c r="B16" s="3">
        <f>1000/24.22</f>
        <v>41.28819157720892</v>
      </c>
      <c r="C16" s="3">
        <f>1000/23.95</f>
        <v>41.753653444676409</v>
      </c>
      <c r="D16" s="3">
        <f>1000/23.94</f>
        <v>41.771094402673349</v>
      </c>
      <c r="E16" s="3">
        <f t="shared" si="0"/>
        <v>41.604313141519562</v>
      </c>
      <c r="F16" s="3">
        <v>0.63754</v>
      </c>
      <c r="G16" s="3">
        <f t="shared" si="1"/>
        <v>0.31923077890621454</v>
      </c>
      <c r="H16" s="3">
        <f t="shared" si="2"/>
        <v>130.32676010774736</v>
      </c>
      <c r="I16" s="3">
        <v>5.2</v>
      </c>
      <c r="J16" s="3">
        <v>7.9653299999999996E-2</v>
      </c>
      <c r="K16" s="3">
        <f t="shared" si="3"/>
        <v>1043.1271854285167</v>
      </c>
      <c r="L16" s="13"/>
    </row>
  </sheetData>
  <pageMargins left="0.75" right="0.75" top="1" bottom="1" header="0" footer="0"/>
  <pageSetup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16"/>
  <sheetViews>
    <sheetView workbookViewId="0"/>
  </sheetViews>
  <sheetFormatPr defaultColWidth="11.33203125" defaultRowHeight="15" customHeight="1"/>
  <cols>
    <col min="1" max="1" width="6.6640625" customWidth="1"/>
    <col min="2" max="5" width="9.6640625" customWidth="1"/>
    <col min="6" max="6" width="6.6640625" customWidth="1"/>
    <col min="7" max="8" width="9.6640625" customWidth="1"/>
    <col min="9" max="9" width="6.6640625" customWidth="1"/>
    <col min="10" max="10" width="7.109375" customWidth="1"/>
    <col min="11" max="11" width="9.6640625" customWidth="1"/>
    <col min="12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21</v>
      </c>
    </row>
    <row r="2" spans="1:12">
      <c r="A2" s="3">
        <v>0</v>
      </c>
      <c r="B2" s="13"/>
      <c r="C2" s="13"/>
      <c r="D2" s="13"/>
      <c r="E2" s="3">
        <f t="shared" ref="E2:E16" si="0">(B2+C2+D2)/3</f>
        <v>0</v>
      </c>
      <c r="F2" s="3">
        <f t="shared" ref="F2:F16" si="1">0.50546</f>
        <v>0.50546000000000002</v>
      </c>
      <c r="G2" s="3">
        <f t="shared" ref="G2:G16" si="2">3.14159*F2*F2/4</f>
        <v>0.200661059306111</v>
      </c>
      <c r="H2" s="3">
        <f t="shared" ref="H2:H16" si="3">E2/G2</f>
        <v>0</v>
      </c>
      <c r="I2" s="3">
        <v>5.0999999999999996</v>
      </c>
      <c r="J2" s="3">
        <v>7.9653299999999996E-2</v>
      </c>
      <c r="K2" s="3">
        <f t="shared" ref="K2:K16" si="4">H2*F2/J2</f>
        <v>0</v>
      </c>
      <c r="L2" s="13"/>
    </row>
    <row r="3" spans="1:12">
      <c r="A3" s="3">
        <v>0.9</v>
      </c>
      <c r="B3" s="3">
        <f>100/43.51</f>
        <v>2.2983222247759136</v>
      </c>
      <c r="C3" s="3">
        <f>100/45.52</f>
        <v>2.1968365553602811</v>
      </c>
      <c r="D3" s="3">
        <f>100/41.69</f>
        <v>2.3986567522187578</v>
      </c>
      <c r="E3" s="3">
        <f t="shared" si="0"/>
        <v>2.2979385107849843</v>
      </c>
      <c r="F3" s="3">
        <f t="shared" si="1"/>
        <v>0.50546000000000002</v>
      </c>
      <c r="G3" s="3">
        <f t="shared" si="2"/>
        <v>0.200661059306111</v>
      </c>
      <c r="H3" s="3">
        <f t="shared" si="3"/>
        <v>11.451840824180291</v>
      </c>
      <c r="I3" s="3">
        <v>5.0999999999999996</v>
      </c>
      <c r="J3" s="3">
        <v>7.9653299999999996E-2</v>
      </c>
      <c r="K3" s="3">
        <f t="shared" si="4"/>
        <v>72.670529193268464</v>
      </c>
      <c r="L3" s="13"/>
    </row>
    <row r="4" spans="1:12">
      <c r="A4" s="3">
        <v>2</v>
      </c>
      <c r="B4" s="3">
        <f>250/48</f>
        <v>5.208333333333333</v>
      </c>
      <c r="C4" s="3">
        <f>250/53.15</f>
        <v>4.7036688617121358</v>
      </c>
      <c r="D4" s="3">
        <f>250/46.94</f>
        <v>5.3259480187473374</v>
      </c>
      <c r="E4" s="3">
        <f t="shared" si="0"/>
        <v>5.0793167379309354</v>
      </c>
      <c r="F4" s="3">
        <f t="shared" si="1"/>
        <v>0.50546000000000002</v>
      </c>
      <c r="G4" s="3">
        <f t="shared" si="2"/>
        <v>0.200661059306111</v>
      </c>
      <c r="H4" s="3">
        <f t="shared" si="3"/>
        <v>25.312916992939687</v>
      </c>
      <c r="I4" s="3">
        <v>5.0999999999999996</v>
      </c>
      <c r="J4" s="3">
        <v>7.9653299999999996E-2</v>
      </c>
      <c r="K4" s="3">
        <f t="shared" si="4"/>
        <v>160.62946573778231</v>
      </c>
      <c r="L4" s="13"/>
    </row>
    <row r="5" spans="1:12">
      <c r="A5" s="3">
        <v>3</v>
      </c>
      <c r="B5" s="3">
        <f>250/38.9</f>
        <v>6.4267352185089974</v>
      </c>
      <c r="C5" s="3">
        <f>250/38.42</f>
        <v>6.50702758979698</v>
      </c>
      <c r="D5" s="3">
        <f>250/37.18</f>
        <v>6.7240451855836474</v>
      </c>
      <c r="E5" s="3">
        <f t="shared" si="0"/>
        <v>6.5526026646298758</v>
      </c>
      <c r="F5" s="3">
        <f t="shared" si="1"/>
        <v>0.50546000000000002</v>
      </c>
      <c r="G5" s="3">
        <f t="shared" si="2"/>
        <v>0.200661059306111</v>
      </c>
      <c r="H5" s="3">
        <f t="shared" si="3"/>
        <v>32.655078605130839</v>
      </c>
      <c r="I5" s="3">
        <v>5.0999999999999996</v>
      </c>
      <c r="J5" s="3">
        <v>7.9653299999999996E-2</v>
      </c>
      <c r="K5" s="3">
        <f t="shared" si="4"/>
        <v>207.22099438126779</v>
      </c>
      <c r="L5" s="13"/>
    </row>
    <row r="6" spans="1:12">
      <c r="A6" s="3">
        <v>3.9</v>
      </c>
      <c r="B6" s="3">
        <f>500/61.42</f>
        <v>8.1406707912731999</v>
      </c>
      <c r="C6" s="3">
        <f>500/61.25</f>
        <v>8.1632653061224492</v>
      </c>
      <c r="D6" s="3">
        <f>500/63.62</f>
        <v>7.8591637849732789</v>
      </c>
      <c r="E6" s="3">
        <f t="shared" si="0"/>
        <v>8.054366627456309</v>
      </c>
      <c r="F6" s="3">
        <f t="shared" si="1"/>
        <v>0.50546000000000002</v>
      </c>
      <c r="G6" s="3">
        <f t="shared" si="2"/>
        <v>0.200661059306111</v>
      </c>
      <c r="H6" s="3">
        <f t="shared" si="3"/>
        <v>40.139161306675206</v>
      </c>
      <c r="I6" s="3">
        <v>5.0999999999999996</v>
      </c>
      <c r="J6" s="3">
        <v>7.9653299999999996E-2</v>
      </c>
      <c r="K6" s="3">
        <f t="shared" si="4"/>
        <v>254.713118904955</v>
      </c>
      <c r="L6" s="13"/>
    </row>
    <row r="7" spans="1:12">
      <c r="A7" s="3">
        <v>5.0999999999999996</v>
      </c>
      <c r="B7" s="3">
        <f>500/51.69</f>
        <v>9.6730508802476312</v>
      </c>
      <c r="C7" s="3">
        <f>500/53.76</f>
        <v>9.300595238095239</v>
      </c>
      <c r="D7" s="3">
        <f>500/49.55</f>
        <v>10.090817356205854</v>
      </c>
      <c r="E7" s="3">
        <f t="shared" si="0"/>
        <v>9.6881544915162419</v>
      </c>
      <c r="F7" s="3">
        <f t="shared" si="1"/>
        <v>0.50546000000000002</v>
      </c>
      <c r="G7" s="3">
        <f t="shared" si="2"/>
        <v>0.200661059306111</v>
      </c>
      <c r="H7" s="3">
        <f t="shared" si="3"/>
        <v>48.281188811710791</v>
      </c>
      <c r="I7" s="3">
        <v>5.0999999999999996</v>
      </c>
      <c r="J7" s="3">
        <v>7.9653299999999996E-2</v>
      </c>
      <c r="K7" s="3">
        <f t="shared" si="4"/>
        <v>306.38039725620081</v>
      </c>
      <c r="L7" s="13"/>
    </row>
    <row r="8" spans="1:12">
      <c r="A8" s="3">
        <v>6</v>
      </c>
      <c r="B8" s="3">
        <f>650/60.79</f>
        <v>10.692548116466524</v>
      </c>
      <c r="C8" s="3">
        <f>550/51.77</f>
        <v>10.623913463395789</v>
      </c>
      <c r="D8" s="3">
        <f>600/52.82</f>
        <v>11.359333585762968</v>
      </c>
      <c r="E8" s="3">
        <f t="shared" si="0"/>
        <v>10.891931721875094</v>
      </c>
      <c r="F8" s="3">
        <f t="shared" si="1"/>
        <v>0.50546000000000002</v>
      </c>
      <c r="G8" s="3">
        <f t="shared" si="2"/>
        <v>0.200661059306111</v>
      </c>
      <c r="H8" s="3">
        <f t="shared" si="3"/>
        <v>54.280246299603718</v>
      </c>
      <c r="I8" s="3">
        <v>5.0999999999999996</v>
      </c>
      <c r="J8" s="3">
        <v>7.9653299999999996E-2</v>
      </c>
      <c r="K8" s="3">
        <f t="shared" si="4"/>
        <v>344.44892169687506</v>
      </c>
      <c r="L8" s="13"/>
    </row>
    <row r="9" spans="1:12">
      <c r="A9" s="3">
        <v>7</v>
      </c>
      <c r="B9" s="3">
        <f>600/50.36</f>
        <v>11.914217633042098</v>
      </c>
      <c r="C9" s="3">
        <f>600/49.15</f>
        <v>12.207527975584945</v>
      </c>
      <c r="D9" s="3">
        <f>600/50.61</f>
        <v>11.855364552459989</v>
      </c>
      <c r="E9" s="3">
        <f t="shared" si="0"/>
        <v>11.992370053695678</v>
      </c>
      <c r="F9" s="3">
        <f t="shared" si="1"/>
        <v>0.50546000000000002</v>
      </c>
      <c r="G9" s="3">
        <f t="shared" si="2"/>
        <v>0.200661059306111</v>
      </c>
      <c r="H9" s="3">
        <f t="shared" si="3"/>
        <v>59.764311497036232</v>
      </c>
      <c r="I9" s="3">
        <v>5.0999999999999996</v>
      </c>
      <c r="J9" s="3">
        <v>7.9653299999999996E-2</v>
      </c>
      <c r="K9" s="3">
        <f t="shared" si="4"/>
        <v>379.24943334792079</v>
      </c>
      <c r="L9" s="13"/>
    </row>
    <row r="10" spans="1:12">
      <c r="A10" s="3">
        <v>8</v>
      </c>
      <c r="B10" s="3">
        <f>600/46.65</f>
        <v>12.861736334405146</v>
      </c>
      <c r="C10" s="3">
        <f>600/43.68</f>
        <v>13.736263736263737</v>
      </c>
      <c r="D10" s="3">
        <f>600/46.19</f>
        <v>12.989824637367397</v>
      </c>
      <c r="E10" s="3">
        <f t="shared" si="0"/>
        <v>13.195941569345427</v>
      </c>
      <c r="F10" s="3">
        <f t="shared" si="1"/>
        <v>0.50546000000000002</v>
      </c>
      <c r="G10" s="3">
        <f t="shared" si="2"/>
        <v>0.200661059306111</v>
      </c>
      <c r="H10" s="3">
        <f t="shared" si="3"/>
        <v>65.762343799924082</v>
      </c>
      <c r="I10" s="3">
        <v>5.0999999999999996</v>
      </c>
      <c r="J10" s="3">
        <v>7.9653299999999996E-2</v>
      </c>
      <c r="K10" s="3">
        <f t="shared" si="4"/>
        <v>417.31145221992853</v>
      </c>
      <c r="L10" s="13"/>
    </row>
    <row r="11" spans="1:12">
      <c r="A11" s="3">
        <v>10</v>
      </c>
      <c r="B11" s="3">
        <f>1000/60.91</f>
        <v>16.417665407978987</v>
      </c>
      <c r="C11" s="3">
        <f>1000/63.57</f>
        <v>15.730690577316343</v>
      </c>
      <c r="D11" s="3">
        <f>1000/67.26</f>
        <v>14.86767766874814</v>
      </c>
      <c r="E11" s="3">
        <f t="shared" si="0"/>
        <v>15.672011218014489</v>
      </c>
      <c r="F11" s="3">
        <f t="shared" si="1"/>
        <v>0.50546000000000002</v>
      </c>
      <c r="G11" s="3">
        <f t="shared" si="2"/>
        <v>0.200661059306111</v>
      </c>
      <c r="H11" s="3">
        <f t="shared" si="3"/>
        <v>78.101906130708883</v>
      </c>
      <c r="I11" s="3">
        <v>5.0999999999999996</v>
      </c>
      <c r="J11" s="3">
        <v>7.9653299999999996E-2</v>
      </c>
      <c r="K11" s="3">
        <f t="shared" si="4"/>
        <v>495.61524096086561</v>
      </c>
      <c r="L11" s="13"/>
    </row>
    <row r="12" spans="1:12">
      <c r="A12" s="3">
        <v>12</v>
      </c>
      <c r="B12" s="3">
        <f>1000/54.86</f>
        <v>18.22821728034998</v>
      </c>
      <c r="C12" s="3">
        <f>1000/56.59</f>
        <v>17.670966601873122</v>
      </c>
      <c r="D12" s="3">
        <f>1000/58.8</f>
        <v>17.006802721088437</v>
      </c>
      <c r="E12" s="3">
        <f t="shared" si="0"/>
        <v>17.635328867770511</v>
      </c>
      <c r="F12" s="3">
        <f t="shared" si="1"/>
        <v>0.50546000000000002</v>
      </c>
      <c r="G12" s="3">
        <f t="shared" si="2"/>
        <v>0.200661059306111</v>
      </c>
      <c r="H12" s="3">
        <f t="shared" si="3"/>
        <v>87.886154537177006</v>
      </c>
      <c r="I12" s="3">
        <v>5.0999999999999996</v>
      </c>
      <c r="J12" s="3">
        <v>7.9653299999999996E-2</v>
      </c>
      <c r="K12" s="3">
        <f t="shared" si="4"/>
        <v>557.70364407201578</v>
      </c>
      <c r="L12" s="13"/>
    </row>
    <row r="13" spans="1:12">
      <c r="A13" s="3">
        <v>14</v>
      </c>
      <c r="B13" s="3">
        <f>1000/48.87</f>
        <v>20.462451401677921</v>
      </c>
      <c r="C13" s="3">
        <f>1000/51.97</f>
        <v>19.241870309794113</v>
      </c>
      <c r="D13" s="3">
        <f>1000/53.66</f>
        <v>18.635855385762209</v>
      </c>
      <c r="E13" s="3">
        <f t="shared" si="0"/>
        <v>19.446725699078083</v>
      </c>
      <c r="F13" s="3">
        <f t="shared" si="1"/>
        <v>0.50546000000000002</v>
      </c>
      <c r="G13" s="3">
        <f t="shared" si="2"/>
        <v>0.200661059306111</v>
      </c>
      <c r="H13" s="3">
        <f t="shared" si="3"/>
        <v>96.913301296849312</v>
      </c>
      <c r="I13" s="3">
        <v>5.0999999999999996</v>
      </c>
      <c r="J13" s="3">
        <v>7.9653299999999996E-2</v>
      </c>
      <c r="K13" s="3">
        <f t="shared" si="4"/>
        <v>614.98766872816896</v>
      </c>
      <c r="L13" s="13"/>
    </row>
    <row r="14" spans="1:12">
      <c r="A14" s="3">
        <v>16</v>
      </c>
      <c r="B14" s="3">
        <f>1000/45.12</f>
        <v>22.163120567375888</v>
      </c>
      <c r="C14" s="3">
        <f>1000/48.14</f>
        <v>20.772746157041961</v>
      </c>
      <c r="D14" s="3">
        <f>1000/48.26</f>
        <v>20.721094073767095</v>
      </c>
      <c r="E14" s="3">
        <f t="shared" si="0"/>
        <v>21.218986932728313</v>
      </c>
      <c r="F14" s="3">
        <f t="shared" si="1"/>
        <v>0.50546000000000002</v>
      </c>
      <c r="G14" s="3">
        <f t="shared" si="2"/>
        <v>0.200661059306111</v>
      </c>
      <c r="H14" s="3">
        <f t="shared" si="3"/>
        <v>105.74541471127429</v>
      </c>
      <c r="I14" s="3">
        <v>5.0999999999999996</v>
      </c>
      <c r="J14" s="3">
        <v>7.9653299999999996E-2</v>
      </c>
      <c r="K14" s="3">
        <f t="shared" si="4"/>
        <v>671.03406035858791</v>
      </c>
      <c r="L14" s="13"/>
    </row>
    <row r="15" spans="1:12">
      <c r="A15" s="3">
        <v>18</v>
      </c>
      <c r="B15" s="3">
        <f>1000/42.11</f>
        <v>23.747328425552126</v>
      </c>
      <c r="C15" s="3">
        <f>1000/43.96</f>
        <v>22.747952684258415</v>
      </c>
      <c r="D15" s="3">
        <f>1000/45.72</f>
        <v>21.872265966754156</v>
      </c>
      <c r="E15" s="3">
        <f t="shared" si="0"/>
        <v>22.789182358854902</v>
      </c>
      <c r="F15" s="3">
        <f t="shared" si="1"/>
        <v>0.50546000000000002</v>
      </c>
      <c r="G15" s="3">
        <f t="shared" si="2"/>
        <v>0.200661059306111</v>
      </c>
      <c r="H15" s="3">
        <f t="shared" si="3"/>
        <v>113.5705275236772</v>
      </c>
      <c r="I15" s="3">
        <v>5.0999999999999996</v>
      </c>
      <c r="J15" s="3">
        <v>7.9653299999999996E-2</v>
      </c>
      <c r="K15" s="3">
        <f t="shared" si="4"/>
        <v>720.69027701448499</v>
      </c>
      <c r="L15" s="13"/>
    </row>
    <row r="16" spans="1:12">
      <c r="A16" s="3">
        <v>20</v>
      </c>
      <c r="B16" s="3">
        <f>1500/63.58</f>
        <v>23.592324630386916</v>
      </c>
      <c r="C16" s="3">
        <f>1500/63.19</f>
        <v>23.737933217281217</v>
      </c>
      <c r="D16" s="3">
        <f>1500/62.9</f>
        <v>23.847376788553259</v>
      </c>
      <c r="E16" s="3">
        <f t="shared" si="0"/>
        <v>23.725878212073798</v>
      </c>
      <c r="F16" s="3">
        <f t="shared" si="1"/>
        <v>0.50546000000000002</v>
      </c>
      <c r="G16" s="3">
        <f t="shared" si="2"/>
        <v>0.200661059306111</v>
      </c>
      <c r="H16" s="3">
        <f t="shared" si="3"/>
        <v>118.23857750037924</v>
      </c>
      <c r="I16" s="3">
        <v>5.0999999999999996</v>
      </c>
      <c r="J16" s="3">
        <v>7.9653299999999996E-2</v>
      </c>
      <c r="K16" s="3">
        <f t="shared" si="4"/>
        <v>750.31255934583623</v>
      </c>
      <c r="L16" s="13"/>
    </row>
  </sheetData>
  <pageMargins left="0.75" right="0.75" top="1" bottom="1" header="0" footer="0"/>
  <pageSetup orientation="landscape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16"/>
  <sheetViews>
    <sheetView workbookViewId="0"/>
  </sheetViews>
  <sheetFormatPr defaultColWidth="11.33203125" defaultRowHeight="15" customHeight="1"/>
  <cols>
    <col min="1" max="1" width="6.6640625" customWidth="1"/>
    <col min="2" max="4" width="9.6640625" customWidth="1"/>
    <col min="5" max="5" width="9" customWidth="1"/>
    <col min="6" max="6" width="6.6640625" customWidth="1"/>
    <col min="7" max="8" width="9.6640625" customWidth="1"/>
    <col min="9" max="9" width="6.6640625" customWidth="1"/>
    <col min="10" max="10" width="8.109375" customWidth="1"/>
    <col min="11" max="11" width="9.6640625" customWidth="1"/>
    <col min="12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20</v>
      </c>
    </row>
    <row r="2" spans="1:12">
      <c r="A2" s="3">
        <v>0</v>
      </c>
      <c r="B2" s="3"/>
      <c r="C2" s="3"/>
      <c r="D2" s="3"/>
      <c r="E2" s="3">
        <f t="shared" ref="E2:E16" si="0">(B2+C2+D2)/3</f>
        <v>0</v>
      </c>
      <c r="F2" s="3">
        <v>0.38100000000000001</v>
      </c>
      <c r="G2" s="3">
        <f t="shared" ref="G2:G16" si="1">3.14159*F2*F2/4</f>
        <v>0.11400908649750001</v>
      </c>
      <c r="H2" s="3">
        <f t="shared" ref="H2:H16" si="2">E2/G2</f>
        <v>0</v>
      </c>
      <c r="I2" s="3">
        <v>5.2</v>
      </c>
      <c r="J2" s="3">
        <v>7.9653299999999996E-2</v>
      </c>
      <c r="K2" s="3">
        <f t="shared" ref="K2:K16" si="3">H2*F2/J2</f>
        <v>0</v>
      </c>
      <c r="L2" s="13"/>
    </row>
    <row r="3" spans="1:12">
      <c r="A3" s="3">
        <v>1</v>
      </c>
      <c r="B3" s="3">
        <f>100/103.62</f>
        <v>0.96506465933217522</v>
      </c>
      <c r="C3" s="3">
        <f>50/56.73</f>
        <v>0.88136788295434521</v>
      </c>
      <c r="D3" s="3">
        <f>50/55.4</f>
        <v>0.90252707581227443</v>
      </c>
      <c r="E3" s="3">
        <f t="shared" si="0"/>
        <v>0.91631987269959836</v>
      </c>
      <c r="F3" s="3">
        <v>0.38100000000000001</v>
      </c>
      <c r="G3" s="3">
        <f t="shared" si="1"/>
        <v>0.11400908649750001</v>
      </c>
      <c r="H3" s="3">
        <f t="shared" si="2"/>
        <v>8.0372530019323634</v>
      </c>
      <c r="I3" s="3">
        <v>5.2</v>
      </c>
      <c r="J3" s="3">
        <v>7.9653299999999996E-2</v>
      </c>
      <c r="K3" s="3">
        <f t="shared" si="3"/>
        <v>38.444024211630037</v>
      </c>
      <c r="L3" s="13"/>
    </row>
    <row r="4" spans="1:12">
      <c r="A4" s="3">
        <v>2</v>
      </c>
      <c r="B4" s="3">
        <f>100/46.9</f>
        <v>2.1321961620469083</v>
      </c>
      <c r="C4" s="3">
        <f>100/48.95</f>
        <v>2.0429009193054135</v>
      </c>
      <c r="D4" s="3">
        <f>100/49.56</f>
        <v>2.0177562550443904</v>
      </c>
      <c r="E4" s="3">
        <f t="shared" si="0"/>
        <v>2.0642844454655704</v>
      </c>
      <c r="F4" s="3">
        <v>0.38100000000000001</v>
      </c>
      <c r="G4" s="3">
        <f t="shared" si="1"/>
        <v>0.11400908649750001</v>
      </c>
      <c r="H4" s="3">
        <f t="shared" si="2"/>
        <v>18.106315109461349</v>
      </c>
      <c r="I4" s="3">
        <v>5.2</v>
      </c>
      <c r="J4" s="3">
        <v>7.9653299999999996E-2</v>
      </c>
      <c r="K4" s="3">
        <f t="shared" si="3"/>
        <v>86.606657309926561</v>
      </c>
      <c r="L4" s="13"/>
    </row>
    <row r="5" spans="1:12">
      <c r="A5" s="3">
        <v>3</v>
      </c>
      <c r="B5" s="3">
        <f>100/31.77</f>
        <v>3.1476235442241109</v>
      </c>
      <c r="C5" s="3">
        <f>100/35.65</f>
        <v>2.8050490883590462</v>
      </c>
      <c r="D5" s="3">
        <f>100/32.5</f>
        <v>3.0769230769230771</v>
      </c>
      <c r="E5" s="3">
        <f t="shared" si="0"/>
        <v>3.0098652365020779</v>
      </c>
      <c r="F5" s="3">
        <v>0.38100000000000001</v>
      </c>
      <c r="G5" s="3">
        <f t="shared" si="1"/>
        <v>0.11400908649750001</v>
      </c>
      <c r="H5" s="3">
        <f t="shared" si="2"/>
        <v>26.400222376732035</v>
      </c>
      <c r="I5" s="3">
        <v>5.2</v>
      </c>
      <c r="J5" s="3">
        <v>7.9653299999999996E-2</v>
      </c>
      <c r="K5" s="3">
        <f t="shared" si="3"/>
        <v>126.27831772864282</v>
      </c>
      <c r="L5" s="13"/>
    </row>
    <row r="6" spans="1:12">
      <c r="A6" s="3">
        <v>4</v>
      </c>
      <c r="B6" s="3">
        <f>150/39.68</f>
        <v>3.780241935483871</v>
      </c>
      <c r="C6" s="3">
        <f>150/40.31</f>
        <v>3.7211610022326962</v>
      </c>
      <c r="D6" s="3">
        <f>150/41.49</f>
        <v>3.6153289949385394</v>
      </c>
      <c r="E6" s="3">
        <f t="shared" si="0"/>
        <v>3.7055773108850354</v>
      </c>
      <c r="F6" s="3">
        <v>0.38100000000000001</v>
      </c>
      <c r="G6" s="3">
        <f t="shared" si="1"/>
        <v>0.11400908649750001</v>
      </c>
      <c r="H6" s="3">
        <f t="shared" si="2"/>
        <v>32.502473484569947</v>
      </c>
      <c r="I6" s="3">
        <v>5.2</v>
      </c>
      <c r="J6" s="3">
        <v>7.9653299999999996E-2</v>
      </c>
      <c r="K6" s="3">
        <f t="shared" si="3"/>
        <v>155.46678414605736</v>
      </c>
      <c r="L6" s="13"/>
    </row>
    <row r="7" spans="1:12">
      <c r="A7" s="3">
        <v>5</v>
      </c>
      <c r="B7" s="3">
        <f>200/43.75</f>
        <v>4.5714285714285712</v>
      </c>
      <c r="C7" s="3">
        <f>200/45.97</f>
        <v>4.3506634761801175</v>
      </c>
      <c r="D7" s="3">
        <f>200/43.6</f>
        <v>4.5871559633027523</v>
      </c>
      <c r="E7" s="3">
        <f t="shared" si="0"/>
        <v>4.5030826703038143</v>
      </c>
      <c r="F7" s="3">
        <v>0.38100000000000001</v>
      </c>
      <c r="G7" s="3">
        <f t="shared" si="1"/>
        <v>0.11400908649750001</v>
      </c>
      <c r="H7" s="3">
        <f t="shared" si="2"/>
        <v>39.497576979555554</v>
      </c>
      <c r="I7" s="3">
        <v>5.2</v>
      </c>
      <c r="J7" s="3">
        <v>7.9653299999999996E-2</v>
      </c>
      <c r="K7" s="3">
        <f t="shared" si="3"/>
        <v>188.92596828016752</v>
      </c>
      <c r="L7" s="13"/>
    </row>
    <row r="8" spans="1:12">
      <c r="A8" s="3">
        <v>6</v>
      </c>
      <c r="B8" s="3">
        <f>200/39.1</f>
        <v>5.1150895140664963</v>
      </c>
      <c r="C8" s="3">
        <f>200/39.06</f>
        <v>5.1203277009728616</v>
      </c>
      <c r="D8" s="3">
        <f>200/39.47</f>
        <v>5.0671395996959721</v>
      </c>
      <c r="E8" s="3">
        <f t="shared" si="0"/>
        <v>5.1008522715784439</v>
      </c>
      <c r="F8" s="3">
        <v>0.38100000000000001</v>
      </c>
      <c r="G8" s="3">
        <f t="shared" si="1"/>
        <v>0.11400908649750001</v>
      </c>
      <c r="H8" s="3">
        <f t="shared" si="2"/>
        <v>44.740752060058789</v>
      </c>
      <c r="I8" s="3">
        <v>5.2</v>
      </c>
      <c r="J8" s="3">
        <v>7.9653299999999996E-2</v>
      </c>
      <c r="K8" s="3">
        <f t="shared" si="3"/>
        <v>214.00527705546915</v>
      </c>
      <c r="L8" s="13"/>
    </row>
    <row r="9" spans="1:12">
      <c r="A9" s="3">
        <v>7</v>
      </c>
      <c r="B9" s="3">
        <f>300/51.53</f>
        <v>5.8218513487288961</v>
      </c>
      <c r="C9" s="3">
        <f>300/50.78</f>
        <v>5.9078377313903108</v>
      </c>
      <c r="D9" s="3">
        <f>300/51.66</f>
        <v>5.8072009291521489</v>
      </c>
      <c r="E9" s="3">
        <f t="shared" si="0"/>
        <v>5.8456300030904522</v>
      </c>
      <c r="F9" s="3">
        <v>0.38100000000000001</v>
      </c>
      <c r="G9" s="3">
        <f t="shared" si="1"/>
        <v>0.11400908649750001</v>
      </c>
      <c r="H9" s="3">
        <f t="shared" si="2"/>
        <v>51.27336936620955</v>
      </c>
      <c r="I9" s="3">
        <v>5.2</v>
      </c>
      <c r="J9" s="3">
        <v>7.9653299999999996E-2</v>
      </c>
      <c r="K9" s="3">
        <f t="shared" si="3"/>
        <v>245.25228369101893</v>
      </c>
      <c r="L9" s="13"/>
    </row>
    <row r="10" spans="1:12">
      <c r="A10" s="3">
        <v>8</v>
      </c>
      <c r="B10" s="3">
        <f>300/47</f>
        <v>6.3829787234042552</v>
      </c>
      <c r="C10" s="3">
        <f>300/45.94</f>
        <v>6.5302568567697001</v>
      </c>
      <c r="D10" s="3">
        <f>300/46.56</f>
        <v>6.4432989690721643</v>
      </c>
      <c r="E10" s="3">
        <f t="shared" si="0"/>
        <v>6.4521781830820402</v>
      </c>
      <c r="F10" s="3">
        <v>0.38100000000000001</v>
      </c>
      <c r="G10" s="3">
        <f t="shared" si="1"/>
        <v>0.11400908649750001</v>
      </c>
      <c r="H10" s="3">
        <f t="shared" si="2"/>
        <v>56.593543385890769</v>
      </c>
      <c r="I10" s="3">
        <v>5.2</v>
      </c>
      <c r="J10" s="3">
        <v>7.9653299999999996E-2</v>
      </c>
      <c r="K10" s="3">
        <f t="shared" si="3"/>
        <v>270.69989604981066</v>
      </c>
      <c r="L10" s="13"/>
    </row>
    <row r="11" spans="1:12">
      <c r="A11" s="3">
        <v>10</v>
      </c>
      <c r="B11" s="3">
        <f>400/53.88</f>
        <v>7.4239049740163319</v>
      </c>
      <c r="C11" s="3">
        <f>400/54.41</f>
        <v>7.3515897812902047</v>
      </c>
      <c r="D11" s="3">
        <f>300/39.72</f>
        <v>7.5528700906344417</v>
      </c>
      <c r="E11" s="3">
        <f t="shared" si="0"/>
        <v>7.4427882819803264</v>
      </c>
      <c r="F11" s="3">
        <v>0.38100000000000001</v>
      </c>
      <c r="G11" s="3">
        <f t="shared" si="1"/>
        <v>0.11400908649750001</v>
      </c>
      <c r="H11" s="3">
        <f t="shared" si="2"/>
        <v>65.282413100849922</v>
      </c>
      <c r="I11" s="3">
        <v>5.2</v>
      </c>
      <c r="J11" s="3">
        <v>7.9653299999999996E-2</v>
      </c>
      <c r="K11" s="3">
        <f t="shared" si="3"/>
        <v>312.26075242863539</v>
      </c>
      <c r="L11" s="13"/>
    </row>
    <row r="12" spans="1:12">
      <c r="A12" s="3">
        <v>12</v>
      </c>
      <c r="B12" s="3">
        <f>500/55.1</f>
        <v>9.0744101633393832</v>
      </c>
      <c r="C12" s="3">
        <f>500/54.46</f>
        <v>9.1810503121557101</v>
      </c>
      <c r="D12" s="3">
        <f>500/54.12</f>
        <v>9.2387287509238725</v>
      </c>
      <c r="E12" s="3">
        <f t="shared" si="0"/>
        <v>9.1647297421396541</v>
      </c>
      <c r="F12" s="3">
        <v>0.38100000000000001</v>
      </c>
      <c r="G12" s="3">
        <f t="shared" si="1"/>
        <v>0.11400908649750001</v>
      </c>
      <c r="H12" s="3">
        <f t="shared" si="2"/>
        <v>80.385958906359789</v>
      </c>
      <c r="I12" s="3">
        <v>5.2</v>
      </c>
      <c r="J12" s="3">
        <v>7.9653299999999996E-2</v>
      </c>
      <c r="K12" s="3">
        <f t="shared" si="3"/>
        <v>384.50447556250754</v>
      </c>
      <c r="L12" s="13"/>
    </row>
    <row r="13" spans="1:12">
      <c r="A13" s="3">
        <v>14</v>
      </c>
      <c r="B13" s="3">
        <f>500/52.77</f>
        <v>9.4750805381845744</v>
      </c>
      <c r="C13" s="3">
        <f>500/51.04</f>
        <v>9.7962382445141074</v>
      </c>
      <c r="D13" s="3">
        <f>500/55.01</f>
        <v>9.089256498818397</v>
      </c>
      <c r="E13" s="3">
        <f t="shared" si="0"/>
        <v>9.4535250938390263</v>
      </c>
      <c r="F13" s="3">
        <v>0.38100000000000001</v>
      </c>
      <c r="G13" s="3">
        <f t="shared" si="1"/>
        <v>0.11400908649750001</v>
      </c>
      <c r="H13" s="3">
        <f t="shared" si="2"/>
        <v>82.919049562302419</v>
      </c>
      <c r="I13" s="3">
        <v>5.2</v>
      </c>
      <c r="J13" s="3">
        <v>7.9653299999999996E-2</v>
      </c>
      <c r="K13" s="3">
        <f t="shared" si="3"/>
        <v>396.62082905839708</v>
      </c>
      <c r="L13" s="13"/>
    </row>
    <row r="14" spans="1:12">
      <c r="A14" s="3">
        <v>16</v>
      </c>
      <c r="B14" s="3">
        <f>500/50.08</f>
        <v>9.9840255591054312</v>
      </c>
      <c r="C14" s="3">
        <f>600/58.44</f>
        <v>10.266940451745381</v>
      </c>
      <c r="D14" s="3">
        <f>400/41.17</f>
        <v>9.7158124848190432</v>
      </c>
      <c r="E14" s="3">
        <f t="shared" si="0"/>
        <v>9.988926165223285</v>
      </c>
      <c r="F14" s="3">
        <v>0.38100000000000001</v>
      </c>
      <c r="G14" s="3">
        <f t="shared" si="1"/>
        <v>0.11400908649750001</v>
      </c>
      <c r="H14" s="3">
        <f t="shared" si="2"/>
        <v>87.615175878479846</v>
      </c>
      <c r="I14" s="3">
        <v>5.2</v>
      </c>
      <c r="J14" s="3">
        <v>7.9653299999999996E-2</v>
      </c>
      <c r="K14" s="3">
        <f t="shared" si="3"/>
        <v>419.08347814466975</v>
      </c>
      <c r="L14" s="13"/>
    </row>
    <row r="15" spans="1:12">
      <c r="A15" s="3">
        <v>18</v>
      </c>
      <c r="B15" s="3">
        <f>1000/85.36</f>
        <v>11.715089034676664</v>
      </c>
      <c r="C15" s="3">
        <f>1000/89.09</f>
        <v>11.224604332697272</v>
      </c>
      <c r="D15" s="3">
        <f>1000/90.29</f>
        <v>11.075423634954037</v>
      </c>
      <c r="E15" s="3">
        <f t="shared" si="0"/>
        <v>11.338372334109323</v>
      </c>
      <c r="F15" s="3">
        <v>0.38100000000000001</v>
      </c>
      <c r="G15" s="3">
        <f t="shared" si="1"/>
        <v>0.11400908649750001</v>
      </c>
      <c r="H15" s="3">
        <f t="shared" si="2"/>
        <v>99.45147954814945</v>
      </c>
      <c r="I15" s="3">
        <v>5.2</v>
      </c>
      <c r="J15" s="3">
        <v>7.9653299999999996E-2</v>
      </c>
      <c r="K15" s="3">
        <f t="shared" si="3"/>
        <v>475.69923289863624</v>
      </c>
      <c r="L15" s="13"/>
    </row>
    <row r="16" spans="1:12">
      <c r="A16" s="3">
        <v>20</v>
      </c>
      <c r="B16" s="3">
        <f>1000/79.22</f>
        <v>12.623074981065388</v>
      </c>
      <c r="C16" s="3">
        <f>1000/83.43</f>
        <v>11.986096128490949</v>
      </c>
      <c r="D16" s="3">
        <f>1000/86.55</f>
        <v>11.554015020219527</v>
      </c>
      <c r="E16" s="3">
        <f t="shared" si="0"/>
        <v>12.054395376591955</v>
      </c>
      <c r="F16" s="3">
        <v>0.38100000000000001</v>
      </c>
      <c r="G16" s="3">
        <f t="shared" si="1"/>
        <v>0.11400908649750001</v>
      </c>
      <c r="H16" s="3">
        <f t="shared" si="2"/>
        <v>105.73188284300728</v>
      </c>
      <c r="I16" s="3">
        <v>5.2</v>
      </c>
      <c r="J16" s="3">
        <v>7.9653299999999996E-2</v>
      </c>
      <c r="K16" s="3">
        <f t="shared" si="3"/>
        <v>505.73984208043834</v>
      </c>
      <c r="L16" s="13"/>
    </row>
  </sheetData>
  <pageMargins left="0.75" right="0.75" top="1" bottom="1" header="0" footer="0"/>
  <pageSetup orientation="landscape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16"/>
  <sheetViews>
    <sheetView tabSelected="1" workbookViewId="0">
      <selection activeCell="A3" sqref="A3"/>
    </sheetView>
  </sheetViews>
  <sheetFormatPr defaultColWidth="11.33203125" defaultRowHeight="15" customHeight="1"/>
  <cols>
    <col min="1" max="1" width="6.6640625" customWidth="1"/>
    <col min="2" max="4" width="9.6640625" customWidth="1"/>
    <col min="5" max="5" width="9" customWidth="1"/>
    <col min="6" max="6" width="6.6640625" customWidth="1"/>
    <col min="7" max="8" width="9.6640625" customWidth="1"/>
    <col min="9" max="9" width="6.6640625" customWidth="1"/>
    <col min="10" max="10" width="8.109375" customWidth="1"/>
    <col min="11" max="11" width="9.6640625" customWidth="1"/>
    <col min="12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20</v>
      </c>
    </row>
    <row r="2" spans="1:12">
      <c r="A2" s="3">
        <v>0</v>
      </c>
      <c r="B2" s="3"/>
      <c r="C2" s="3"/>
      <c r="D2" s="3"/>
      <c r="E2" s="3">
        <f t="shared" ref="E2:E15" si="0">(B2+C2+D2)/3</f>
        <v>0</v>
      </c>
      <c r="F2" s="6">
        <v>0.254</v>
      </c>
      <c r="G2" s="3">
        <f t="shared" ref="G2:G15" si="1">3.14159*F2*F2/4</f>
        <v>5.0670705109999999E-2</v>
      </c>
      <c r="H2" s="3">
        <f t="shared" ref="H2:H15" si="2">E2/G2</f>
        <v>0</v>
      </c>
      <c r="I2" s="6">
        <v>5.0999999999999996</v>
      </c>
      <c r="J2" s="3">
        <v>7.9653299999999996E-2</v>
      </c>
      <c r="K2" s="3">
        <f t="shared" ref="K2:K15" si="3">H2*F2/J2</f>
        <v>0</v>
      </c>
      <c r="L2" s="13"/>
    </row>
    <row r="3" spans="1:12">
      <c r="A3" s="3">
        <v>2</v>
      </c>
      <c r="B3" s="3">
        <f>20/48.26</f>
        <v>0.41442188147534192</v>
      </c>
      <c r="C3" s="3">
        <f>20/43.07</f>
        <v>0.46436034362665429</v>
      </c>
      <c r="D3" s="3">
        <f>20/47.13</f>
        <v>0.42435815828559303</v>
      </c>
      <c r="E3" s="3">
        <f t="shared" si="0"/>
        <v>0.43438012779586305</v>
      </c>
      <c r="F3" s="6">
        <v>0.254</v>
      </c>
      <c r="G3" s="3">
        <f t="shared" si="1"/>
        <v>5.0670705109999999E-2</v>
      </c>
      <c r="H3" s="3">
        <f t="shared" si="2"/>
        <v>8.5726087066062355</v>
      </c>
      <c r="I3" s="6">
        <v>5.0999999999999996</v>
      </c>
      <c r="J3" s="3">
        <v>7.9653299999999996E-2</v>
      </c>
      <c r="K3" s="3">
        <f t="shared" si="3"/>
        <v>27.336502209927072</v>
      </c>
      <c r="L3" s="13"/>
    </row>
    <row r="4" spans="1:12">
      <c r="A4" s="3">
        <v>3</v>
      </c>
      <c r="B4" s="3">
        <f>30/42.84</f>
        <v>0.70028011204481788</v>
      </c>
      <c r="C4" s="3">
        <f>30/43.54</f>
        <v>0.68902158934313273</v>
      </c>
      <c r="D4" s="3">
        <f>30/42.13</f>
        <v>0.71208165202943263</v>
      </c>
      <c r="E4" s="3">
        <f t="shared" si="0"/>
        <v>0.70046111780579434</v>
      </c>
      <c r="F4" s="6">
        <v>0.254</v>
      </c>
      <c r="G4" s="3">
        <f t="shared" si="1"/>
        <v>5.0670705109999999E-2</v>
      </c>
      <c r="H4" s="3">
        <f t="shared" si="2"/>
        <v>13.823788642474534</v>
      </c>
      <c r="I4" s="6">
        <v>5.0999999999999996</v>
      </c>
      <c r="J4" s="3">
        <v>7.9653299999999996E-2</v>
      </c>
      <c r="K4" s="3">
        <f t="shared" si="3"/>
        <v>44.081567432718195</v>
      </c>
      <c r="L4" s="13"/>
    </row>
    <row r="5" spans="1:12">
      <c r="A5" s="3">
        <v>4</v>
      </c>
      <c r="B5" s="3">
        <f>50/53.08</f>
        <v>0.94197437829691033</v>
      </c>
      <c r="C5" s="3">
        <f>50/53.51</f>
        <v>0.93440478415249495</v>
      </c>
      <c r="D5" s="3">
        <f>50/54.25</f>
        <v>0.92165898617511521</v>
      </c>
      <c r="E5" s="3">
        <f t="shared" si="0"/>
        <v>0.9326793828748402</v>
      </c>
      <c r="F5" s="6">
        <v>0.254</v>
      </c>
      <c r="G5" s="3">
        <f t="shared" si="1"/>
        <v>5.0670705109999999E-2</v>
      </c>
      <c r="H5" s="3">
        <f t="shared" si="2"/>
        <v>18.406678589731595</v>
      </c>
      <c r="I5" s="6">
        <v>5.0999999999999996</v>
      </c>
      <c r="J5" s="3">
        <v>7.9653299999999996E-2</v>
      </c>
      <c r="K5" s="3">
        <f t="shared" si="3"/>
        <v>58.69557647695482</v>
      </c>
      <c r="L5" s="13"/>
    </row>
    <row r="6" spans="1:12">
      <c r="A6" s="3">
        <v>5</v>
      </c>
      <c r="B6" s="3">
        <f>50/42.4</f>
        <v>1.179245283018868</v>
      </c>
      <c r="C6" s="3">
        <f>50/43.37</f>
        <v>1.1528706479133042</v>
      </c>
      <c r="D6" s="3">
        <f>50/42.51</f>
        <v>1.1761938367442955</v>
      </c>
      <c r="E6" s="3">
        <f t="shared" si="0"/>
        <v>1.1694365892254892</v>
      </c>
      <c r="F6" s="6">
        <v>0.254</v>
      </c>
      <c r="G6" s="3">
        <f t="shared" si="1"/>
        <v>5.0670705109999999E-2</v>
      </c>
      <c r="H6" s="3">
        <f t="shared" si="2"/>
        <v>23.079145764535607</v>
      </c>
      <c r="I6" s="6">
        <v>5.0999999999999996</v>
      </c>
      <c r="J6" s="3">
        <v>7.9653299999999996E-2</v>
      </c>
      <c r="K6" s="3">
        <f t="shared" si="3"/>
        <v>73.595231135333307</v>
      </c>
      <c r="L6" s="13"/>
    </row>
    <row r="7" spans="1:12">
      <c r="A7" s="3">
        <v>6</v>
      </c>
      <c r="B7" s="3">
        <f>50/36.4</f>
        <v>1.3736263736263736</v>
      </c>
      <c r="C7" s="3">
        <f>50/38.44</f>
        <v>1.3007284079084287</v>
      </c>
      <c r="D7" s="3">
        <f>50/35.69</f>
        <v>1.4009526478005043</v>
      </c>
      <c r="E7" s="3">
        <f t="shared" si="0"/>
        <v>1.3584358097784355</v>
      </c>
      <c r="F7" s="6">
        <v>0.254</v>
      </c>
      <c r="G7" s="3">
        <f t="shared" si="1"/>
        <v>5.0670705109999999E-2</v>
      </c>
      <c r="H7" s="3">
        <f t="shared" si="2"/>
        <v>26.809096238732714</v>
      </c>
      <c r="I7" s="6">
        <v>5.0999999999999996</v>
      </c>
      <c r="J7" s="3">
        <v>7.9653299999999996E-2</v>
      </c>
      <c r="K7" s="3">
        <f t="shared" si="3"/>
        <v>85.48937011571536</v>
      </c>
      <c r="L7" s="13"/>
    </row>
    <row r="8" spans="1:12">
      <c r="A8" s="3">
        <v>7</v>
      </c>
      <c r="B8" s="3">
        <f>50/32.03</f>
        <v>1.5610365282547611</v>
      </c>
      <c r="C8" s="3">
        <f>50/30.6</f>
        <v>1.6339869281045751</v>
      </c>
      <c r="D8" s="3">
        <f>50/31.68</f>
        <v>1.5782828282828283</v>
      </c>
      <c r="E8" s="3">
        <f t="shared" si="0"/>
        <v>1.5911020948807213</v>
      </c>
      <c r="F8" s="6">
        <v>0.254</v>
      </c>
      <c r="G8" s="3">
        <f t="shared" si="1"/>
        <v>5.0670705109999999E-2</v>
      </c>
      <c r="H8" s="3">
        <f t="shared" si="2"/>
        <v>31.400827981900594</v>
      </c>
      <c r="I8" s="6">
        <v>5.0999999999999996</v>
      </c>
      <c r="J8" s="3">
        <v>7.9653299999999996E-2</v>
      </c>
      <c r="K8" s="3">
        <f t="shared" si="3"/>
        <v>100.13157405158043</v>
      </c>
      <c r="L8" s="13"/>
    </row>
    <row r="9" spans="1:12">
      <c r="A9" s="3">
        <v>8</v>
      </c>
      <c r="B9" s="3">
        <f>50/27.63</f>
        <v>1.8096272167933407</v>
      </c>
      <c r="C9" s="3">
        <f>50/27.93</f>
        <v>1.7901897601145722</v>
      </c>
      <c r="D9" s="3">
        <f>50/28.19</f>
        <v>1.7736786094359702</v>
      </c>
      <c r="E9" s="3">
        <f t="shared" si="0"/>
        <v>1.791165195447961</v>
      </c>
      <c r="F9" s="6">
        <v>0.254</v>
      </c>
      <c r="G9" s="3">
        <f t="shared" si="1"/>
        <v>5.0670705109999999E-2</v>
      </c>
      <c r="H9" s="3">
        <f t="shared" si="2"/>
        <v>35.349127105288098</v>
      </c>
      <c r="I9" s="6">
        <v>5.0999999999999996</v>
      </c>
      <c r="J9" s="3">
        <v>7.9653299999999996E-2</v>
      </c>
      <c r="K9" s="3">
        <f t="shared" si="3"/>
        <v>112.72198747249865</v>
      </c>
      <c r="L9" s="13"/>
    </row>
    <row r="10" spans="1:12">
      <c r="A10" s="3">
        <v>10</v>
      </c>
      <c r="B10" s="3">
        <f>100/47.32</f>
        <v>2.1132713440405748</v>
      </c>
      <c r="C10" s="3">
        <f>100/45.33</f>
        <v>2.2060445621001543</v>
      </c>
      <c r="D10" s="3">
        <f>100/47.79</f>
        <v>2.0924879681941828</v>
      </c>
      <c r="E10" s="3">
        <f t="shared" si="0"/>
        <v>2.1372679581116372</v>
      </c>
      <c r="F10" s="6">
        <v>0.254</v>
      </c>
      <c r="G10" s="3">
        <f t="shared" si="1"/>
        <v>5.0670705109999999E-2</v>
      </c>
      <c r="H10" s="3">
        <f t="shared" si="2"/>
        <v>42.179558257022194</v>
      </c>
      <c r="I10" s="6">
        <v>5.0999999999999996</v>
      </c>
      <c r="J10" s="3">
        <v>7.9653299999999996E-2</v>
      </c>
      <c r="K10" s="3">
        <f t="shared" si="3"/>
        <v>134.50299984160904</v>
      </c>
      <c r="L10" s="13"/>
    </row>
    <row r="11" spans="1:12">
      <c r="A11" s="3">
        <v>12</v>
      </c>
      <c r="B11" s="3">
        <f>100/41.09</f>
        <v>2.433682161109759</v>
      </c>
      <c r="C11" s="3">
        <f>100/40.08</f>
        <v>2.4950099800399204</v>
      </c>
      <c r="D11" s="3">
        <f>100/39.14</f>
        <v>2.5549310168625445</v>
      </c>
      <c r="E11" s="3">
        <f t="shared" si="0"/>
        <v>2.494541052670741</v>
      </c>
      <c r="F11" s="6">
        <v>0.254</v>
      </c>
      <c r="G11" s="3">
        <f t="shared" si="1"/>
        <v>5.0670705109999999E-2</v>
      </c>
      <c r="H11" s="3">
        <f t="shared" si="2"/>
        <v>49.230438914465324</v>
      </c>
      <c r="I11" s="6">
        <v>5.0999999999999996</v>
      </c>
      <c r="J11" s="3">
        <v>7.9653299999999996E-2</v>
      </c>
      <c r="K11" s="3">
        <f t="shared" si="3"/>
        <v>156.98698590358708</v>
      </c>
      <c r="L11" s="13"/>
    </row>
    <row r="12" spans="1:12">
      <c r="A12" s="3">
        <v>14</v>
      </c>
      <c r="B12" s="3">
        <f>100/33.32</f>
        <v>3.0012004801920766</v>
      </c>
      <c r="C12" s="3">
        <f>100/34.94</f>
        <v>2.8620492272467088</v>
      </c>
      <c r="D12" s="3">
        <f>100/33.18</f>
        <v>3.0138637733574445</v>
      </c>
      <c r="E12" s="3">
        <f t="shared" si="0"/>
        <v>2.9590378269320765</v>
      </c>
      <c r="F12" s="6">
        <v>0.254</v>
      </c>
      <c r="G12" s="3">
        <f t="shared" si="1"/>
        <v>5.0670705109999999E-2</v>
      </c>
      <c r="H12" s="3">
        <f t="shared" si="2"/>
        <v>58.397407742962365</v>
      </c>
      <c r="I12" s="6">
        <v>5.0999999999999996</v>
      </c>
      <c r="J12" s="3">
        <v>7.9653299999999996E-2</v>
      </c>
      <c r="K12" s="3">
        <f t="shared" si="3"/>
        <v>186.21879528798482</v>
      </c>
      <c r="L12" s="13"/>
    </row>
    <row r="13" spans="1:12">
      <c r="A13" s="3">
        <v>16</v>
      </c>
      <c r="B13" s="7">
        <f>150/46.64</f>
        <v>3.2161234991423671</v>
      </c>
      <c r="C13" s="3">
        <f>150/48.36</f>
        <v>3.1017369727047148</v>
      </c>
      <c r="D13" s="3">
        <f>150/49.01</f>
        <v>3.060599877576005</v>
      </c>
      <c r="E13" s="3">
        <f t="shared" si="0"/>
        <v>3.1261534498076955</v>
      </c>
      <c r="F13" s="6">
        <v>0.254</v>
      </c>
      <c r="G13" s="3">
        <f t="shared" si="1"/>
        <v>5.0670705109999999E-2</v>
      </c>
      <c r="H13" s="3">
        <f t="shared" si="2"/>
        <v>61.69547952848086</v>
      </c>
      <c r="I13" s="6">
        <v>5.0999999999999996</v>
      </c>
      <c r="J13" s="3">
        <v>7.9653299999999996E-2</v>
      </c>
      <c r="K13" s="3">
        <f t="shared" si="3"/>
        <v>196.73575106410078</v>
      </c>
      <c r="L13" s="13"/>
    </row>
    <row r="14" spans="1:12">
      <c r="A14" s="3">
        <v>18</v>
      </c>
      <c r="B14" s="3">
        <f>150/44.08</f>
        <v>3.4029038112522687</v>
      </c>
      <c r="C14" s="7">
        <f>150/42.88</f>
        <v>3.4981343283582089</v>
      </c>
      <c r="D14" s="3">
        <f>150/43.86</f>
        <v>3.4199726402188784</v>
      </c>
      <c r="E14" s="3">
        <f t="shared" si="0"/>
        <v>3.4403369266097852</v>
      </c>
      <c r="F14" s="6">
        <v>0.254</v>
      </c>
      <c r="G14" s="3">
        <f t="shared" si="1"/>
        <v>5.0670705109999999E-2</v>
      </c>
      <c r="H14" s="3">
        <f t="shared" si="2"/>
        <v>67.895974984781205</v>
      </c>
      <c r="I14" s="6">
        <v>5.0999999999999996</v>
      </c>
      <c r="J14" s="3">
        <v>7.9653299999999996E-2</v>
      </c>
      <c r="K14" s="3">
        <f t="shared" si="3"/>
        <v>216.50801217444132</v>
      </c>
      <c r="L14" s="13"/>
    </row>
    <row r="15" spans="1:12">
      <c r="A15" s="3">
        <v>20</v>
      </c>
      <c r="B15" s="3">
        <f>150/39.56</f>
        <v>3.7917087967644081</v>
      </c>
      <c r="C15" s="3">
        <f>150/40.95</f>
        <v>3.6630036630036629</v>
      </c>
      <c r="D15" s="3">
        <f>150/40</f>
        <v>3.75</v>
      </c>
      <c r="E15" s="3">
        <f t="shared" si="0"/>
        <v>3.7349041532560237</v>
      </c>
      <c r="F15" s="6">
        <v>0.254</v>
      </c>
      <c r="G15" s="3">
        <f t="shared" si="1"/>
        <v>5.0670705109999999E-2</v>
      </c>
      <c r="H15" s="3">
        <f t="shared" si="2"/>
        <v>73.709338465845235</v>
      </c>
      <c r="I15" s="6">
        <v>5.0999999999999996</v>
      </c>
      <c r="J15" s="3">
        <v>7.9653299999999996E-2</v>
      </c>
      <c r="K15" s="3">
        <f t="shared" si="3"/>
        <v>235.04577927499165</v>
      </c>
      <c r="L15" s="13"/>
    </row>
    <row r="16" spans="1:12" ht="1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</sheetData>
  <pageMargins left="0.75" right="0.75" top="1" bottom="1" header="0" footer="0"/>
  <pageSetup orientation="landscape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16"/>
  <sheetViews>
    <sheetView workbookViewId="0"/>
  </sheetViews>
  <sheetFormatPr defaultColWidth="11.33203125" defaultRowHeight="15" customHeight="1"/>
  <cols>
    <col min="1" max="1" width="6.6640625" customWidth="1"/>
    <col min="2" max="4" width="9.6640625" customWidth="1"/>
    <col min="5" max="5" width="9" customWidth="1"/>
    <col min="6" max="6" width="6.6640625" customWidth="1"/>
    <col min="7" max="8" width="9.6640625" customWidth="1"/>
    <col min="9" max="9" width="6.6640625" customWidth="1"/>
    <col min="10" max="10" width="8.109375" customWidth="1"/>
    <col min="11" max="11" width="9.6640625" customWidth="1"/>
    <col min="12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20</v>
      </c>
    </row>
    <row r="2" spans="1:12">
      <c r="A2" s="3">
        <v>0</v>
      </c>
      <c r="B2" s="3"/>
      <c r="C2" s="3"/>
      <c r="D2" s="3"/>
      <c r="E2" s="3">
        <f t="shared" ref="E2:E16" si="0">(B2+C2+D2)/3</f>
        <v>0</v>
      </c>
      <c r="F2" s="6">
        <v>0.77470000000000006</v>
      </c>
      <c r="G2" s="3">
        <f t="shared" ref="G2:G16" si="1">3.14159*F2*F2/4</f>
        <v>0.47136423428577501</v>
      </c>
      <c r="H2" s="3">
        <f t="shared" ref="H2:H16" si="2">E2/G2</f>
        <v>0</v>
      </c>
      <c r="I2" s="6">
        <v>17.600000000000001</v>
      </c>
      <c r="J2" s="3">
        <v>7.9653299999999996E-2</v>
      </c>
      <c r="K2" s="3">
        <f t="shared" ref="K2:K16" si="3">H2*F2/J2</f>
        <v>0</v>
      </c>
      <c r="L2" s="13"/>
    </row>
    <row r="3" spans="1:12">
      <c r="A3" s="3">
        <v>1</v>
      </c>
      <c r="B3" s="3">
        <f>300/46.84</f>
        <v>6.4047822374039276</v>
      </c>
      <c r="C3" s="3">
        <f>300/45.03</f>
        <v>6.6622251832111923</v>
      </c>
      <c r="D3" s="3">
        <f>300/43.91</f>
        <v>6.8321566841266232</v>
      </c>
      <c r="E3" s="3">
        <f t="shared" si="0"/>
        <v>6.6330547015805807</v>
      </c>
      <c r="F3" s="6">
        <v>0.77470000000000006</v>
      </c>
      <c r="G3" s="3">
        <f t="shared" si="1"/>
        <v>0.47136423428577501</v>
      </c>
      <c r="H3" s="3">
        <f t="shared" si="2"/>
        <v>14.072036482851061</v>
      </c>
      <c r="I3" s="6">
        <v>17.600000000000001</v>
      </c>
      <c r="J3" s="3">
        <v>7.9653299999999996E-2</v>
      </c>
      <c r="K3" s="3">
        <f t="shared" si="3"/>
        <v>136.86321424554561</v>
      </c>
      <c r="L3" s="13"/>
    </row>
    <row r="4" spans="1:12">
      <c r="A4" s="3">
        <v>2</v>
      </c>
      <c r="B4" s="3">
        <f>500/45.9</f>
        <v>10.893246187363834</v>
      </c>
      <c r="C4" s="3">
        <f>500/45.76</f>
        <v>10.926573426573427</v>
      </c>
      <c r="D4" s="3">
        <f>500/48.37</f>
        <v>10.336985734959686</v>
      </c>
      <c r="E4" s="3">
        <f t="shared" si="0"/>
        <v>10.718935116298985</v>
      </c>
      <c r="F4" s="6">
        <v>0.77470000000000006</v>
      </c>
      <c r="G4" s="3">
        <f t="shared" si="1"/>
        <v>0.47136423428577501</v>
      </c>
      <c r="H4" s="3">
        <f t="shared" si="2"/>
        <v>22.740238517546057</v>
      </c>
      <c r="I4" s="6">
        <v>17.600000000000001</v>
      </c>
      <c r="J4" s="3">
        <v>7.9653299999999996E-2</v>
      </c>
      <c r="K4" s="3">
        <f t="shared" si="3"/>
        <v>221.16927709891405</v>
      </c>
      <c r="L4" s="13"/>
    </row>
    <row r="5" spans="1:12">
      <c r="A5" s="3">
        <v>3</v>
      </c>
      <c r="B5" s="3">
        <f>500/34.94</f>
        <v>14.310246136233545</v>
      </c>
      <c r="C5" s="3">
        <f>500/34.41</f>
        <v>14.530659691950015</v>
      </c>
      <c r="D5" s="3">
        <f>500/35.86</f>
        <v>13.943112102621305</v>
      </c>
      <c r="E5" s="3">
        <f t="shared" si="0"/>
        <v>14.261339310268289</v>
      </c>
      <c r="F5" s="6">
        <v>0.77470000000000006</v>
      </c>
      <c r="G5" s="3">
        <f t="shared" si="1"/>
        <v>0.47136423428577501</v>
      </c>
      <c r="H5" s="3">
        <f t="shared" si="2"/>
        <v>30.255454854094925</v>
      </c>
      <c r="I5" s="6">
        <v>17.600000000000001</v>
      </c>
      <c r="J5" s="3">
        <v>7.9653299999999996E-2</v>
      </c>
      <c r="K5" s="3">
        <f t="shared" si="3"/>
        <v>294.26151679173796</v>
      </c>
      <c r="L5" s="13"/>
    </row>
    <row r="6" spans="1:12">
      <c r="A6" s="3">
        <v>4</v>
      </c>
      <c r="B6" s="3">
        <f>500/28.4</f>
        <v>17.605633802816904</v>
      </c>
      <c r="C6" s="3">
        <f>500/28.11</f>
        <v>17.787264318747777</v>
      </c>
      <c r="D6" s="3">
        <f>500/29.39</f>
        <v>17.012589316093909</v>
      </c>
      <c r="E6" s="3">
        <f t="shared" si="0"/>
        <v>17.468495812552863</v>
      </c>
      <c r="F6" s="6">
        <v>0.77470000000000006</v>
      </c>
      <c r="G6" s="3">
        <f t="shared" si="1"/>
        <v>0.47136423428577501</v>
      </c>
      <c r="H6" s="3">
        <f t="shared" si="2"/>
        <v>37.059442660136575</v>
      </c>
      <c r="I6" s="6">
        <v>17.600000000000001</v>
      </c>
      <c r="J6" s="3">
        <v>7.9653299999999996E-2</v>
      </c>
      <c r="K6" s="3">
        <f t="shared" si="3"/>
        <v>360.43641919176991</v>
      </c>
      <c r="L6" s="13"/>
    </row>
    <row r="7" spans="1:12">
      <c r="A7" s="3">
        <v>5</v>
      </c>
      <c r="B7" s="3">
        <f>800/40.2</f>
        <v>19.900497512437809</v>
      </c>
      <c r="C7" s="3">
        <f>800/40.86</f>
        <v>19.579050416054823</v>
      </c>
      <c r="D7" s="3">
        <f>800/41.33</f>
        <v>19.356399709654006</v>
      </c>
      <c r="E7" s="3">
        <f t="shared" si="0"/>
        <v>19.611982546048882</v>
      </c>
      <c r="F7" s="6">
        <v>0.77470000000000006</v>
      </c>
      <c r="G7" s="3">
        <f t="shared" si="1"/>
        <v>0.47136423428577501</v>
      </c>
      <c r="H7" s="3">
        <f t="shared" si="2"/>
        <v>41.606853298416958</v>
      </c>
      <c r="I7" s="6">
        <v>17.600000000000001</v>
      </c>
      <c r="J7" s="3">
        <v>7.9653299999999996E-2</v>
      </c>
      <c r="K7" s="3">
        <f t="shared" si="3"/>
        <v>404.6640785790874</v>
      </c>
      <c r="L7" s="13"/>
    </row>
    <row r="8" spans="1:12">
      <c r="A8" s="3">
        <v>6</v>
      </c>
      <c r="B8" s="3">
        <f>1000/44.26</f>
        <v>22.593764121102577</v>
      </c>
      <c r="C8" s="3">
        <f>1000/44.6</f>
        <v>22.421524663677129</v>
      </c>
      <c r="D8" s="3">
        <f>1000/44.58</f>
        <v>22.43158366980709</v>
      </c>
      <c r="E8" s="3">
        <f t="shared" si="0"/>
        <v>22.482290818195597</v>
      </c>
      <c r="F8" s="6">
        <v>0.77470000000000006</v>
      </c>
      <c r="G8" s="3">
        <f t="shared" si="1"/>
        <v>0.47136423428577501</v>
      </c>
      <c r="H8" s="3">
        <f t="shared" si="2"/>
        <v>47.696217028984876</v>
      </c>
      <c r="I8" s="6">
        <v>17.600000000000001</v>
      </c>
      <c r="J8" s="3">
        <v>7.9653299999999996E-2</v>
      </c>
      <c r="K8" s="3">
        <f t="shared" si="3"/>
        <v>463.88861895683652</v>
      </c>
      <c r="L8" s="13"/>
    </row>
    <row r="9" spans="1:12">
      <c r="A9" s="3">
        <v>7</v>
      </c>
      <c r="B9" s="3">
        <f>1000/39.96</f>
        <v>25.025025025025023</v>
      </c>
      <c r="C9" s="3">
        <f>1000/39.77</f>
        <v>25.144581342720642</v>
      </c>
      <c r="D9" s="3">
        <f>1000/40.13</f>
        <v>24.919013207076997</v>
      </c>
      <c r="E9" s="3">
        <f t="shared" si="0"/>
        <v>25.029539858274219</v>
      </c>
      <c r="F9" s="6">
        <v>0.77470000000000006</v>
      </c>
      <c r="G9" s="3">
        <f t="shared" si="1"/>
        <v>0.47136423428577501</v>
      </c>
      <c r="H9" s="3">
        <f t="shared" si="2"/>
        <v>53.100210066212846</v>
      </c>
      <c r="I9" s="6">
        <v>17.600000000000001</v>
      </c>
      <c r="J9" s="3">
        <v>7.9653299999999996E-2</v>
      </c>
      <c r="K9" s="3">
        <f t="shared" si="3"/>
        <v>516.44731277040751</v>
      </c>
      <c r="L9" s="13"/>
    </row>
    <row r="10" spans="1:12">
      <c r="A10" s="3">
        <v>8</v>
      </c>
      <c r="B10" s="3">
        <f>1000/36.86</f>
        <v>27.129679869777537</v>
      </c>
      <c r="C10" s="3">
        <f>1000/36.36</f>
        <v>27.502750275027502</v>
      </c>
      <c r="D10" s="3">
        <f>1000/36.69</f>
        <v>27.255382938130282</v>
      </c>
      <c r="E10" s="3">
        <f t="shared" si="0"/>
        <v>27.295937694311775</v>
      </c>
      <c r="F10" s="6">
        <v>0.77470000000000006</v>
      </c>
      <c r="G10" s="3">
        <f t="shared" si="1"/>
        <v>0.47136423428577501</v>
      </c>
      <c r="H10" s="3">
        <f t="shared" si="2"/>
        <v>57.908376811132868</v>
      </c>
      <c r="I10" s="6">
        <v>17.600000000000001</v>
      </c>
      <c r="J10" s="3">
        <v>7.9653299999999996E-2</v>
      </c>
      <c r="K10" s="3">
        <f t="shared" si="3"/>
        <v>563.21105987554358</v>
      </c>
      <c r="L10" s="13"/>
    </row>
    <row r="11" spans="1:12">
      <c r="A11" s="3">
        <v>10</v>
      </c>
      <c r="B11" s="3">
        <f>1500/47.83</f>
        <v>31.36107045787163</v>
      </c>
      <c r="C11" s="3">
        <f>1500/46.26</f>
        <v>32.425421530479895</v>
      </c>
      <c r="D11" s="3">
        <f>1500/45.76</f>
        <v>32.77972027972028</v>
      </c>
      <c r="E11" s="3">
        <f t="shared" si="0"/>
        <v>32.1887374226906</v>
      </c>
      <c r="F11" s="6">
        <v>0.77470000000000006</v>
      </c>
      <c r="G11" s="3">
        <f t="shared" si="1"/>
        <v>0.47136423428577501</v>
      </c>
      <c r="H11" s="3">
        <f t="shared" si="2"/>
        <v>68.288459499825919</v>
      </c>
      <c r="I11" s="6">
        <v>17.600000000000001</v>
      </c>
      <c r="J11" s="3">
        <v>7.9653299999999996E-2</v>
      </c>
      <c r="K11" s="3">
        <f t="shared" si="3"/>
        <v>664.16670212678127</v>
      </c>
      <c r="L11" s="13"/>
    </row>
    <row r="12" spans="1:12">
      <c r="A12" s="3">
        <v>12</v>
      </c>
      <c r="B12" s="3">
        <f>1500/43.21</f>
        <v>34.714186530895624</v>
      </c>
      <c r="C12" s="3">
        <f>1500/41.18</f>
        <v>36.425449247207382</v>
      </c>
      <c r="D12" s="3">
        <f>1500/40.43</f>
        <v>37.101162503091764</v>
      </c>
      <c r="E12" s="3">
        <f t="shared" si="0"/>
        <v>36.080266093731588</v>
      </c>
      <c r="F12" s="6">
        <v>0.77470000000000006</v>
      </c>
      <c r="G12" s="3">
        <f t="shared" si="1"/>
        <v>0.47136423428577501</v>
      </c>
      <c r="H12" s="3">
        <f t="shared" si="2"/>
        <v>76.544343989953902</v>
      </c>
      <c r="I12" s="6">
        <v>17.600000000000001</v>
      </c>
      <c r="J12" s="3">
        <v>7.9653299999999996E-2</v>
      </c>
      <c r="K12" s="3">
        <f t="shared" si="3"/>
        <v>744.4626059311704</v>
      </c>
      <c r="L12" s="13"/>
    </row>
    <row r="13" spans="1:12">
      <c r="A13" s="3">
        <v>14</v>
      </c>
      <c r="B13" s="3">
        <f>2000/50.96</f>
        <v>39.246467817896388</v>
      </c>
      <c r="C13" s="3">
        <f>2000/49.51</f>
        <v>40.395879620278734</v>
      </c>
      <c r="D13" s="3">
        <f>2000/50</f>
        <v>40</v>
      </c>
      <c r="E13" s="3">
        <f t="shared" si="0"/>
        <v>39.880782479391705</v>
      </c>
      <c r="F13" s="6">
        <v>0.77470000000000006</v>
      </c>
      <c r="G13" s="3">
        <f t="shared" si="1"/>
        <v>0.47136423428577501</v>
      </c>
      <c r="H13" s="3">
        <f t="shared" si="2"/>
        <v>84.607145766628307</v>
      </c>
      <c r="I13" s="6">
        <v>17.600000000000001</v>
      </c>
      <c r="J13" s="3">
        <v>7.9653299999999996E-2</v>
      </c>
      <c r="K13" s="3">
        <f t="shared" si="3"/>
        <v>822.88060664664181</v>
      </c>
      <c r="L13" s="13"/>
    </row>
    <row r="14" spans="1:12">
      <c r="A14" s="3">
        <v>16</v>
      </c>
      <c r="B14" s="7">
        <f>2000/46.28</f>
        <v>43.215211754537599</v>
      </c>
      <c r="C14" s="3">
        <f>2000/45.37</f>
        <v>44.081992506061276</v>
      </c>
      <c r="D14" s="3">
        <f>2000/46.87</f>
        <v>42.671218263281418</v>
      </c>
      <c r="E14" s="3">
        <f t="shared" si="0"/>
        <v>43.3228075079601</v>
      </c>
      <c r="F14" s="6">
        <v>0.77470000000000006</v>
      </c>
      <c r="G14" s="3">
        <f t="shared" si="1"/>
        <v>0.47136423428577501</v>
      </c>
      <c r="H14" s="3">
        <f t="shared" si="2"/>
        <v>91.909407538321389</v>
      </c>
      <c r="I14" s="6">
        <v>17.600000000000001</v>
      </c>
      <c r="J14" s="3">
        <v>7.9653299999999996E-2</v>
      </c>
      <c r="K14" s="3">
        <f t="shared" si="3"/>
        <v>893.90167161859699</v>
      </c>
      <c r="L14" s="13"/>
    </row>
    <row r="15" spans="1:12">
      <c r="A15" s="3">
        <v>18</v>
      </c>
      <c r="B15" s="3">
        <f>2000/39.94</f>
        <v>50.075112669003509</v>
      </c>
      <c r="C15" s="7">
        <f>2000/42.22</f>
        <v>47.370914258645193</v>
      </c>
      <c r="D15" s="3">
        <f>2000/40.02</f>
        <v>49.97501249375312</v>
      </c>
      <c r="E15" s="3">
        <f t="shared" si="0"/>
        <v>49.140346473800605</v>
      </c>
      <c r="F15" s="6">
        <v>0.77470000000000006</v>
      </c>
      <c r="G15" s="3">
        <f t="shared" si="1"/>
        <v>0.47136423428577501</v>
      </c>
      <c r="H15" s="3">
        <f t="shared" si="2"/>
        <v>104.2513260435627</v>
      </c>
      <c r="I15" s="6">
        <v>17.600000000000001</v>
      </c>
      <c r="J15" s="3">
        <v>7.9653299999999996E-2</v>
      </c>
      <c r="K15" s="3">
        <f t="shared" si="3"/>
        <v>1013.9379320875347</v>
      </c>
      <c r="L15" s="13"/>
    </row>
    <row r="16" spans="1:12">
      <c r="A16" s="3">
        <v>20</v>
      </c>
      <c r="B16" s="3">
        <f>2000/38.27</f>
        <v>52.260256075254766</v>
      </c>
      <c r="C16" s="3">
        <f>2000/38.12</f>
        <v>52.465897166841557</v>
      </c>
      <c r="D16" s="3">
        <f>2000/38.75</f>
        <v>51.612903225806448</v>
      </c>
      <c r="E16" s="3">
        <f t="shared" si="0"/>
        <v>52.113018822634253</v>
      </c>
      <c r="F16" s="6">
        <v>0.77470000000000006</v>
      </c>
      <c r="G16" s="3">
        <f t="shared" si="1"/>
        <v>0.47136423428577501</v>
      </c>
      <c r="H16" s="3">
        <f t="shared" si="2"/>
        <v>110.55785533155148</v>
      </c>
      <c r="I16" s="6">
        <v>17.600000000000001</v>
      </c>
      <c r="J16" s="3">
        <v>7.9653299999999996E-2</v>
      </c>
      <c r="K16" s="3">
        <f t="shared" si="3"/>
        <v>1075.2746028771305</v>
      </c>
      <c r="L16" s="13"/>
    </row>
  </sheetData>
  <pageMargins left="0.75" right="0.75" top="1" bottom="1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workbookViewId="0"/>
  </sheetViews>
  <sheetFormatPr defaultColWidth="11.33203125" defaultRowHeight="15" customHeight="1"/>
  <cols>
    <col min="1" max="1" width="8.5546875" customWidth="1"/>
    <col min="2" max="4" width="9.44140625" customWidth="1"/>
    <col min="5" max="5" width="12" customWidth="1"/>
    <col min="6" max="6" width="10.109375" customWidth="1"/>
    <col min="7" max="7" width="17.44140625" customWidth="1"/>
    <col min="8" max="8" width="10" customWidth="1"/>
    <col min="9" max="9" width="8.33203125" customWidth="1"/>
    <col min="10" max="10" width="7.109375" customWidth="1"/>
    <col min="11" max="11" width="9.44140625" customWidth="1"/>
    <col min="12" max="12" width="21.33203125" customWidth="1"/>
    <col min="13" max="26" width="8.554687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16</v>
      </c>
    </row>
    <row r="2" spans="1:12">
      <c r="A2" s="3">
        <v>0</v>
      </c>
      <c r="B2" s="3"/>
      <c r="C2" s="3"/>
      <c r="D2" s="3"/>
      <c r="E2" s="3">
        <f t="shared" ref="E2:E18" si="0">(B2+C2+D2)/3</f>
        <v>0</v>
      </c>
      <c r="F2" s="3">
        <v>0.63754</v>
      </c>
      <c r="G2" s="3">
        <f t="shared" ref="G2:G18" si="1">3.14159*(F2/2)^2</f>
        <v>0.31923050926351099</v>
      </c>
      <c r="H2" s="3">
        <f t="shared" ref="H2:H18" si="2">E2/G2</f>
        <v>0</v>
      </c>
      <c r="I2" s="3">
        <v>2</v>
      </c>
      <c r="J2" s="3">
        <v>1.0272E-2</v>
      </c>
      <c r="K2" s="3">
        <f t="shared" ref="K2:K18" si="3">H2*F2/J2</f>
        <v>0</v>
      </c>
      <c r="L2" s="13"/>
    </row>
    <row r="3" spans="1:12">
      <c r="A3" s="3">
        <v>1</v>
      </c>
      <c r="B3" s="3">
        <f>500/45.08</f>
        <v>11.09139307897072</v>
      </c>
      <c r="C3" s="3">
        <f>500/44.68</f>
        <v>11.190689346463742</v>
      </c>
      <c r="D3" s="3">
        <f>500/44.87</f>
        <v>11.143302874972143</v>
      </c>
      <c r="E3" s="3">
        <f t="shared" si="0"/>
        <v>11.141795100135534</v>
      </c>
      <c r="F3" s="3">
        <v>0.63754</v>
      </c>
      <c r="G3" s="3">
        <f t="shared" si="1"/>
        <v>0.31923050926351099</v>
      </c>
      <c r="H3" s="3">
        <f t="shared" si="2"/>
        <v>34.902037170070308</v>
      </c>
      <c r="I3" s="3">
        <v>2</v>
      </c>
      <c r="J3" s="3">
        <v>1.0272E-2</v>
      </c>
      <c r="K3" s="3">
        <f t="shared" si="3"/>
        <v>2166.2232065232306</v>
      </c>
      <c r="L3" s="13"/>
    </row>
    <row r="4" spans="1:12">
      <c r="A4" s="3">
        <v>2</v>
      </c>
      <c r="B4" s="3">
        <f>500/31.37</f>
        <v>15.938795027095951</v>
      </c>
      <c r="C4" s="3">
        <f>500/31.65</f>
        <v>15.797788309636651</v>
      </c>
      <c r="D4" s="3">
        <f>500/31.27</f>
        <v>15.98976654940838</v>
      </c>
      <c r="E4" s="3">
        <f t="shared" si="0"/>
        <v>15.908783295380326</v>
      </c>
      <c r="F4" s="3">
        <v>0.63754</v>
      </c>
      <c r="G4" s="3">
        <f t="shared" si="1"/>
        <v>0.31923050926351099</v>
      </c>
      <c r="H4" s="3">
        <f t="shared" si="2"/>
        <v>49.834783436216973</v>
      </c>
      <c r="I4" s="3">
        <v>2</v>
      </c>
      <c r="J4" s="3">
        <v>1.0272E-2</v>
      </c>
      <c r="K4" s="3">
        <f t="shared" si="3"/>
        <v>3093.0361985909044</v>
      </c>
      <c r="L4" s="13"/>
    </row>
    <row r="5" spans="1:12">
      <c r="A5" s="3">
        <v>3</v>
      </c>
      <c r="B5" s="3">
        <f>1000/49.28</f>
        <v>20.29220779220779</v>
      </c>
      <c r="C5" s="3">
        <f>1000/49.71</f>
        <v>20.116676725005028</v>
      </c>
      <c r="D5" s="3">
        <f>1000/49.7</f>
        <v>20.120724346076457</v>
      </c>
      <c r="E5" s="3">
        <f t="shared" si="0"/>
        <v>20.176536287763092</v>
      </c>
      <c r="F5" s="3">
        <v>0.63754</v>
      </c>
      <c r="G5" s="3">
        <f t="shared" si="1"/>
        <v>0.31923050926351099</v>
      </c>
      <c r="H5" s="3">
        <f t="shared" si="2"/>
        <v>63.203659118647188</v>
      </c>
      <c r="I5" s="3">
        <v>2</v>
      </c>
      <c r="J5" s="3">
        <v>1.0272E-2</v>
      </c>
      <c r="K5" s="3">
        <f t="shared" si="3"/>
        <v>3922.7862961937626</v>
      </c>
      <c r="L5" s="13"/>
    </row>
    <row r="6" spans="1:12">
      <c r="A6" s="3">
        <v>4</v>
      </c>
      <c r="B6" s="3">
        <f>1000/41.96</f>
        <v>23.832221163012392</v>
      </c>
      <c r="C6" s="3">
        <f>1000/42.38</f>
        <v>23.596035865974514</v>
      </c>
      <c r="D6" s="3">
        <f>1000/42.39</f>
        <v>23.590469450342063</v>
      </c>
      <c r="E6" s="3">
        <f t="shared" si="0"/>
        <v>23.672908826442988</v>
      </c>
      <c r="F6" s="3">
        <v>0.63754</v>
      </c>
      <c r="G6" s="3">
        <f t="shared" si="1"/>
        <v>0.31923050926351099</v>
      </c>
      <c r="H6" s="3">
        <f t="shared" si="2"/>
        <v>74.156160327714872</v>
      </c>
      <c r="I6" s="3">
        <v>2</v>
      </c>
      <c r="J6" s="3">
        <v>1.0272E-2</v>
      </c>
      <c r="K6" s="3">
        <f t="shared" si="3"/>
        <v>4602.5621549193283</v>
      </c>
      <c r="L6" s="13"/>
    </row>
    <row r="7" spans="1:12">
      <c r="A7" s="3">
        <v>5</v>
      </c>
      <c r="B7" s="3">
        <f>1000/37.19</f>
        <v>26.888948642108094</v>
      </c>
      <c r="C7" s="3">
        <f>1000/37.25</f>
        <v>26.845637583892618</v>
      </c>
      <c r="D7" s="3">
        <f>1000/37.19</f>
        <v>26.888948642108094</v>
      </c>
      <c r="E7" s="3">
        <f t="shared" si="0"/>
        <v>26.874511622702936</v>
      </c>
      <c r="F7" s="3">
        <v>0.63754</v>
      </c>
      <c r="G7" s="3">
        <f t="shared" si="1"/>
        <v>0.31923050926351099</v>
      </c>
      <c r="H7" s="3">
        <f t="shared" si="2"/>
        <v>84.18528568808938</v>
      </c>
      <c r="I7" s="3">
        <v>2</v>
      </c>
      <c r="J7" s="3">
        <v>1.0272E-2</v>
      </c>
      <c r="K7" s="3">
        <f t="shared" si="3"/>
        <v>5225.0279436900801</v>
      </c>
      <c r="L7" s="13"/>
    </row>
    <row r="8" spans="1:12">
      <c r="A8" s="3">
        <v>6</v>
      </c>
      <c r="B8" s="3">
        <f>1000/34.01</f>
        <v>29.403116730373423</v>
      </c>
      <c r="C8" s="3">
        <f>1000/34.07</f>
        <v>29.351335485764601</v>
      </c>
      <c r="D8" s="3">
        <f>1000/34.19</f>
        <v>29.248318221702252</v>
      </c>
      <c r="E8" s="3">
        <f t="shared" si="0"/>
        <v>29.334256812613422</v>
      </c>
      <c r="F8" s="3">
        <v>0.63754</v>
      </c>
      <c r="G8" s="3">
        <f t="shared" si="1"/>
        <v>0.31923050926351099</v>
      </c>
      <c r="H8" s="3">
        <f t="shared" si="2"/>
        <v>91.890517858990918</v>
      </c>
      <c r="I8" s="3">
        <v>2</v>
      </c>
      <c r="J8" s="3">
        <v>1.0272E-2</v>
      </c>
      <c r="K8" s="3">
        <f t="shared" si="3"/>
        <v>5703.2594193751047</v>
      </c>
      <c r="L8" s="13"/>
    </row>
    <row r="9" spans="1:12">
      <c r="A9" s="3">
        <v>7</v>
      </c>
      <c r="B9" s="3">
        <f>1500/47.53</f>
        <v>31.559015358720806</v>
      </c>
      <c r="C9" s="3">
        <f>1500/47.47</f>
        <v>31.598904571308196</v>
      </c>
      <c r="D9" s="3">
        <f>1500/47.32</f>
        <v>31.69907016060862</v>
      </c>
      <c r="E9" s="3">
        <f t="shared" si="0"/>
        <v>31.618996696879208</v>
      </c>
      <c r="F9" s="3">
        <v>0.63754</v>
      </c>
      <c r="G9" s="3">
        <f t="shared" si="1"/>
        <v>0.31923050926351099</v>
      </c>
      <c r="H9" s="3">
        <f t="shared" si="2"/>
        <v>99.047540192278717</v>
      </c>
      <c r="I9" s="3">
        <v>2</v>
      </c>
      <c r="J9" s="3">
        <v>1.0272E-2</v>
      </c>
      <c r="K9" s="3">
        <f t="shared" si="3"/>
        <v>6147.465807455741</v>
      </c>
      <c r="L9" s="13"/>
    </row>
    <row r="10" spans="1:12">
      <c r="A10" s="3">
        <v>9</v>
      </c>
      <c r="B10" s="3">
        <f>1500/41.84</f>
        <v>35.850860420650093</v>
      </c>
      <c r="C10" s="3">
        <f>1500/41.53</f>
        <v>36.118468576932337</v>
      </c>
      <c r="D10" s="3">
        <f>1500/41.38</f>
        <v>36.24939584340261</v>
      </c>
      <c r="E10" s="3">
        <f t="shared" si="0"/>
        <v>36.072908280328349</v>
      </c>
      <c r="F10" s="3">
        <v>0.63754</v>
      </c>
      <c r="G10" s="3">
        <f t="shared" si="1"/>
        <v>0.31923050926351099</v>
      </c>
      <c r="H10" s="3">
        <f t="shared" si="2"/>
        <v>112.99956374330037</v>
      </c>
      <c r="I10" s="3">
        <v>2</v>
      </c>
      <c r="J10" s="3">
        <v>1.0272E-2</v>
      </c>
      <c r="K10" s="3">
        <f t="shared" si="3"/>
        <v>7013.4094498543336</v>
      </c>
      <c r="L10" s="13"/>
    </row>
    <row r="11" spans="1:12">
      <c r="A11" s="3">
        <v>11</v>
      </c>
      <c r="B11" s="3">
        <f t="shared" ref="B11:D11" si="4">2000/50.44</f>
        <v>39.651070578905632</v>
      </c>
      <c r="C11" s="3">
        <f t="shared" si="4"/>
        <v>39.651070578905632</v>
      </c>
      <c r="D11" s="3">
        <f t="shared" si="4"/>
        <v>39.651070578905632</v>
      </c>
      <c r="E11" s="3">
        <f t="shared" si="0"/>
        <v>39.651070578905632</v>
      </c>
      <c r="F11" s="3">
        <v>0.63754</v>
      </c>
      <c r="G11" s="3">
        <f t="shared" si="1"/>
        <v>0.31923050926351099</v>
      </c>
      <c r="H11" s="3">
        <f t="shared" si="2"/>
        <v>124.20827404743882</v>
      </c>
      <c r="I11" s="3">
        <v>2</v>
      </c>
      <c r="J11" s="3">
        <v>1.0272E-2</v>
      </c>
      <c r="K11" s="3">
        <f t="shared" si="3"/>
        <v>7709.0871335868515</v>
      </c>
      <c r="L11" s="13"/>
    </row>
    <row r="12" spans="1:12">
      <c r="A12" s="3">
        <v>13</v>
      </c>
      <c r="B12" s="3">
        <f t="shared" ref="B12:C12" si="5">2000/46.51</f>
        <v>43.001505052676848</v>
      </c>
      <c r="C12" s="3">
        <f t="shared" si="5"/>
        <v>43.001505052676848</v>
      </c>
      <c r="D12" s="3">
        <f>2000/46.45</f>
        <v>43.057050592034443</v>
      </c>
      <c r="E12" s="3">
        <f t="shared" si="0"/>
        <v>43.020020232462713</v>
      </c>
      <c r="F12" s="3">
        <v>0.63754</v>
      </c>
      <c r="G12" s="3">
        <f t="shared" si="1"/>
        <v>0.31923050926351099</v>
      </c>
      <c r="H12" s="3">
        <f t="shared" si="2"/>
        <v>134.76161890576552</v>
      </c>
      <c r="I12" s="3">
        <v>2</v>
      </c>
      <c r="J12" s="3">
        <v>1.0272E-2</v>
      </c>
      <c r="K12" s="3">
        <f t="shared" si="3"/>
        <v>8364.0890300994688</v>
      </c>
      <c r="L12" s="13"/>
    </row>
    <row r="13" spans="1:12">
      <c r="A13" s="3">
        <v>15</v>
      </c>
      <c r="B13" s="3">
        <f>2000/43.15</f>
        <v>46.349942062572424</v>
      </c>
      <c r="C13" s="3">
        <f>2000/43.13</f>
        <v>46.371435195919311</v>
      </c>
      <c r="D13" s="3">
        <f>2000/43.01</f>
        <v>46.500813764240874</v>
      </c>
      <c r="E13" s="3">
        <f t="shared" si="0"/>
        <v>46.407397007577536</v>
      </c>
      <c r="F13" s="3">
        <v>0.63754</v>
      </c>
      <c r="G13" s="3">
        <f t="shared" si="1"/>
        <v>0.31923050926351099</v>
      </c>
      <c r="H13" s="3">
        <f t="shared" si="2"/>
        <v>145.37268732441308</v>
      </c>
      <c r="I13" s="3">
        <v>2</v>
      </c>
      <c r="J13" s="3">
        <v>1.0272E-2</v>
      </c>
      <c r="K13" s="3">
        <f t="shared" si="3"/>
        <v>9022.6735861376874</v>
      </c>
      <c r="L13" s="13"/>
    </row>
    <row r="14" spans="1:12">
      <c r="A14" s="3">
        <v>17</v>
      </c>
      <c r="B14" s="3">
        <f>2500/49.89</f>
        <v>50.11024253357386</v>
      </c>
      <c r="C14" s="3">
        <f>2500/49.57</f>
        <v>50.433730078676618</v>
      </c>
      <c r="D14" s="3">
        <f>2500/49.66</f>
        <v>50.342327829238826</v>
      </c>
      <c r="E14" s="3">
        <f t="shared" si="0"/>
        <v>50.295433480496435</v>
      </c>
      <c r="F14" s="3">
        <v>0.63754</v>
      </c>
      <c r="G14" s="3">
        <f t="shared" si="1"/>
        <v>0.31923050926351099</v>
      </c>
      <c r="H14" s="3">
        <f t="shared" si="2"/>
        <v>157.55208860372343</v>
      </c>
      <c r="I14" s="3">
        <v>2</v>
      </c>
      <c r="J14" s="3">
        <v>1.0272E-2</v>
      </c>
      <c r="K14" s="3">
        <f t="shared" si="3"/>
        <v>9778.5979914736999</v>
      </c>
      <c r="L14" s="13"/>
    </row>
    <row r="15" spans="1:12">
      <c r="A15" s="3">
        <v>19</v>
      </c>
      <c r="B15" s="3">
        <f>2500/47.19</f>
        <v>52.977325704598435</v>
      </c>
      <c r="C15" s="3">
        <f>2500/46.25</f>
        <v>54.054054054054056</v>
      </c>
      <c r="D15" s="3">
        <f>2500/46.97</f>
        <v>53.225463061528636</v>
      </c>
      <c r="E15" s="3">
        <f t="shared" si="0"/>
        <v>53.418947606727045</v>
      </c>
      <c r="F15" s="3">
        <v>0.63754</v>
      </c>
      <c r="G15" s="3">
        <f t="shared" si="1"/>
        <v>0.31923050926351099</v>
      </c>
      <c r="H15" s="3">
        <f t="shared" si="2"/>
        <v>167.3365986539589</v>
      </c>
      <c r="I15" s="3">
        <v>2</v>
      </c>
      <c r="J15" s="3">
        <v>1.0272E-2</v>
      </c>
      <c r="K15" s="3">
        <f t="shared" si="3"/>
        <v>10385.881532889891</v>
      </c>
      <c r="L15" s="13"/>
    </row>
    <row r="16" spans="1:12">
      <c r="A16" s="3">
        <v>21</v>
      </c>
      <c r="B16" s="3">
        <f>2500/45.44</f>
        <v>55.017605633802816</v>
      </c>
      <c r="C16" s="3">
        <f>2500/45.33</f>
        <v>55.151114052503864</v>
      </c>
      <c r="D16" s="3">
        <f>2500/44.9</f>
        <v>55.679287305122493</v>
      </c>
      <c r="E16" s="3">
        <f t="shared" si="0"/>
        <v>55.282668997143055</v>
      </c>
      <c r="F16" s="3">
        <v>0.63754</v>
      </c>
      <c r="G16" s="3">
        <f t="shared" si="1"/>
        <v>0.31923050926351099</v>
      </c>
      <c r="H16" s="3">
        <f t="shared" si="2"/>
        <v>173.17476679996648</v>
      </c>
      <c r="I16" s="3">
        <v>2</v>
      </c>
      <c r="J16" s="3">
        <v>1.0272E-2</v>
      </c>
      <c r="K16" s="3">
        <f t="shared" si="3"/>
        <v>10748.232167606175</v>
      </c>
      <c r="L16" s="13"/>
    </row>
    <row r="17" spans="1:11">
      <c r="A17" s="3">
        <v>23</v>
      </c>
      <c r="B17" s="3">
        <f>3000/51.53</f>
        <v>58.218513487288959</v>
      </c>
      <c r="C17" s="3">
        <f>3000/52.4</f>
        <v>57.251908396946568</v>
      </c>
      <c r="D17" s="3">
        <f>3000/52.33</f>
        <v>57.328492260653547</v>
      </c>
      <c r="E17" s="3">
        <f t="shared" si="0"/>
        <v>57.599638048296356</v>
      </c>
      <c r="F17" s="3">
        <v>0.63754</v>
      </c>
      <c r="G17" s="3">
        <f t="shared" si="1"/>
        <v>0.31923050926351099</v>
      </c>
      <c r="H17" s="3">
        <f t="shared" si="2"/>
        <v>180.43274805150389</v>
      </c>
      <c r="I17" s="3">
        <v>2</v>
      </c>
      <c r="J17" s="3">
        <v>1.0272E-2</v>
      </c>
      <c r="K17" s="3">
        <f t="shared" si="3"/>
        <v>11198.704652721553</v>
      </c>
    </row>
    <row r="18" spans="1:11">
      <c r="A18" s="3">
        <v>25</v>
      </c>
      <c r="B18" s="3">
        <f>3000/49.72</f>
        <v>60.337892196299279</v>
      </c>
      <c r="C18" s="3">
        <f>3000/50.31</f>
        <v>59.630292188431717</v>
      </c>
      <c r="D18" s="3">
        <f>3000/49.66</f>
        <v>60.410793395086593</v>
      </c>
      <c r="E18" s="3">
        <f t="shared" si="0"/>
        <v>60.126325926605858</v>
      </c>
      <c r="F18" s="3">
        <v>0.63754</v>
      </c>
      <c r="G18" s="3">
        <f t="shared" si="1"/>
        <v>0.31923050926351099</v>
      </c>
      <c r="H18" s="3">
        <f t="shared" si="2"/>
        <v>188.34768038093182</v>
      </c>
      <c r="I18" s="3">
        <v>2</v>
      </c>
      <c r="J18" s="3">
        <v>1.0272E-2</v>
      </c>
      <c r="K18" s="3">
        <f t="shared" si="3"/>
        <v>11689.951338596113</v>
      </c>
    </row>
    <row r="19" spans="1:11">
      <c r="A19" s="13"/>
      <c r="B19" s="13"/>
      <c r="C19" s="13"/>
      <c r="D19" s="13"/>
      <c r="E19" s="13"/>
      <c r="F19" s="3"/>
      <c r="G19" s="13"/>
      <c r="H19" s="13"/>
      <c r="I19" s="13"/>
      <c r="J19" s="13"/>
      <c r="K19" s="13"/>
    </row>
    <row r="20" spans="1:11">
      <c r="A20" s="13"/>
      <c r="B20" s="13"/>
      <c r="C20" s="13"/>
      <c r="D20" s="13"/>
      <c r="E20" s="13"/>
      <c r="F20" s="3"/>
      <c r="G20" s="13"/>
      <c r="H20" s="13"/>
      <c r="I20" s="13"/>
      <c r="J20" s="13"/>
      <c r="K20" s="13"/>
    </row>
  </sheetData>
  <pageMargins left="0.7" right="0.7" top="0.75" bottom="0.75" header="0" footer="0"/>
  <pageSetup orientation="landscape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Z18"/>
  <sheetViews>
    <sheetView workbookViewId="0">
      <selection activeCell="A3" sqref="A3"/>
    </sheetView>
  </sheetViews>
  <sheetFormatPr defaultColWidth="11.33203125" defaultRowHeight="15" customHeight="1"/>
  <cols>
    <col min="1" max="1" width="6.6640625" style="8" customWidth="1"/>
    <col min="2" max="6" width="9.6640625" style="8" customWidth="1"/>
    <col min="7" max="7" width="17.33203125" style="8" customWidth="1"/>
    <col min="8" max="8" width="11.109375" style="8" bestFit="1" customWidth="1"/>
    <col min="9" max="9" width="6.6640625" style="8" customWidth="1"/>
    <col min="10" max="10" width="7.33203125" style="8" customWidth="1"/>
    <col min="11" max="11" width="9.6640625" style="8" customWidth="1"/>
    <col min="12" max="26" width="6.6640625" style="8" customWidth="1"/>
    <col min="27" max="16384" width="11.33203125" style="8"/>
  </cols>
  <sheetData>
    <row r="1" spans="1:26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31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>
      <c r="A2" s="3">
        <v>0</v>
      </c>
      <c r="B2" s="13"/>
      <c r="C2" s="13"/>
      <c r="D2" s="13"/>
      <c r="E2" s="3">
        <v>0</v>
      </c>
      <c r="F2" s="3">
        <v>0.38100000000000001</v>
      </c>
      <c r="G2" s="3">
        <f t="shared" ref="G2:G15" si="0">3.14159*F2*F2/4</f>
        <v>0.11400908649750001</v>
      </c>
      <c r="H2" s="3">
        <v>0</v>
      </c>
      <c r="I2" s="3">
        <v>17.8</v>
      </c>
      <c r="J2" s="3">
        <v>4.5999999999999999E-2</v>
      </c>
      <c r="K2" s="3">
        <f t="shared" ref="K2:K15" si="1">H2*F2/J2</f>
        <v>0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>
      <c r="A3" s="3">
        <v>1.8</v>
      </c>
      <c r="B3" s="3">
        <f>50/52.91</f>
        <v>0.94500094500094511</v>
      </c>
      <c r="C3" s="3">
        <f>50/53.92</f>
        <v>0.92729970326409494</v>
      </c>
      <c r="D3" s="3">
        <f>50/56.7</f>
        <v>0.88183421516754845</v>
      </c>
      <c r="E3" s="3">
        <f t="shared" ref="E3:E15" si="2">(B3+C3+D3)/3</f>
        <v>0.91804495447752943</v>
      </c>
      <c r="F3" s="3">
        <v>0.38100000000000001</v>
      </c>
      <c r="G3" s="3">
        <f t="shared" si="0"/>
        <v>0.11400908649750001</v>
      </c>
      <c r="H3" s="3">
        <f t="shared" ref="H3:H15" si="3">E3/G3</f>
        <v>8.0523840921895324</v>
      </c>
      <c r="I3" s="3">
        <v>17.8</v>
      </c>
      <c r="J3" s="3">
        <v>4.5999999999999999E-2</v>
      </c>
      <c r="K3" s="3">
        <f t="shared" si="1"/>
        <v>66.694746502700255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>
      <c r="A4" s="3">
        <v>3</v>
      </c>
      <c r="B4" s="3">
        <f>50/31.27</f>
        <v>1.598976654940838</v>
      </c>
      <c r="C4" s="3">
        <f>50/30.25</f>
        <v>1.6528925619834711</v>
      </c>
      <c r="D4" s="3">
        <f>50/31.86</f>
        <v>1.5693659761456371</v>
      </c>
      <c r="E4" s="3">
        <f t="shared" si="2"/>
        <v>1.6070783976899818</v>
      </c>
      <c r="F4" s="3">
        <v>0.38100000000000001</v>
      </c>
      <c r="G4" s="3">
        <f t="shared" si="0"/>
        <v>0.11400908649750001</v>
      </c>
      <c r="H4" s="3">
        <f t="shared" si="3"/>
        <v>14.096055385245297</v>
      </c>
      <c r="I4" s="3">
        <v>17.8</v>
      </c>
      <c r="J4" s="3">
        <v>4.5999999999999999E-2</v>
      </c>
      <c r="K4" s="3">
        <f t="shared" si="1"/>
        <v>116.75211090822734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>
      <c r="A5" s="3">
        <v>4</v>
      </c>
      <c r="B5" s="3">
        <f>100/47.65</f>
        <v>2.0986358866736623</v>
      </c>
      <c r="C5" s="3">
        <f>100/50.85</f>
        <v>1.9665683382497541</v>
      </c>
      <c r="D5" s="3">
        <f>100/48.58</f>
        <v>2.0584602717167559</v>
      </c>
      <c r="E5" s="3">
        <f t="shared" si="2"/>
        <v>2.0412214988800574</v>
      </c>
      <c r="F5" s="3">
        <v>0.38100000000000001</v>
      </c>
      <c r="G5" s="3">
        <f t="shared" si="0"/>
        <v>0.11400908649750001</v>
      </c>
      <c r="H5" s="3">
        <f t="shared" si="3"/>
        <v>17.90402468425021</v>
      </c>
      <c r="I5" s="3">
        <v>17.8</v>
      </c>
      <c r="J5" s="3">
        <v>4.5999999999999999E-2</v>
      </c>
      <c r="K5" s="3">
        <f t="shared" si="1"/>
        <v>148.29203053694195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>
      <c r="A6" s="3">
        <v>5</v>
      </c>
      <c r="B6" s="3">
        <f>100/40.33</f>
        <v>2.4795437639474338</v>
      </c>
      <c r="C6" s="3">
        <f>100/41.19</f>
        <v>2.4277737314882253</v>
      </c>
      <c r="D6" s="3">
        <f>100/39.82</f>
        <v>2.5113008538422901</v>
      </c>
      <c r="E6" s="3">
        <f t="shared" si="2"/>
        <v>2.4728727830926496</v>
      </c>
      <c r="F6" s="3">
        <v>0.38100000000000001</v>
      </c>
      <c r="G6" s="3">
        <f t="shared" si="0"/>
        <v>0.11400908649750001</v>
      </c>
      <c r="H6" s="3">
        <f t="shared" si="3"/>
        <v>21.690137681673949</v>
      </c>
      <c r="I6" s="3">
        <v>17.8</v>
      </c>
      <c r="J6" s="3">
        <v>4.5999999999999999E-2</v>
      </c>
      <c r="K6" s="3">
        <f t="shared" si="1"/>
        <v>179.65092297212556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>
      <c r="A7" s="3">
        <v>5.8</v>
      </c>
      <c r="B7" s="3">
        <f>100/37.01</f>
        <v>2.7019724398811134</v>
      </c>
      <c r="C7" s="3">
        <f>100/34.08</f>
        <v>2.9342723004694835</v>
      </c>
      <c r="D7" s="3">
        <f>100/33.75</f>
        <v>2.9629629629629628</v>
      </c>
      <c r="E7" s="3">
        <f t="shared" si="2"/>
        <v>2.8664025677711868</v>
      </c>
      <c r="F7" s="3">
        <v>0.38100000000000001</v>
      </c>
      <c r="G7" s="3">
        <f t="shared" si="0"/>
        <v>0.11400908649750001</v>
      </c>
      <c r="H7" s="3">
        <f t="shared" si="3"/>
        <v>25.141878211909376</v>
      </c>
      <c r="I7" s="3">
        <v>17.8</v>
      </c>
      <c r="J7" s="3">
        <v>4.5999999999999999E-2</v>
      </c>
      <c r="K7" s="3">
        <f t="shared" si="1"/>
        <v>208.24033910298854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>
      <c r="A8" s="3">
        <v>7</v>
      </c>
      <c r="B8" s="3">
        <f>100/31.51</f>
        <v>3.1735956839098698</v>
      </c>
      <c r="C8" s="3">
        <f>100/30.08</f>
        <v>3.3244680851063833</v>
      </c>
      <c r="D8" s="3">
        <f>100/28.94</f>
        <v>3.455425017277125</v>
      </c>
      <c r="E8" s="3">
        <f t="shared" si="2"/>
        <v>3.3178295954311263</v>
      </c>
      <c r="F8" s="3">
        <v>0.38100000000000001</v>
      </c>
      <c r="G8" s="3">
        <f t="shared" si="0"/>
        <v>0.11400908649750001</v>
      </c>
      <c r="H8" s="3">
        <f t="shared" si="3"/>
        <v>29.101448817449121</v>
      </c>
      <c r="I8" s="3">
        <v>17.8</v>
      </c>
      <c r="J8" s="3">
        <v>4.5999999999999999E-2</v>
      </c>
      <c r="K8" s="3">
        <f t="shared" si="1"/>
        <v>241.03591303148076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>
      <c r="A9" s="3">
        <v>8</v>
      </c>
      <c r="B9" s="3">
        <f>200/52.81</f>
        <v>3.7871615224389319</v>
      </c>
      <c r="C9" s="3">
        <f>200/49.76</f>
        <v>4.019292604501608</v>
      </c>
      <c r="D9" s="3">
        <f>200/51.43</f>
        <v>3.8887808671981334</v>
      </c>
      <c r="E9" s="3">
        <f t="shared" si="2"/>
        <v>3.8984116647128908</v>
      </c>
      <c r="F9" s="3">
        <v>0.38100000000000001</v>
      </c>
      <c r="G9" s="3">
        <f t="shared" si="0"/>
        <v>0.11400908649750001</v>
      </c>
      <c r="H9" s="3">
        <f t="shared" si="3"/>
        <v>34.193868089613851</v>
      </c>
      <c r="I9" s="3">
        <v>17.8</v>
      </c>
      <c r="J9" s="3">
        <v>4.5999999999999999E-2</v>
      </c>
      <c r="K9" s="3">
        <f t="shared" si="1"/>
        <v>283.21442917701904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>
      <c r="A10" s="3">
        <v>10</v>
      </c>
      <c r="B10" s="3">
        <f>200/43.88</f>
        <v>4.557885141294439</v>
      </c>
      <c r="C10" s="3">
        <f>200/41.87</f>
        <v>4.7766897540004782</v>
      </c>
      <c r="D10" s="3">
        <f>200/40.9</f>
        <v>4.8899755501222497</v>
      </c>
      <c r="E10" s="3">
        <f t="shared" si="2"/>
        <v>4.7415168151390557</v>
      </c>
      <c r="F10" s="3">
        <v>0.38100000000000001</v>
      </c>
      <c r="G10" s="3">
        <f t="shared" si="0"/>
        <v>0.11400908649750001</v>
      </c>
      <c r="H10" s="3">
        <f t="shared" si="3"/>
        <v>41.588937871570678</v>
      </c>
      <c r="I10" s="3">
        <v>17.8</v>
      </c>
      <c r="J10" s="3">
        <v>4.5999999999999999E-2</v>
      </c>
      <c r="K10" s="3">
        <f t="shared" si="1"/>
        <v>344.46489845800932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>
      <c r="A11" s="3">
        <v>12</v>
      </c>
      <c r="B11" s="3">
        <f>300/54.33</f>
        <v>5.5218111540585317</v>
      </c>
      <c r="C11" s="3">
        <f>300/52.3</f>
        <v>5.7361376673040159</v>
      </c>
      <c r="D11" s="3">
        <f>300/53.39</f>
        <v>5.6190297808578382</v>
      </c>
      <c r="E11" s="3">
        <f t="shared" si="2"/>
        <v>5.6256595340734608</v>
      </c>
      <c r="F11" s="3">
        <v>0.38100000000000001</v>
      </c>
      <c r="G11" s="3">
        <f t="shared" si="0"/>
        <v>0.11400908649750001</v>
      </c>
      <c r="H11" s="3">
        <f t="shared" si="3"/>
        <v>49.34395763443662</v>
      </c>
      <c r="I11" s="3">
        <v>17.8</v>
      </c>
      <c r="J11" s="3">
        <v>4.5999999999999999E-2</v>
      </c>
      <c r="K11" s="3">
        <f t="shared" si="1"/>
        <v>408.6966925808772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>
      <c r="A12" s="3">
        <v>14</v>
      </c>
      <c r="B12" s="3">
        <f>300/45.88</f>
        <v>6.5387968613775058</v>
      </c>
      <c r="C12" s="3">
        <f>300/45.58</f>
        <v>6.5818341377797278</v>
      </c>
      <c r="D12" s="3">
        <f>300/46.69</f>
        <v>6.42535874919683</v>
      </c>
      <c r="E12" s="3">
        <f t="shared" si="2"/>
        <v>6.5153299161180209</v>
      </c>
      <c r="F12" s="3">
        <v>0.38100000000000001</v>
      </c>
      <c r="G12" s="3">
        <f t="shared" si="0"/>
        <v>0.11400908649750001</v>
      </c>
      <c r="H12" s="3">
        <f t="shared" si="3"/>
        <v>57.147461805694661</v>
      </c>
      <c r="I12" s="3">
        <v>17.8</v>
      </c>
      <c r="J12" s="3">
        <v>4.5999999999999999E-2</v>
      </c>
      <c r="K12" s="3">
        <f t="shared" si="1"/>
        <v>473.33006408629711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>
      <c r="A13" s="3">
        <v>16</v>
      </c>
      <c r="B13" s="3">
        <f>300/44.03</f>
        <v>6.8135362253009308</v>
      </c>
      <c r="C13" s="3">
        <f>300/42.1</f>
        <v>7.1258907363420425</v>
      </c>
      <c r="D13" s="3">
        <f>300/44.38</f>
        <v>6.7598017124831005</v>
      </c>
      <c r="E13" s="3">
        <f t="shared" si="2"/>
        <v>6.8997428913753573</v>
      </c>
      <c r="F13" s="3">
        <v>0.38100000000000001</v>
      </c>
      <c r="G13" s="3">
        <f t="shared" si="0"/>
        <v>0.11400908649750001</v>
      </c>
      <c r="H13" s="3">
        <f t="shared" si="3"/>
        <v>60.519236697214083</v>
      </c>
      <c r="I13" s="3">
        <v>17.8</v>
      </c>
      <c r="J13" s="3">
        <v>4.5999999999999999E-2</v>
      </c>
      <c r="K13" s="3">
        <f t="shared" si="1"/>
        <v>501.25715612257756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>
      <c r="A14" s="3">
        <v>18</v>
      </c>
      <c r="B14" s="3">
        <f>300/39.75</f>
        <v>7.5471698113207548</v>
      </c>
      <c r="C14" s="3">
        <f>300/39.01</f>
        <v>7.6903358113304288</v>
      </c>
      <c r="D14" s="3">
        <f>300/39.12</f>
        <v>7.6687116564417179</v>
      </c>
      <c r="E14" s="3">
        <f t="shared" si="2"/>
        <v>7.6354057596976341</v>
      </c>
      <c r="F14" s="3">
        <v>0.38100000000000001</v>
      </c>
      <c r="G14" s="3">
        <f t="shared" si="0"/>
        <v>0.11400908649750001</v>
      </c>
      <c r="H14" s="3">
        <f t="shared" si="3"/>
        <v>66.971905435494065</v>
      </c>
      <c r="I14" s="3">
        <v>17.8</v>
      </c>
      <c r="J14" s="3">
        <v>4.5999999999999999E-2</v>
      </c>
      <c r="K14" s="3">
        <f t="shared" si="1"/>
        <v>554.70208632441825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>
      <c r="A15" s="3">
        <v>20</v>
      </c>
      <c r="B15" s="3">
        <f>500/57.9</f>
        <v>8.6355785837651133</v>
      </c>
      <c r="C15" s="3">
        <f>500/58.3</f>
        <v>8.5763293310463133</v>
      </c>
      <c r="D15" s="3">
        <f>500/59.62</f>
        <v>8.3864475008386457</v>
      </c>
      <c r="E15" s="3">
        <f t="shared" si="2"/>
        <v>8.5327851385500235</v>
      </c>
      <c r="F15" s="3">
        <v>0.38100000000000001</v>
      </c>
      <c r="G15" s="3">
        <f t="shared" si="0"/>
        <v>0.11400908649750001</v>
      </c>
      <c r="H15" s="3">
        <f t="shared" si="3"/>
        <v>74.843026996248497</v>
      </c>
      <c r="I15" s="3">
        <v>17.8</v>
      </c>
      <c r="J15" s="3">
        <v>4.5999999999999999E-2</v>
      </c>
      <c r="K15" s="3">
        <f t="shared" si="1"/>
        <v>619.89550620805824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</sheetData>
  <pageMargins left="0.75" right="0.75" top="1" bottom="1" header="0" footer="0"/>
  <pageSetup orientation="landscape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18"/>
  <sheetViews>
    <sheetView workbookViewId="0">
      <selection activeCell="D4" sqref="D4"/>
    </sheetView>
  </sheetViews>
  <sheetFormatPr defaultColWidth="11.33203125" defaultRowHeight="15" customHeight="1"/>
  <cols>
    <col min="1" max="1" width="6.6640625" style="9" customWidth="1"/>
    <col min="2" max="6" width="9.6640625" style="9" customWidth="1"/>
    <col min="7" max="7" width="17.33203125" style="9" customWidth="1"/>
    <col min="8" max="8" width="11.109375" style="9" bestFit="1" customWidth="1"/>
    <col min="9" max="9" width="6.6640625" style="9" customWidth="1"/>
    <col min="10" max="10" width="7.33203125" style="9" customWidth="1"/>
    <col min="11" max="11" width="9.6640625" style="9" customWidth="1"/>
    <col min="12" max="26" width="6.6640625" style="9" customWidth="1"/>
    <col min="27" max="16384" width="11.33203125" style="9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46</v>
      </c>
    </row>
    <row r="2" spans="1:12">
      <c r="A2" s="3">
        <v>0</v>
      </c>
      <c r="B2" s="13"/>
      <c r="C2" s="13"/>
      <c r="D2" s="13"/>
      <c r="E2" s="3">
        <v>0</v>
      </c>
      <c r="F2" s="3">
        <v>0.50549999999999995</v>
      </c>
      <c r="G2" s="3">
        <f t="shared" ref="G2:G16" si="0">3.14159*F2*F2/4</f>
        <v>0.20069281952437495</v>
      </c>
      <c r="H2" s="3">
        <v>0</v>
      </c>
      <c r="I2" s="3">
        <v>30.7</v>
      </c>
      <c r="J2" s="3">
        <v>5.0650000000000001E-2</v>
      </c>
      <c r="K2" s="3">
        <f t="shared" ref="K2:K16" si="1">H2*F2/J2</f>
        <v>0</v>
      </c>
      <c r="L2" s="13"/>
    </row>
    <row r="3" spans="1:12">
      <c r="A3" s="3">
        <v>0.9</v>
      </c>
      <c r="B3" s="3">
        <f>100/112.58</f>
        <v>0.88825723929650025</v>
      </c>
      <c r="C3" s="3">
        <f>50/63.97</f>
        <v>0.78161638267938094</v>
      </c>
      <c r="D3" s="3">
        <f>50/75.18</f>
        <v>0.66507049747273206</v>
      </c>
      <c r="E3" s="3">
        <f t="shared" ref="E3:E16" si="2">(B3+C3+D3)/3</f>
        <v>0.77831470648287115</v>
      </c>
      <c r="F3" s="3">
        <v>0.50549999999999995</v>
      </c>
      <c r="G3" s="3">
        <f t="shared" si="0"/>
        <v>0.20069281952437495</v>
      </c>
      <c r="H3" s="3">
        <f t="shared" ref="H3:H16" si="3">E3/G3</f>
        <v>3.8781392793594276</v>
      </c>
      <c r="I3" s="3">
        <v>30.7</v>
      </c>
      <c r="J3" s="3">
        <v>5.0650000000000001E-2</v>
      </c>
      <c r="K3" s="3">
        <f t="shared" si="1"/>
        <v>38.704825384327549</v>
      </c>
      <c r="L3" s="13"/>
    </row>
    <row r="4" spans="1:12">
      <c r="A4" s="3">
        <v>2</v>
      </c>
      <c r="B4" s="3">
        <f>150/78.09</f>
        <v>1.9208605455243948</v>
      </c>
      <c r="C4" s="3">
        <f>150/81.9</f>
        <v>1.8315018315018314</v>
      </c>
      <c r="D4" s="3">
        <f>150/86.18</f>
        <v>1.7405430494314225</v>
      </c>
      <c r="E4" s="3">
        <f t="shared" si="2"/>
        <v>1.8309684754858828</v>
      </c>
      <c r="F4" s="3">
        <v>0.50549999999999995</v>
      </c>
      <c r="G4" s="3">
        <f t="shared" si="0"/>
        <v>0.20069281952437495</v>
      </c>
      <c r="H4" s="3">
        <f t="shared" si="3"/>
        <v>9.1232385883317786</v>
      </c>
      <c r="I4" s="3">
        <v>30.7</v>
      </c>
      <c r="J4" s="3">
        <v>5.0650000000000001E-2</v>
      </c>
      <c r="K4" s="3">
        <f t="shared" si="1"/>
        <v>91.052262712768282</v>
      </c>
      <c r="L4" s="13"/>
    </row>
    <row r="5" spans="1:12">
      <c r="A5" s="3">
        <v>3</v>
      </c>
      <c r="B5" s="3">
        <f>150/48.69</f>
        <v>3.0807147258163896</v>
      </c>
      <c r="C5" s="3">
        <f>150/50.6</f>
        <v>2.9644268774703555</v>
      </c>
      <c r="D5" s="3">
        <f>150/47.94</f>
        <v>3.1289111389236548</v>
      </c>
      <c r="E5" s="3">
        <f t="shared" si="2"/>
        <v>3.0580175807368</v>
      </c>
      <c r="F5" s="3">
        <v>0.50549999999999995</v>
      </c>
      <c r="G5" s="3">
        <f t="shared" si="0"/>
        <v>0.20069281952437495</v>
      </c>
      <c r="H5" s="3">
        <f t="shared" si="3"/>
        <v>15.23730439376976</v>
      </c>
      <c r="I5" s="3">
        <v>30.7</v>
      </c>
      <c r="J5" s="3">
        <v>5.0650000000000001E-2</v>
      </c>
      <c r="K5" s="3">
        <f t="shared" si="1"/>
        <v>152.07220870781072</v>
      </c>
      <c r="L5" s="13"/>
    </row>
    <row r="6" spans="1:12">
      <c r="A6" s="3">
        <v>4</v>
      </c>
      <c r="B6" s="3">
        <f>100/23.69</f>
        <v>4.2211903756859428</v>
      </c>
      <c r="C6" s="3">
        <f>200/52.51</f>
        <v>3.8087983241287375</v>
      </c>
      <c r="D6" s="3">
        <f>200/53.12</f>
        <v>3.7650602409638556</v>
      </c>
      <c r="E6" s="3">
        <f t="shared" si="2"/>
        <v>3.9316829802595117</v>
      </c>
      <c r="F6" s="3">
        <v>0.50549999999999995</v>
      </c>
      <c r="G6" s="3">
        <f t="shared" si="0"/>
        <v>0.20069281952437495</v>
      </c>
      <c r="H6" s="3">
        <f t="shared" si="3"/>
        <v>19.59055131906198</v>
      </c>
      <c r="I6" s="3">
        <v>30.7</v>
      </c>
      <c r="J6" s="3">
        <v>5.0650000000000001E-2</v>
      </c>
      <c r="K6" s="3">
        <f t="shared" si="1"/>
        <v>195.51873034127996</v>
      </c>
      <c r="L6" s="13"/>
    </row>
    <row r="7" spans="1:12">
      <c r="A7" s="3">
        <v>5</v>
      </c>
      <c r="B7" s="3">
        <f>200/44.63</f>
        <v>4.4812906116961679</v>
      </c>
      <c r="C7" s="3">
        <f>300/62.01</f>
        <v>4.8379293662312532</v>
      </c>
      <c r="D7" s="3">
        <f>200/41.07</f>
        <v>4.8697345994643291</v>
      </c>
      <c r="E7" s="3">
        <f t="shared" si="2"/>
        <v>4.7296515257972507</v>
      </c>
      <c r="F7" s="3">
        <v>0.50549999999999995</v>
      </c>
      <c r="G7" s="3">
        <f t="shared" si="0"/>
        <v>0.20069281952437495</v>
      </c>
      <c r="H7" s="3">
        <f t="shared" si="3"/>
        <v>23.56662055476686</v>
      </c>
      <c r="I7" s="3">
        <v>30.7</v>
      </c>
      <c r="J7" s="3">
        <v>5.0650000000000001E-2</v>
      </c>
      <c r="K7" s="3">
        <f t="shared" si="1"/>
        <v>235.20092182496833</v>
      </c>
      <c r="L7" s="13"/>
    </row>
    <row r="8" spans="1:12">
      <c r="A8" s="3">
        <v>6</v>
      </c>
      <c r="B8" s="3">
        <f>200/36.76</f>
        <v>5.4406964091403704</v>
      </c>
      <c r="C8" s="3">
        <f>200/35.95</f>
        <v>5.5632823365785811</v>
      </c>
      <c r="D8" s="3">
        <f>200/34.36</f>
        <v>5.8207217694994178</v>
      </c>
      <c r="E8" s="3">
        <f t="shared" si="2"/>
        <v>5.6082335050727892</v>
      </c>
      <c r="F8" s="3">
        <v>0.50549999999999995</v>
      </c>
      <c r="G8" s="3">
        <f t="shared" si="0"/>
        <v>0.20069281952437495</v>
      </c>
      <c r="H8" s="3">
        <f t="shared" si="3"/>
        <v>27.944365515237813</v>
      </c>
      <c r="I8" s="3">
        <v>30.7</v>
      </c>
      <c r="J8" s="3">
        <v>5.0650000000000001E-2</v>
      </c>
      <c r="K8" s="3">
        <f t="shared" si="1"/>
        <v>278.89194013726973</v>
      </c>
      <c r="L8" s="13"/>
    </row>
    <row r="9" spans="1:12">
      <c r="A9" s="3">
        <v>7</v>
      </c>
      <c r="B9" s="3">
        <f>250/42.19</f>
        <v>5.9255747807537338</v>
      </c>
      <c r="C9" s="3">
        <f>250/39.61</f>
        <v>6.311537490532694</v>
      </c>
      <c r="D9" s="3">
        <f>250/45.11</f>
        <v>5.5420084238528045</v>
      </c>
      <c r="E9" s="3">
        <f t="shared" si="2"/>
        <v>5.9263735650464113</v>
      </c>
      <c r="F9" s="3">
        <v>0.50549999999999995</v>
      </c>
      <c r="G9" s="3">
        <f t="shared" si="0"/>
        <v>0.20069281952437495</v>
      </c>
      <c r="H9" s="3">
        <f t="shared" si="3"/>
        <v>29.529574496443953</v>
      </c>
      <c r="I9" s="3">
        <v>30.7</v>
      </c>
      <c r="J9" s="3">
        <v>5.0650000000000001E-2</v>
      </c>
      <c r="K9" s="3">
        <f t="shared" si="1"/>
        <v>294.712732634796</v>
      </c>
      <c r="L9" s="13"/>
    </row>
    <row r="10" spans="1:12">
      <c r="A10" s="3">
        <v>8</v>
      </c>
      <c r="B10" s="3">
        <f>250/36.72</f>
        <v>6.8082788671023966</v>
      </c>
      <c r="C10" s="3">
        <f>250/33.61</f>
        <v>7.4382624218982443</v>
      </c>
      <c r="D10" s="3">
        <f>250/33.25</f>
        <v>7.518796992481203</v>
      </c>
      <c r="E10" s="3">
        <f t="shared" si="2"/>
        <v>7.2551127604939483</v>
      </c>
      <c r="F10" s="3">
        <v>0.50549999999999995</v>
      </c>
      <c r="G10" s="3">
        <f t="shared" si="0"/>
        <v>0.20069281952437495</v>
      </c>
      <c r="H10" s="3">
        <f t="shared" si="3"/>
        <v>36.150335511195436</v>
      </c>
      <c r="I10" s="3">
        <v>30.7</v>
      </c>
      <c r="J10" s="3">
        <v>5.0650000000000001E-2</v>
      </c>
      <c r="K10" s="3">
        <f t="shared" si="1"/>
        <v>360.78962686889025</v>
      </c>
      <c r="L10" s="13"/>
    </row>
    <row r="11" spans="1:12">
      <c r="A11" s="3">
        <v>10</v>
      </c>
      <c r="B11" s="3">
        <f>500/58.07</f>
        <v>8.6102979163079034</v>
      </c>
      <c r="C11" s="3">
        <f>500/56.4</f>
        <v>8.8652482269503547</v>
      </c>
      <c r="D11" s="3">
        <f>500/61.23</f>
        <v>8.1659317328107139</v>
      </c>
      <c r="E11" s="3">
        <f t="shared" si="2"/>
        <v>8.5471592920229895</v>
      </c>
      <c r="F11" s="3">
        <v>0.50549999999999995</v>
      </c>
      <c r="G11" s="3">
        <f t="shared" si="0"/>
        <v>0.20069281952437495</v>
      </c>
      <c r="H11" s="3">
        <f t="shared" si="3"/>
        <v>42.588266547248857</v>
      </c>
      <c r="I11" s="3">
        <v>30.7</v>
      </c>
      <c r="J11" s="3">
        <v>5.0650000000000001E-2</v>
      </c>
      <c r="K11" s="3">
        <f t="shared" si="1"/>
        <v>425.04183098981827</v>
      </c>
      <c r="L11" s="13"/>
    </row>
    <row r="12" spans="1:12">
      <c r="A12" s="3">
        <v>12</v>
      </c>
      <c r="B12" s="3">
        <f>500/49.95</f>
        <v>10.01001001001001</v>
      </c>
      <c r="C12" s="3">
        <f>500/49.61</f>
        <v>10.078613182826043</v>
      </c>
      <c r="D12" s="3">
        <f>500/52.59</f>
        <v>9.5075109336375725</v>
      </c>
      <c r="E12" s="3">
        <f t="shared" si="2"/>
        <v>9.8653780421578752</v>
      </c>
      <c r="F12" s="3">
        <v>0.50549999999999995</v>
      </c>
      <c r="G12" s="3">
        <f t="shared" si="0"/>
        <v>0.20069281952437495</v>
      </c>
      <c r="H12" s="3">
        <f t="shared" si="3"/>
        <v>49.15660692563884</v>
      </c>
      <c r="I12" s="3">
        <v>30.7</v>
      </c>
      <c r="J12" s="3">
        <v>5.0650000000000001E-2</v>
      </c>
      <c r="K12" s="3">
        <f t="shared" si="1"/>
        <v>490.59555381856723</v>
      </c>
      <c r="L12" s="13"/>
    </row>
    <row r="13" spans="1:12">
      <c r="A13" s="3">
        <v>14</v>
      </c>
      <c r="B13" s="3">
        <f>500/43.71</f>
        <v>11.439029970258522</v>
      </c>
      <c r="C13" s="3">
        <f>500/43.94</f>
        <v>11.37915339098771</v>
      </c>
      <c r="D13" s="3">
        <f>500/46.11</f>
        <v>10.843634786380395</v>
      </c>
      <c r="E13" s="3">
        <f t="shared" si="2"/>
        <v>11.220606049208877</v>
      </c>
      <c r="F13" s="3">
        <v>0.50549999999999995</v>
      </c>
      <c r="G13" s="3">
        <f t="shared" si="0"/>
        <v>0.20069281952437495</v>
      </c>
      <c r="H13" s="3">
        <f t="shared" si="3"/>
        <v>55.909354783099694</v>
      </c>
      <c r="I13" s="3">
        <v>30.7</v>
      </c>
      <c r="J13" s="3">
        <v>5.0650000000000001E-2</v>
      </c>
      <c r="K13" s="3">
        <f t="shared" si="1"/>
        <v>557.98971061908969</v>
      </c>
      <c r="L13" s="13"/>
    </row>
    <row r="14" spans="1:12">
      <c r="A14" s="3">
        <v>16</v>
      </c>
      <c r="B14" s="3">
        <f>500/39.19</f>
        <v>12.758356723653995</v>
      </c>
      <c r="C14" s="3">
        <f>500/39.26</f>
        <v>12.735608762098829</v>
      </c>
      <c r="D14" s="3">
        <f>500/41.25</f>
        <v>12.121212121212121</v>
      </c>
      <c r="E14" s="3">
        <f t="shared" si="2"/>
        <v>12.538392535654983</v>
      </c>
      <c r="F14" s="3">
        <v>0.50549999999999995</v>
      </c>
      <c r="G14" s="3">
        <f t="shared" si="0"/>
        <v>0.20069281952437495</v>
      </c>
      <c r="H14" s="3">
        <f t="shared" si="3"/>
        <v>62.475541304217636</v>
      </c>
      <c r="I14" s="3">
        <v>30.7</v>
      </c>
      <c r="J14" s="3">
        <v>5.0650000000000001E-2</v>
      </c>
      <c r="K14" s="3">
        <f t="shared" si="1"/>
        <v>623.52193739944744</v>
      </c>
      <c r="L14" s="13"/>
    </row>
    <row r="15" spans="1:12">
      <c r="A15" s="3">
        <v>18</v>
      </c>
      <c r="B15" s="3">
        <f>1000/71.9</f>
        <v>13.908205841446453</v>
      </c>
      <c r="C15" s="3">
        <f>1000/71.59</f>
        <v>13.968431345159939</v>
      </c>
      <c r="D15" s="3">
        <f>1000/72.98</f>
        <v>13.702384214853383</v>
      </c>
      <c r="E15" s="3">
        <f t="shared" si="2"/>
        <v>13.859673800486592</v>
      </c>
      <c r="F15" s="3">
        <v>0.50549999999999995</v>
      </c>
      <c r="G15" s="3">
        <f t="shared" si="0"/>
        <v>0.20069281952437495</v>
      </c>
      <c r="H15" s="3">
        <f t="shared" si="3"/>
        <v>69.059141394957976</v>
      </c>
      <c r="I15" s="3">
        <v>30.7</v>
      </c>
      <c r="J15" s="3">
        <v>5.0650000000000001E-2</v>
      </c>
      <c r="K15" s="3">
        <f t="shared" si="1"/>
        <v>689.22795607406226</v>
      </c>
      <c r="L15" s="13"/>
    </row>
    <row r="16" spans="1:12">
      <c r="A16" s="3">
        <v>20</v>
      </c>
      <c r="B16" s="3">
        <f>1000/65.19</f>
        <v>15.339776039269827</v>
      </c>
      <c r="C16" s="3">
        <f>1000/67.28</f>
        <v>14.863258026159334</v>
      </c>
      <c r="D16" s="3">
        <f>1000/64.66</f>
        <v>15.465511908444171</v>
      </c>
      <c r="E16" s="3">
        <f t="shared" si="2"/>
        <v>15.222848657957778</v>
      </c>
      <c r="F16" s="3">
        <v>0.50549999999999995</v>
      </c>
      <c r="G16" s="3">
        <f t="shared" si="0"/>
        <v>0.20069281952437495</v>
      </c>
      <c r="H16" s="3">
        <f t="shared" si="3"/>
        <v>75.85148633635545</v>
      </c>
      <c r="I16" s="3">
        <v>30.7</v>
      </c>
      <c r="J16" s="3">
        <v>5.0650000000000001E-2</v>
      </c>
      <c r="K16" s="3">
        <f t="shared" si="1"/>
        <v>757.01730193539345</v>
      </c>
      <c r="L16" s="13"/>
    </row>
    <row r="17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pageMargins left="0.75" right="0.75" top="1" bottom="1" header="0" footer="0"/>
  <pageSetup orientation="landscape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18"/>
  <sheetViews>
    <sheetView workbookViewId="0">
      <selection activeCell="N15" sqref="N15"/>
    </sheetView>
  </sheetViews>
  <sheetFormatPr defaultColWidth="11.33203125" defaultRowHeight="15" customHeight="1"/>
  <cols>
    <col min="1" max="1" width="6.6640625" style="10" customWidth="1"/>
    <col min="2" max="6" width="9.6640625" style="10" customWidth="1"/>
    <col min="7" max="7" width="17.33203125" style="10" customWidth="1"/>
    <col min="8" max="8" width="11.109375" style="10" bestFit="1" customWidth="1"/>
    <col min="9" max="9" width="6.6640625" style="10" customWidth="1"/>
    <col min="10" max="10" width="7.33203125" style="10" customWidth="1"/>
    <col min="11" max="11" width="9.6640625" style="10" customWidth="1"/>
    <col min="12" max="26" width="6.6640625" style="10" customWidth="1"/>
    <col min="27" max="16384" width="11.33203125" style="10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46</v>
      </c>
    </row>
    <row r="2" spans="1:12">
      <c r="A2" s="3">
        <v>0</v>
      </c>
      <c r="B2" s="13"/>
      <c r="C2" s="13"/>
      <c r="D2" s="13"/>
      <c r="E2" s="3">
        <v>0</v>
      </c>
      <c r="F2" s="3">
        <v>0.63754</v>
      </c>
      <c r="G2" s="3">
        <f t="shared" ref="G2:G16" si="0">3.14159*F2*F2/4</f>
        <v>0.31923050926351099</v>
      </c>
      <c r="H2" s="3">
        <v>0</v>
      </c>
      <c r="I2" s="3">
        <v>17.8</v>
      </c>
      <c r="J2" s="3">
        <v>5.0650000000000001E-2</v>
      </c>
      <c r="K2" s="3">
        <f t="shared" ref="K2:K16" si="1">H2*F2/J2</f>
        <v>0</v>
      </c>
      <c r="L2" s="13"/>
    </row>
    <row r="3" spans="1:12">
      <c r="A3" s="3">
        <v>0.9</v>
      </c>
      <c r="B3" s="3">
        <f>200/59.36</f>
        <v>3.3692722371967654</v>
      </c>
      <c r="C3" s="3">
        <f>200/58.85</f>
        <v>3.3984706881903142</v>
      </c>
      <c r="D3" s="3">
        <f>200/58.72</f>
        <v>3.4059945504087192</v>
      </c>
      <c r="E3" s="3">
        <f t="shared" ref="E3:E16" si="2">(B3+C3+D3)/3</f>
        <v>3.391245825265266</v>
      </c>
      <c r="F3" s="3">
        <v>0.63754</v>
      </c>
      <c r="G3" s="3">
        <f t="shared" si="0"/>
        <v>0.31923050926351099</v>
      </c>
      <c r="H3" s="3">
        <f t="shared" ref="H3:H16" si="3">E3/G3</f>
        <v>10.623188344651416</v>
      </c>
      <c r="I3" s="3">
        <v>17.8</v>
      </c>
      <c r="J3" s="3">
        <v>5.0650000000000001E-2</v>
      </c>
      <c r="K3" s="3">
        <f t="shared" si="1"/>
        <v>133.71584397332802</v>
      </c>
      <c r="L3" s="13"/>
    </row>
    <row r="4" spans="1:12">
      <c r="A4" s="3">
        <v>1.9</v>
      </c>
      <c r="B4" s="3">
        <f>500/75.13</f>
        <v>6.6551311060827905</v>
      </c>
      <c r="C4" s="3">
        <f>500/74</f>
        <v>6.756756756756757</v>
      </c>
      <c r="D4" s="3">
        <f>500/74.08</f>
        <v>6.7494600431965441</v>
      </c>
      <c r="E4" s="3">
        <f t="shared" si="2"/>
        <v>6.7204493020120308</v>
      </c>
      <c r="F4" s="3">
        <v>0.63754</v>
      </c>
      <c r="G4" s="3">
        <f t="shared" si="0"/>
        <v>0.31923050926351099</v>
      </c>
      <c r="H4" s="3">
        <f t="shared" si="3"/>
        <v>21.052027005553501</v>
      </c>
      <c r="I4" s="3">
        <v>17.8</v>
      </c>
      <c r="J4" s="3">
        <v>5.0650000000000001E-2</v>
      </c>
      <c r="K4" s="3">
        <f t="shared" si="1"/>
        <v>264.98537605371331</v>
      </c>
      <c r="L4" s="13"/>
    </row>
    <row r="5" spans="1:12">
      <c r="A5" s="3">
        <v>3</v>
      </c>
      <c r="B5" s="3">
        <f>400/43.86</f>
        <v>9.1199270405836756</v>
      </c>
      <c r="C5" s="3">
        <f>400/44.68</f>
        <v>8.952551477170994</v>
      </c>
      <c r="D5" s="3">
        <f>400/45.83</f>
        <v>8.7279074841806672</v>
      </c>
      <c r="E5" s="3">
        <f t="shared" si="2"/>
        <v>8.9334620006451129</v>
      </c>
      <c r="F5" s="3">
        <v>0.63754</v>
      </c>
      <c r="G5" s="3">
        <f t="shared" si="0"/>
        <v>0.31923050926351099</v>
      </c>
      <c r="H5" s="3">
        <f t="shared" si="3"/>
        <v>27.984361586413804</v>
      </c>
      <c r="I5" s="3">
        <v>17.8</v>
      </c>
      <c r="J5" s="3">
        <v>5.0650000000000001E-2</v>
      </c>
      <c r="K5" s="3">
        <f t="shared" si="1"/>
        <v>352.24382795266052</v>
      </c>
      <c r="L5" s="13"/>
    </row>
    <row r="6" spans="1:12">
      <c r="A6" s="3">
        <v>4</v>
      </c>
      <c r="B6" s="3">
        <f>400/35.76</f>
        <v>11.185682326621924</v>
      </c>
      <c r="C6" s="3">
        <f>400/33.78</f>
        <v>11.841326228537596</v>
      </c>
      <c r="D6" s="3">
        <f>400/35.27</f>
        <v>11.341083073433511</v>
      </c>
      <c r="E6" s="3">
        <f t="shared" si="2"/>
        <v>11.456030542864342</v>
      </c>
      <c r="F6" s="3">
        <v>0.63754</v>
      </c>
      <c r="G6" s="3">
        <f t="shared" si="0"/>
        <v>0.31923050926351099</v>
      </c>
      <c r="H6" s="3">
        <f t="shared" si="3"/>
        <v>35.886389960954155</v>
      </c>
      <c r="I6" s="3">
        <v>17.8</v>
      </c>
      <c r="J6" s="3">
        <v>5.0650000000000001E-2</v>
      </c>
      <c r="K6" s="3">
        <f t="shared" si="1"/>
        <v>451.7079774078324</v>
      </c>
      <c r="L6" s="13"/>
    </row>
    <row r="7" spans="1:12">
      <c r="A7" s="3">
        <v>5</v>
      </c>
      <c r="B7" s="3">
        <f>550/39.83</f>
        <v>13.808686919407483</v>
      </c>
      <c r="C7" s="3">
        <f>350/27.63</f>
        <v>12.667390517553384</v>
      </c>
      <c r="D7" s="3">
        <f>400/28.72</f>
        <v>13.92757660167131</v>
      </c>
      <c r="E7" s="3">
        <f t="shared" si="2"/>
        <v>13.467884679544058</v>
      </c>
      <c r="F7" s="3">
        <v>0.63754</v>
      </c>
      <c r="G7" s="3">
        <f t="shared" si="0"/>
        <v>0.31923050926351099</v>
      </c>
      <c r="H7" s="3">
        <f t="shared" si="3"/>
        <v>42.188588774348325</v>
      </c>
      <c r="I7" s="3">
        <v>17.8</v>
      </c>
      <c r="J7" s="3">
        <v>5.0650000000000001E-2</v>
      </c>
      <c r="K7" s="3">
        <f t="shared" si="1"/>
        <v>531.03480527538068</v>
      </c>
      <c r="L7" s="13"/>
    </row>
    <row r="8" spans="1:12">
      <c r="A8" s="3">
        <v>6</v>
      </c>
      <c r="B8" s="3">
        <f>500/32.03</f>
        <v>15.610365282547612</v>
      </c>
      <c r="C8" s="3">
        <f>500/33.03</f>
        <v>15.137753557372086</v>
      </c>
      <c r="D8" s="3">
        <f>500/32.5</f>
        <v>15.384615384615385</v>
      </c>
      <c r="E8" s="3">
        <f t="shared" si="2"/>
        <v>15.377578074845028</v>
      </c>
      <c r="F8" s="3">
        <v>0.63754</v>
      </c>
      <c r="G8" s="3">
        <f t="shared" si="0"/>
        <v>0.31923050926351099</v>
      </c>
      <c r="H8" s="3">
        <f t="shared" si="3"/>
        <v>48.17076572763132</v>
      </c>
      <c r="I8" s="3">
        <v>17.8</v>
      </c>
      <c r="J8" s="3">
        <v>5.0650000000000001E-2</v>
      </c>
      <c r="K8" s="3">
        <f t="shared" si="1"/>
        <v>606.33346460008033</v>
      </c>
      <c r="L8" s="13"/>
    </row>
    <row r="9" spans="1:12">
      <c r="A9" s="3">
        <v>7</v>
      </c>
      <c r="B9" s="3">
        <f>750/45.15</f>
        <v>16.611295681063122</v>
      </c>
      <c r="C9" s="3">
        <f>750/44.61</f>
        <v>16.812373907195695</v>
      </c>
      <c r="D9" s="3">
        <f>750/44</f>
        <v>17.045454545454547</v>
      </c>
      <c r="E9" s="3">
        <f t="shared" si="2"/>
        <v>16.823041377904456</v>
      </c>
      <c r="F9" s="3">
        <v>0.63754</v>
      </c>
      <c r="G9" s="3">
        <f t="shared" si="0"/>
        <v>0.31923050926351099</v>
      </c>
      <c r="H9" s="3">
        <f t="shared" si="3"/>
        <v>52.698726749885182</v>
      </c>
      <c r="I9" s="3">
        <v>17.8</v>
      </c>
      <c r="J9" s="3">
        <v>5.0650000000000001E-2</v>
      </c>
      <c r="K9" s="3">
        <f t="shared" si="1"/>
        <v>663.32766539233569</v>
      </c>
      <c r="L9" s="13"/>
    </row>
    <row r="10" spans="1:12">
      <c r="A10" s="3">
        <v>8</v>
      </c>
      <c r="B10" s="3">
        <f>750/40.07</f>
        <v>18.717244821562264</v>
      </c>
      <c r="C10" s="3">
        <f>750/40.69</f>
        <v>18.432047186040798</v>
      </c>
      <c r="D10" s="3">
        <f>750/39.76</f>
        <v>18.863179074446681</v>
      </c>
      <c r="E10" s="3">
        <f t="shared" si="2"/>
        <v>18.67082369401658</v>
      </c>
      <c r="F10" s="3">
        <v>0.63754</v>
      </c>
      <c r="G10" s="3">
        <f t="shared" si="0"/>
        <v>0.31923050926351099</v>
      </c>
      <c r="H10" s="3">
        <f t="shared" si="3"/>
        <v>58.486965224882759</v>
      </c>
      <c r="I10" s="3">
        <v>17.8</v>
      </c>
      <c r="J10" s="3">
        <v>5.0650000000000001E-2</v>
      </c>
      <c r="K10" s="3">
        <f t="shared" si="1"/>
        <v>736.18518873586868</v>
      </c>
      <c r="L10" s="13"/>
    </row>
    <row r="11" spans="1:12">
      <c r="A11" s="3">
        <v>10</v>
      </c>
      <c r="B11" s="3">
        <f>1000/46.26</f>
        <v>21.616947686986599</v>
      </c>
      <c r="C11" s="3">
        <f>1000/46.87</f>
        <v>21.335609131640709</v>
      </c>
      <c r="D11" s="3">
        <f>1000/46.12</f>
        <v>21.682567215958372</v>
      </c>
      <c r="E11" s="3">
        <f t="shared" si="2"/>
        <v>21.545041344861897</v>
      </c>
      <c r="F11" s="3">
        <v>0.63754</v>
      </c>
      <c r="G11" s="3">
        <f t="shared" si="0"/>
        <v>0.31923050926351099</v>
      </c>
      <c r="H11" s="3">
        <f t="shared" si="3"/>
        <v>67.490545921089875</v>
      </c>
      <c r="I11" s="3">
        <v>17.8</v>
      </c>
      <c r="J11" s="3">
        <v>5.0650000000000001E-2</v>
      </c>
      <c r="K11" s="3">
        <f t="shared" si="1"/>
        <v>849.51476103714981</v>
      </c>
      <c r="L11" s="13"/>
    </row>
    <row r="12" spans="1:12">
      <c r="A12" s="3">
        <v>11.9</v>
      </c>
      <c r="B12" s="3">
        <f>1000/40.61</f>
        <v>24.624476729869489</v>
      </c>
      <c r="C12" s="3">
        <f>1000/41.62</f>
        <v>24.02691013935608</v>
      </c>
      <c r="D12" s="3">
        <f>1000/40.43</f>
        <v>24.734108335394509</v>
      </c>
      <c r="E12" s="3">
        <f t="shared" si="2"/>
        <v>24.461831734873357</v>
      </c>
      <c r="F12" s="3">
        <v>0.63754</v>
      </c>
      <c r="G12" s="3">
        <f t="shared" si="0"/>
        <v>0.31923050926351099</v>
      </c>
      <c r="H12" s="3">
        <f t="shared" si="3"/>
        <v>76.627487113649195</v>
      </c>
      <c r="I12" s="3">
        <v>17.8</v>
      </c>
      <c r="J12" s="3">
        <v>5.0650000000000001E-2</v>
      </c>
      <c r="K12" s="3">
        <f t="shared" si="1"/>
        <v>964.52296415470698</v>
      </c>
      <c r="L12" s="13"/>
    </row>
    <row r="13" spans="1:12">
      <c r="A13" s="3">
        <v>14</v>
      </c>
      <c r="B13" s="3">
        <f>1000/36.76</f>
        <v>27.20348204570185</v>
      </c>
      <c r="C13" s="3">
        <f>1000/37.52</f>
        <v>26.652452025586353</v>
      </c>
      <c r="D13" s="3">
        <f>1000/36.75</f>
        <v>27.210884353741495</v>
      </c>
      <c r="E13" s="3">
        <f t="shared" si="2"/>
        <v>27.022272808343232</v>
      </c>
      <c r="F13" s="3">
        <v>0.63754</v>
      </c>
      <c r="G13" s="3">
        <f t="shared" si="0"/>
        <v>0.31923050926351099</v>
      </c>
      <c r="H13" s="3">
        <f t="shared" si="3"/>
        <v>84.648152429683691</v>
      </c>
      <c r="I13" s="3">
        <v>17.8</v>
      </c>
      <c r="J13" s="3">
        <v>5.0650000000000001E-2</v>
      </c>
      <c r="K13" s="3">
        <f t="shared" si="1"/>
        <v>1065.4804165848084</v>
      </c>
      <c r="L13" s="13"/>
    </row>
    <row r="14" spans="1:12">
      <c r="A14" s="3">
        <v>16</v>
      </c>
      <c r="B14" s="3">
        <f>1500/50.69</f>
        <v>29.59163543105149</v>
      </c>
      <c r="C14" s="3">
        <f>1500/50.44</f>
        <v>29.738302934179224</v>
      </c>
      <c r="D14" s="3">
        <f>1500/50.34</f>
        <v>29.797377830750893</v>
      </c>
      <c r="E14" s="3">
        <f t="shared" si="2"/>
        <v>29.709105398660537</v>
      </c>
      <c r="F14" s="3">
        <v>0.63754</v>
      </c>
      <c r="G14" s="3">
        <f t="shared" si="0"/>
        <v>0.31923050926351099</v>
      </c>
      <c r="H14" s="3">
        <f t="shared" si="3"/>
        <v>93.064743301640235</v>
      </c>
      <c r="I14" s="3">
        <v>17.8</v>
      </c>
      <c r="J14" s="3">
        <v>5.0650000000000001E-2</v>
      </c>
      <c r="K14" s="3">
        <f t="shared" si="1"/>
        <v>1171.4214500400337</v>
      </c>
      <c r="L14" s="13"/>
    </row>
    <row r="15" spans="1:12">
      <c r="A15" s="3">
        <v>18</v>
      </c>
      <c r="B15" s="3">
        <f>1500/46.21</f>
        <v>32.460506383899592</v>
      </c>
      <c r="C15" s="3">
        <f>1500/46.14</f>
        <v>32.509752925877763</v>
      </c>
      <c r="D15" s="3">
        <f>1500/46.2</f>
        <v>32.467532467532465</v>
      </c>
      <c r="E15" s="3">
        <f t="shared" si="2"/>
        <v>32.479263925769942</v>
      </c>
      <c r="F15" s="3">
        <v>0.63754</v>
      </c>
      <c r="G15" s="3">
        <f t="shared" si="0"/>
        <v>0.31923050926351099</v>
      </c>
      <c r="H15" s="3">
        <f t="shared" si="3"/>
        <v>101.74235539297942</v>
      </c>
      <c r="I15" s="3">
        <v>17.8</v>
      </c>
      <c r="J15" s="3">
        <v>5.0650000000000001E-2</v>
      </c>
      <c r="K15" s="3">
        <f t="shared" si="1"/>
        <v>1280.6480011301105</v>
      </c>
      <c r="L15" s="13"/>
    </row>
    <row r="16" spans="1:12">
      <c r="A16" s="3">
        <v>20</v>
      </c>
      <c r="B16" s="3">
        <f>1500/43.82</f>
        <v>34.230944774075766</v>
      </c>
      <c r="C16" s="3">
        <f>1500/43.38</f>
        <v>34.57814661134163</v>
      </c>
      <c r="D16" s="3">
        <f>1500/43.28</f>
        <v>34.658040665434378</v>
      </c>
      <c r="E16" s="3">
        <f t="shared" si="2"/>
        <v>34.489044016950594</v>
      </c>
      <c r="F16" s="3">
        <v>0.63754</v>
      </c>
      <c r="G16" s="3">
        <f t="shared" si="0"/>
        <v>0.31923050926351099</v>
      </c>
      <c r="H16" s="3">
        <f t="shared" si="3"/>
        <v>108.03805719108564</v>
      </c>
      <c r="I16" s="3">
        <v>17.8</v>
      </c>
      <c r="J16" s="3">
        <v>5.0650000000000001E-2</v>
      </c>
      <c r="K16" s="3">
        <f t="shared" si="1"/>
        <v>1359.8930499823246</v>
      </c>
      <c r="L16" s="13"/>
    </row>
    <row r="17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</sheetData>
  <pageMargins left="0.75" right="0.75" top="1" bottom="1" header="0" footer="0"/>
  <pageSetup orientation="landscape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20"/>
  <sheetViews>
    <sheetView workbookViewId="0">
      <selection activeCell="J2" sqref="J2"/>
    </sheetView>
  </sheetViews>
  <sheetFormatPr defaultColWidth="11.5546875" defaultRowHeight="15.95"/>
  <cols>
    <col min="6" max="7" width="6.6640625" style="11" customWidth="1"/>
    <col min="10" max="10" width="7.33203125" style="11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/>
    </row>
    <row r="2" spans="1:12">
      <c r="A2" s="3">
        <v>0</v>
      </c>
      <c r="B2" s="3"/>
      <c r="C2" s="3"/>
      <c r="D2" s="3"/>
      <c r="E2" s="3">
        <f t="shared" ref="E2:E15" si="0">(B2+C2+D2)/3</f>
        <v>0</v>
      </c>
      <c r="F2" s="3">
        <v>0.63754</v>
      </c>
      <c r="G2" s="3">
        <f t="shared" ref="G2:G16" si="1">(F2^2)/4*PI()</f>
        <v>0.31923077890621454</v>
      </c>
      <c r="H2" s="3">
        <f t="shared" ref="H2:H16" si="2">E2/G2</f>
        <v>0</v>
      </c>
      <c r="I2" s="3">
        <v>61.3</v>
      </c>
      <c r="J2" s="3">
        <v>5.0650000000000001E-2</v>
      </c>
      <c r="K2" s="3">
        <f t="shared" ref="K2:K16" si="3">H2*F2/J2</f>
        <v>0</v>
      </c>
      <c r="L2" s="13"/>
    </row>
    <row r="3" spans="1:12">
      <c r="A3" s="3">
        <v>1</v>
      </c>
      <c r="B3" s="3">
        <f>50/35.59</f>
        <v>1.4048890137679122</v>
      </c>
      <c r="C3" s="3">
        <f>50/36.1</f>
        <v>1.3850415512465373</v>
      </c>
      <c r="D3" s="3">
        <f>50/34.31</f>
        <v>1.457301078402798</v>
      </c>
      <c r="E3" s="3">
        <f t="shared" si="0"/>
        <v>1.4157438811390826</v>
      </c>
      <c r="F3" s="3">
        <v>0.63754</v>
      </c>
      <c r="G3" s="3">
        <f t="shared" si="1"/>
        <v>0.31923077890621454</v>
      </c>
      <c r="H3" s="3">
        <f t="shared" si="2"/>
        <v>4.4348602161416517</v>
      </c>
      <c r="I3" s="3">
        <v>61.3</v>
      </c>
      <c r="J3" s="3">
        <v>5.0650000000000001E-2</v>
      </c>
      <c r="K3" s="3">
        <f t="shared" si="3"/>
        <v>55.822325413602144</v>
      </c>
      <c r="L3" s="13"/>
    </row>
    <row r="4" spans="1:12">
      <c r="A4" s="3">
        <v>2</v>
      </c>
      <c r="B4" s="3">
        <f>100/38.7</f>
        <v>2.5839793281653747</v>
      </c>
      <c r="C4" s="3">
        <f>100/38.04</f>
        <v>2.6288117770767614</v>
      </c>
      <c r="D4" s="3">
        <f>100/35.9</f>
        <v>2.785515320334262</v>
      </c>
      <c r="E4" s="3">
        <f t="shared" si="0"/>
        <v>2.6661021418587993</v>
      </c>
      <c r="F4" s="3">
        <v>0.63754</v>
      </c>
      <c r="G4" s="3">
        <f t="shared" si="1"/>
        <v>0.31923077890621454</v>
      </c>
      <c r="H4" s="3">
        <f t="shared" si="2"/>
        <v>8.3516450105272035</v>
      </c>
      <c r="I4" s="3">
        <v>61.3</v>
      </c>
      <c r="J4" s="3">
        <v>5.0650000000000001E-2</v>
      </c>
      <c r="K4" s="3">
        <f t="shared" si="3"/>
        <v>105.12354906241882</v>
      </c>
      <c r="L4" s="13"/>
    </row>
    <row r="5" spans="1:12">
      <c r="A5" s="3">
        <v>3</v>
      </c>
      <c r="B5" s="3">
        <f>200/50.4</f>
        <v>3.9682539682539684</v>
      </c>
      <c r="C5" s="3">
        <f>200/49.11</f>
        <v>4.0724903278354718</v>
      </c>
      <c r="D5" s="3">
        <f>200/49.56</f>
        <v>4.0355125100887808</v>
      </c>
      <c r="E5" s="3">
        <f t="shared" si="0"/>
        <v>4.0254189353927403</v>
      </c>
      <c r="F5" s="3">
        <v>0.63754</v>
      </c>
      <c r="G5" s="3">
        <f t="shared" si="1"/>
        <v>0.31923077890621454</v>
      </c>
      <c r="H5" s="3">
        <f t="shared" si="2"/>
        <v>12.609745680492015</v>
      </c>
      <c r="I5" s="3">
        <v>61.3</v>
      </c>
      <c r="J5" s="3">
        <v>5.0650000000000001E-2</v>
      </c>
      <c r="K5" s="3">
        <f t="shared" si="3"/>
        <v>158.72097257928684</v>
      </c>
      <c r="L5" s="13"/>
    </row>
    <row r="6" spans="1:12">
      <c r="A6" s="3">
        <v>4</v>
      </c>
      <c r="B6" s="3">
        <f>200/39.32</f>
        <v>5.0864699898270596</v>
      </c>
      <c r="C6" s="3">
        <f>200/38.76</f>
        <v>5.1599587203302377</v>
      </c>
      <c r="D6" s="3">
        <f>200/39.69</f>
        <v>5.0390526581002772</v>
      </c>
      <c r="E6" s="3">
        <f t="shared" si="0"/>
        <v>5.0951604560858579</v>
      </c>
      <c r="F6" s="3">
        <v>0.63754</v>
      </c>
      <c r="G6" s="3">
        <f t="shared" si="1"/>
        <v>0.31923077890621454</v>
      </c>
      <c r="H6" s="3">
        <f t="shared" si="2"/>
        <v>15.960743113629226</v>
      </c>
      <c r="I6" s="3">
        <v>61.3</v>
      </c>
      <c r="J6" s="3">
        <v>5.0650000000000001E-2</v>
      </c>
      <c r="K6" s="3">
        <f t="shared" si="3"/>
        <v>200.90053632108936</v>
      </c>
      <c r="L6" s="13"/>
    </row>
    <row r="7" spans="1:12">
      <c r="A7" s="3">
        <v>5</v>
      </c>
      <c r="B7" s="3">
        <f>300/48.15</f>
        <v>6.2305295950155761</v>
      </c>
      <c r="C7" s="3">
        <f>300/47.86</f>
        <v>6.268282490597576</v>
      </c>
      <c r="D7" s="3">
        <f>300/47.5</f>
        <v>6.3157894736842106</v>
      </c>
      <c r="E7" s="3">
        <f t="shared" si="0"/>
        <v>6.2715338530991218</v>
      </c>
      <c r="F7" s="3">
        <v>0.63754</v>
      </c>
      <c r="G7" s="3">
        <f t="shared" si="1"/>
        <v>0.31923077890621454</v>
      </c>
      <c r="H7" s="3">
        <f t="shared" si="2"/>
        <v>19.645768101018884</v>
      </c>
      <c r="I7" s="3">
        <v>61.3</v>
      </c>
      <c r="J7" s="3">
        <v>5.0650000000000001E-2</v>
      </c>
      <c r="K7" s="3">
        <f t="shared" si="3"/>
        <v>247.2845606144833</v>
      </c>
      <c r="L7" s="13"/>
    </row>
    <row r="8" spans="1:12">
      <c r="A8" s="3">
        <v>6</v>
      </c>
      <c r="B8" s="3">
        <f>300/40.57</f>
        <v>7.3946265713581463</v>
      </c>
      <c r="C8" s="3">
        <f>300/40.12</f>
        <v>7.4775672981056838</v>
      </c>
      <c r="D8" s="3">
        <f>300/41.33</f>
        <v>7.2586498911202515</v>
      </c>
      <c r="E8" s="3">
        <f t="shared" si="0"/>
        <v>7.3769479201946941</v>
      </c>
      <c r="F8" s="3">
        <v>0.63754</v>
      </c>
      <c r="G8" s="3">
        <f t="shared" si="1"/>
        <v>0.31923077890621454</v>
      </c>
      <c r="H8" s="3">
        <f t="shared" si="2"/>
        <v>23.108510856849229</v>
      </c>
      <c r="I8" s="3">
        <v>61.3</v>
      </c>
      <c r="J8" s="3">
        <v>5.0650000000000001E-2</v>
      </c>
      <c r="K8" s="3">
        <f t="shared" si="3"/>
        <v>290.87068137562994</v>
      </c>
      <c r="L8" s="13"/>
    </row>
    <row r="9" spans="1:12">
      <c r="A9" s="3">
        <v>7</v>
      </c>
      <c r="B9" s="3">
        <f>500/54.56</f>
        <v>9.1642228739002931</v>
      </c>
      <c r="C9" s="3">
        <f>500/54.58</f>
        <v>9.1608647856357646</v>
      </c>
      <c r="D9" s="3">
        <f>500/54.43</f>
        <v>9.1861106007716327</v>
      </c>
      <c r="E9" s="3">
        <f t="shared" si="0"/>
        <v>9.170399420102564</v>
      </c>
      <c r="F9" s="3">
        <v>0.63754</v>
      </c>
      <c r="G9" s="3">
        <f t="shared" si="1"/>
        <v>0.31923077890621454</v>
      </c>
      <c r="H9" s="3">
        <f t="shared" si="2"/>
        <v>28.726551529659041</v>
      </c>
      <c r="I9" s="3">
        <v>61.3</v>
      </c>
      <c r="J9" s="3">
        <v>5.0650000000000001E-2</v>
      </c>
      <c r="K9" s="3">
        <f t="shared" si="3"/>
        <v>361.58589658872307</v>
      </c>
      <c r="L9" s="13"/>
    </row>
    <row r="10" spans="1:12">
      <c r="A10" s="3">
        <v>8</v>
      </c>
      <c r="B10" s="3">
        <f>500/49.01</f>
        <v>10.201999591920016</v>
      </c>
      <c r="C10" s="3">
        <f>500/48.25</f>
        <v>10.362694300518134</v>
      </c>
      <c r="D10" s="3">
        <f>500/48.71</f>
        <v>10.264832683227263</v>
      </c>
      <c r="E10" s="3">
        <f t="shared" si="0"/>
        <v>10.276508858555138</v>
      </c>
      <c r="F10" s="3">
        <v>0.63754</v>
      </c>
      <c r="G10" s="3">
        <f t="shared" si="1"/>
        <v>0.31923077890621454</v>
      </c>
      <c r="H10" s="3">
        <f t="shared" si="2"/>
        <v>32.191472557144088</v>
      </c>
      <c r="I10" s="3">
        <v>61.3</v>
      </c>
      <c r="J10" s="3">
        <v>5.0650000000000001E-2</v>
      </c>
      <c r="K10" s="3">
        <f t="shared" si="3"/>
        <v>405.19943561859117</v>
      </c>
      <c r="L10" s="13"/>
    </row>
    <row r="11" spans="1:12">
      <c r="A11" s="3">
        <v>10</v>
      </c>
      <c r="B11" s="3">
        <f>500/40.5</f>
        <v>12.345679012345679</v>
      </c>
      <c r="C11" s="3">
        <f>500/40</f>
        <v>12.5</v>
      </c>
      <c r="D11" s="3">
        <f>500/40.07</f>
        <v>12.478163214374844</v>
      </c>
      <c r="E11" s="3">
        <f t="shared" si="0"/>
        <v>12.441280742240174</v>
      </c>
      <c r="F11" s="3">
        <v>0.63754</v>
      </c>
      <c r="G11" s="3">
        <f t="shared" si="1"/>
        <v>0.31923077890621454</v>
      </c>
      <c r="H11" s="3">
        <f t="shared" si="2"/>
        <v>38.972685481230634</v>
      </c>
      <c r="I11" s="3">
        <v>61.3</v>
      </c>
      <c r="J11" s="3">
        <v>5.0650000000000001E-2</v>
      </c>
      <c r="K11" s="3">
        <f t="shared" si="3"/>
        <v>490.55569401192059</v>
      </c>
      <c r="L11" s="13"/>
    </row>
    <row r="12" spans="1:12">
      <c r="A12" s="3">
        <v>12</v>
      </c>
      <c r="B12" s="3">
        <f>500/34.96</f>
        <v>14.302059496567505</v>
      </c>
      <c r="C12" s="3">
        <f>500/34.58</f>
        <v>14.459224985540775</v>
      </c>
      <c r="D12" s="3">
        <f>500/34.69</f>
        <v>14.413375612568464</v>
      </c>
      <c r="E12" s="3">
        <f t="shared" si="0"/>
        <v>14.391553364892248</v>
      </c>
      <c r="F12" s="3">
        <v>0.63754</v>
      </c>
      <c r="G12" s="3">
        <f t="shared" si="1"/>
        <v>0.31923077890621454</v>
      </c>
      <c r="H12" s="3">
        <f t="shared" si="2"/>
        <v>45.081973029675446</v>
      </c>
      <c r="I12" s="3">
        <v>61.3</v>
      </c>
      <c r="J12" s="3">
        <v>5.0650000000000001E-2</v>
      </c>
      <c r="K12" s="3">
        <f t="shared" si="3"/>
        <v>567.45431560393456</v>
      </c>
      <c r="L12" s="13"/>
    </row>
    <row r="13" spans="1:12">
      <c r="A13" s="3">
        <v>14</v>
      </c>
      <c r="B13" s="3">
        <f>500/30.76</f>
        <v>16.254876462938881</v>
      </c>
      <c r="C13" s="3">
        <f>500/30.66</f>
        <v>16.307893020221787</v>
      </c>
      <c r="D13" s="3">
        <f>500/30.56</f>
        <v>16.36125654450262</v>
      </c>
      <c r="E13" s="3">
        <f t="shared" si="0"/>
        <v>16.308008675887763</v>
      </c>
      <c r="F13" s="3">
        <v>0.63754</v>
      </c>
      <c r="G13" s="3">
        <f t="shared" si="1"/>
        <v>0.31923077890621454</v>
      </c>
      <c r="H13" s="3">
        <f t="shared" si="2"/>
        <v>51.085326833973063</v>
      </c>
      <c r="I13" s="3">
        <v>61.3</v>
      </c>
      <c r="J13" s="3">
        <v>5.0650000000000001E-2</v>
      </c>
      <c r="K13" s="3">
        <f t="shared" si="3"/>
        <v>643.0195314853147</v>
      </c>
      <c r="L13" s="13"/>
    </row>
    <row r="14" spans="1:12">
      <c r="A14" s="3">
        <v>16</v>
      </c>
      <c r="B14" s="3">
        <f>1000/57.65</f>
        <v>17.346053772766695</v>
      </c>
      <c r="C14" s="3">
        <f>1000/57.45</f>
        <v>17.406440382941689</v>
      </c>
      <c r="D14" s="3">
        <f>1000/57.77</f>
        <v>17.310022503029252</v>
      </c>
      <c r="E14" s="3">
        <f t="shared" si="0"/>
        <v>17.354172219579212</v>
      </c>
      <c r="F14" s="3">
        <v>0.63754</v>
      </c>
      <c r="G14" s="3">
        <f t="shared" si="1"/>
        <v>0.31923077890621454</v>
      </c>
      <c r="H14" s="3">
        <f t="shared" si="2"/>
        <v>54.36246554621107</v>
      </c>
      <c r="I14" s="3">
        <v>61.3</v>
      </c>
      <c r="J14" s="3">
        <v>5.0650000000000001E-2</v>
      </c>
      <c r="K14" s="3">
        <f t="shared" si="3"/>
        <v>684.26942318522026</v>
      </c>
      <c r="L14" s="13"/>
    </row>
    <row r="15" spans="1:12">
      <c r="A15" s="3">
        <v>18</v>
      </c>
      <c r="B15" s="3">
        <f>1000/52.34</f>
        <v>19.10584638899503</v>
      </c>
      <c r="C15" s="3">
        <f>1000/52.37</f>
        <v>19.094901661256447</v>
      </c>
      <c r="D15" s="3">
        <f>1000/52.27</f>
        <v>19.131432944327528</v>
      </c>
      <c r="E15" s="3">
        <f t="shared" si="0"/>
        <v>19.110726998193002</v>
      </c>
      <c r="F15" s="3">
        <v>0.63754</v>
      </c>
      <c r="G15" s="3">
        <f t="shared" si="1"/>
        <v>0.31923077890621454</v>
      </c>
      <c r="H15" s="3">
        <f t="shared" si="2"/>
        <v>59.864926131723223</v>
      </c>
      <c r="I15" s="3">
        <v>61.3</v>
      </c>
      <c r="J15" s="3">
        <v>5.0650000000000001E-2</v>
      </c>
      <c r="K15" s="3">
        <f t="shared" si="3"/>
        <v>753.52981255713371</v>
      </c>
      <c r="L15" s="13"/>
    </row>
    <row r="16" spans="1:12">
      <c r="A16" s="3">
        <v>20</v>
      </c>
      <c r="B16" s="3">
        <f>1000/47.94</f>
        <v>20.859407592824365</v>
      </c>
      <c r="C16" s="3">
        <f>1000/48.46</f>
        <v>20.635575732562938</v>
      </c>
      <c r="D16" s="3">
        <f>1000/48.22</f>
        <v>20.738282870178349</v>
      </c>
      <c r="E16" s="3">
        <f>(B16+C16+D16)/3</f>
        <v>20.744422065188548</v>
      </c>
      <c r="F16" s="3">
        <v>0.63754</v>
      </c>
      <c r="G16" s="3">
        <f t="shared" si="1"/>
        <v>0.31923077890621454</v>
      </c>
      <c r="H16" s="3">
        <f t="shared" si="2"/>
        <v>64.982524981662138</v>
      </c>
      <c r="I16" s="3">
        <v>61.3</v>
      </c>
      <c r="J16" s="3">
        <v>5.0650000000000001E-2</v>
      </c>
      <c r="K16" s="3">
        <f t="shared" si="3"/>
        <v>817.94588305644379</v>
      </c>
      <c r="L16" s="13"/>
    </row>
    <row r="17" spans="1:12" ht="32.1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13"/>
    </row>
    <row r="18" spans="1:1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13"/>
    </row>
    <row r="19" spans="1:12">
      <c r="A19" s="13"/>
      <c r="B19" s="13"/>
      <c r="C19" s="13"/>
      <c r="D19" s="13"/>
      <c r="E19" s="13"/>
      <c r="F19" s="3"/>
      <c r="G19" s="3"/>
      <c r="H19" s="13"/>
      <c r="I19" s="13"/>
      <c r="J19" s="13"/>
      <c r="K19" s="13"/>
      <c r="L19" s="13"/>
    </row>
    <row r="20" spans="1:12">
      <c r="A20" s="13"/>
      <c r="B20" s="13"/>
      <c r="C20" s="13"/>
      <c r="D20" s="13"/>
      <c r="E20" s="13"/>
      <c r="F20" s="3"/>
      <c r="G20" s="3"/>
      <c r="H20" s="13"/>
      <c r="I20" s="13"/>
      <c r="J20" s="13"/>
      <c r="K20" s="13"/>
      <c r="L20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19"/>
  <sheetViews>
    <sheetView workbookViewId="0">
      <selection activeCell="F2" sqref="F2"/>
    </sheetView>
  </sheetViews>
  <sheetFormatPr defaultColWidth="11.33203125" defaultRowHeight="15" customHeight="1"/>
  <cols>
    <col min="1" max="26" width="8.554687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47</v>
      </c>
    </row>
    <row r="2" spans="1:12">
      <c r="A2" s="3">
        <v>0</v>
      </c>
      <c r="B2" s="3"/>
      <c r="C2" s="3"/>
      <c r="D2" s="3"/>
      <c r="E2" s="3">
        <f t="shared" ref="E2:E19" si="0">(B2+C2+D2)/3</f>
        <v>0</v>
      </c>
      <c r="F2" s="3">
        <f>0.257</f>
        <v>0.25700000000000001</v>
      </c>
      <c r="G2" s="3">
        <f t="shared" ref="G2:G19" si="1">(F2^2)/4*PI()</f>
        <v>5.1874763294238062E-2</v>
      </c>
      <c r="H2" s="3">
        <f t="shared" ref="H2:H19" si="2">E2/G2</f>
        <v>0</v>
      </c>
      <c r="I2" s="3">
        <v>18.899999999999999</v>
      </c>
      <c r="J2" s="3">
        <v>1.05605E-2</v>
      </c>
      <c r="K2" s="3">
        <f t="shared" ref="K2:K19" si="3">H2*F2/J2</f>
        <v>0</v>
      </c>
      <c r="L2" s="13"/>
    </row>
    <row r="3" spans="1:12">
      <c r="A3" s="3">
        <v>1</v>
      </c>
      <c r="B3" s="3">
        <f>20/43.36</f>
        <v>0.46125461254612549</v>
      </c>
      <c r="C3" s="3">
        <f>20/42.93</f>
        <v>0.4658746797111577</v>
      </c>
      <c r="D3" s="3">
        <f>20/50.58</f>
        <v>0.3954132068011072</v>
      </c>
      <c r="E3" s="3">
        <f t="shared" si="0"/>
        <v>0.44084749968613007</v>
      </c>
      <c r="F3" s="3">
        <f t="shared" ref="F3:F19" si="4">0.257</f>
        <v>0.25700000000000001</v>
      </c>
      <c r="G3" s="3">
        <f t="shared" si="1"/>
        <v>5.1874763294238062E-2</v>
      </c>
      <c r="H3" s="3">
        <f t="shared" si="2"/>
        <v>8.4983038319732778</v>
      </c>
      <c r="I3" s="3">
        <v>18.899999999999999</v>
      </c>
      <c r="J3" s="3">
        <v>1.05605E-2</v>
      </c>
      <c r="K3" s="3">
        <f t="shared" si="3"/>
        <v>206.81445810493182</v>
      </c>
      <c r="L3" s="13"/>
    </row>
    <row r="4" spans="1:12">
      <c r="A4" s="3">
        <v>2</v>
      </c>
      <c r="B4" s="3">
        <f>20/21.94</f>
        <v>0.91157702825888787</v>
      </c>
      <c r="C4" s="3">
        <f>20/24.3</f>
        <v>0.82304526748971196</v>
      </c>
      <c r="D4" s="3">
        <f>20/24.44</f>
        <v>0.81833060556464809</v>
      </c>
      <c r="E4" s="3">
        <f t="shared" si="0"/>
        <v>0.85098430043774931</v>
      </c>
      <c r="F4" s="3">
        <f t="shared" si="4"/>
        <v>0.25700000000000001</v>
      </c>
      <c r="G4" s="3">
        <f t="shared" si="1"/>
        <v>5.1874763294238062E-2</v>
      </c>
      <c r="H4" s="3">
        <f t="shared" si="2"/>
        <v>16.404591489138834</v>
      </c>
      <c r="I4" s="3">
        <v>18.899999999999999</v>
      </c>
      <c r="J4" s="3">
        <v>1.05605E-2</v>
      </c>
      <c r="K4" s="3">
        <f t="shared" si="3"/>
        <v>399.22162896725348</v>
      </c>
      <c r="L4" s="13"/>
    </row>
    <row r="5" spans="1:12">
      <c r="A5" s="3">
        <v>3</v>
      </c>
      <c r="B5" s="3">
        <f>50/41.19</f>
        <v>1.2138868657441126</v>
      </c>
      <c r="C5" s="3">
        <f>50/42.01</f>
        <v>1.1901928112354201</v>
      </c>
      <c r="D5" s="3">
        <f>50/41.86</f>
        <v>1.1944577161968466</v>
      </c>
      <c r="E5" s="3">
        <f t="shared" si="0"/>
        <v>1.1995124643921264</v>
      </c>
      <c r="F5" s="3">
        <f t="shared" si="4"/>
        <v>0.25700000000000001</v>
      </c>
      <c r="G5" s="3">
        <f t="shared" si="1"/>
        <v>5.1874763294238062E-2</v>
      </c>
      <c r="H5" s="3">
        <f t="shared" si="2"/>
        <v>23.123237355096734</v>
      </c>
      <c r="I5" s="3">
        <v>18.899999999999999</v>
      </c>
      <c r="J5" s="3">
        <v>1.05605E-2</v>
      </c>
      <c r="K5" s="3">
        <f t="shared" si="3"/>
        <v>562.72638608587283</v>
      </c>
      <c r="L5" s="13"/>
    </row>
    <row r="6" spans="1:12">
      <c r="A6" s="3">
        <v>4</v>
      </c>
      <c r="B6" s="3">
        <f>50/33.09</f>
        <v>1.5110305228165608</v>
      </c>
      <c r="C6" s="3">
        <f>50/32.79</f>
        <v>1.5248551387618177</v>
      </c>
      <c r="D6" s="3">
        <f>50/34.33</f>
        <v>1.4564520827264784</v>
      </c>
      <c r="E6" s="3">
        <f t="shared" si="0"/>
        <v>1.4974459147682857</v>
      </c>
      <c r="F6" s="3">
        <f t="shared" si="4"/>
        <v>0.25700000000000001</v>
      </c>
      <c r="G6" s="3">
        <f t="shared" si="1"/>
        <v>5.1874763294238062E-2</v>
      </c>
      <c r="H6" s="3">
        <f t="shared" si="2"/>
        <v>28.86655899082653</v>
      </c>
      <c r="I6" s="3">
        <v>18.899999999999999</v>
      </c>
      <c r="J6" s="3">
        <v>1.05605E-2</v>
      </c>
      <c r="K6" s="3">
        <f t="shared" si="3"/>
        <v>702.49568303038848</v>
      </c>
      <c r="L6" s="13"/>
    </row>
    <row r="7" spans="1:12">
      <c r="A7" s="3">
        <v>5</v>
      </c>
      <c r="B7" s="3">
        <f>50/27.54</f>
        <v>1.8155410312273057</v>
      </c>
      <c r="C7" s="3">
        <f>75/43.15</f>
        <v>1.7381228273464659</v>
      </c>
      <c r="D7" s="3">
        <f>25/14.75</f>
        <v>1.6949152542372881</v>
      </c>
      <c r="E7" s="3">
        <f t="shared" si="0"/>
        <v>1.7495263709370199</v>
      </c>
      <c r="F7" s="3">
        <f t="shared" si="4"/>
        <v>0.25700000000000001</v>
      </c>
      <c r="G7" s="3">
        <f t="shared" si="1"/>
        <v>5.1874763294238062E-2</v>
      </c>
      <c r="H7" s="3">
        <f t="shared" si="2"/>
        <v>33.725963451891971</v>
      </c>
      <c r="I7" s="3">
        <v>18.899999999999999</v>
      </c>
      <c r="J7" s="3">
        <v>1.05605E-2</v>
      </c>
      <c r="K7" s="3">
        <f t="shared" si="3"/>
        <v>820.75399906597568</v>
      </c>
      <c r="L7" s="13"/>
    </row>
    <row r="8" spans="1:12">
      <c r="A8" s="3">
        <v>6</v>
      </c>
      <c r="B8" s="3">
        <f>100/48.89</f>
        <v>2.0454080589077521</v>
      </c>
      <c r="C8" s="3">
        <f>100/52.69</f>
        <v>1.8978933383943823</v>
      </c>
      <c r="D8" s="3">
        <f>100/49.69</f>
        <v>2.0124773596297043</v>
      </c>
      <c r="E8" s="3">
        <f t="shared" si="0"/>
        <v>1.9852595856439461</v>
      </c>
      <c r="F8" s="3">
        <f t="shared" si="4"/>
        <v>0.25700000000000001</v>
      </c>
      <c r="G8" s="3">
        <f t="shared" si="1"/>
        <v>5.1874763294238062E-2</v>
      </c>
      <c r="H8" s="3">
        <f t="shared" si="2"/>
        <v>38.270238928771299</v>
      </c>
      <c r="I8" s="3">
        <v>18.899999999999999</v>
      </c>
      <c r="J8" s="3">
        <v>1.05605E-2</v>
      </c>
      <c r="K8" s="3">
        <f t="shared" si="3"/>
        <v>931.34334593004337</v>
      </c>
      <c r="L8" s="13"/>
    </row>
    <row r="9" spans="1:12">
      <c r="A9" s="3">
        <v>7</v>
      </c>
      <c r="B9" s="3">
        <f>100/44.78</f>
        <v>2.2331397945511386</v>
      </c>
      <c r="C9" s="3">
        <f>100/43.97</f>
        <v>2.2742779167614282</v>
      </c>
      <c r="D9" s="3">
        <f>100/43.51</f>
        <v>2.2983222247759136</v>
      </c>
      <c r="E9" s="3">
        <f t="shared" si="0"/>
        <v>2.26857997869616</v>
      </c>
      <c r="F9" s="3">
        <f t="shared" si="4"/>
        <v>0.25700000000000001</v>
      </c>
      <c r="G9" s="3">
        <f t="shared" si="1"/>
        <v>5.1874763294238062E-2</v>
      </c>
      <c r="H9" s="3">
        <f t="shared" si="2"/>
        <v>43.731861788526757</v>
      </c>
      <c r="I9" s="3">
        <v>18.899999999999999</v>
      </c>
      <c r="J9" s="3">
        <v>1.05605E-2</v>
      </c>
      <c r="K9" s="3">
        <f t="shared" si="3"/>
        <v>1064.257230211768</v>
      </c>
      <c r="L9" s="13"/>
    </row>
    <row r="10" spans="1:12">
      <c r="A10" s="3">
        <v>8</v>
      </c>
      <c r="B10" s="3">
        <f>100/40.87</f>
        <v>2.4467824810374359</v>
      </c>
      <c r="C10" s="3">
        <f>100/41.83</f>
        <v>2.3906287353573989</v>
      </c>
      <c r="D10" s="3">
        <f>100/40.93</f>
        <v>2.443195699975568</v>
      </c>
      <c r="E10" s="3">
        <f t="shared" si="0"/>
        <v>2.4268689721234673</v>
      </c>
      <c r="F10" s="3">
        <f t="shared" si="4"/>
        <v>0.25700000000000001</v>
      </c>
      <c r="G10" s="3">
        <f t="shared" si="1"/>
        <v>5.1874763294238062E-2</v>
      </c>
      <c r="H10" s="3">
        <f t="shared" si="2"/>
        <v>46.783229802092023</v>
      </c>
      <c r="I10" s="3">
        <v>18.899999999999999</v>
      </c>
      <c r="J10" s="3">
        <v>1.05605E-2</v>
      </c>
      <c r="K10" s="3">
        <f t="shared" si="3"/>
        <v>1138.51522741704</v>
      </c>
      <c r="L10" s="13"/>
    </row>
    <row r="11" spans="1:12">
      <c r="A11" s="3">
        <v>9</v>
      </c>
      <c r="B11" s="3">
        <f>100/36.63</f>
        <v>2.7300027300027296</v>
      </c>
      <c r="C11" s="3">
        <f>100/38.21</f>
        <v>2.6171159382360636</v>
      </c>
      <c r="D11" s="3">
        <f>100/36.68</f>
        <v>2.7262813522355507</v>
      </c>
      <c r="E11" s="3">
        <f t="shared" si="0"/>
        <v>2.6911333401581143</v>
      </c>
      <c r="F11" s="3">
        <f t="shared" si="4"/>
        <v>0.25700000000000001</v>
      </c>
      <c r="G11" s="3">
        <f t="shared" si="1"/>
        <v>5.1874763294238062E-2</v>
      </c>
      <c r="H11" s="3">
        <f t="shared" si="2"/>
        <v>51.877505925063744</v>
      </c>
      <c r="I11" s="3">
        <v>18.899999999999999</v>
      </c>
      <c r="J11" s="3">
        <v>1.05605E-2</v>
      </c>
      <c r="K11" s="3">
        <f t="shared" si="3"/>
        <v>1262.4893729218675</v>
      </c>
      <c r="L11" s="13"/>
    </row>
    <row r="12" spans="1:12">
      <c r="A12" s="3">
        <v>11</v>
      </c>
      <c r="B12" s="3">
        <f>100/35.58</f>
        <v>2.8105677346824058</v>
      </c>
      <c r="C12" s="3">
        <f>200/63.08</f>
        <v>3.1705770450221942</v>
      </c>
      <c r="D12" s="3">
        <f>100/33.29</f>
        <v>3.0039050765995796</v>
      </c>
      <c r="E12" s="3">
        <f t="shared" si="0"/>
        <v>2.99501661876806</v>
      </c>
      <c r="F12" s="3">
        <f t="shared" si="4"/>
        <v>0.25700000000000001</v>
      </c>
      <c r="G12" s="3">
        <f t="shared" si="1"/>
        <v>5.1874763294238062E-2</v>
      </c>
      <c r="H12" s="3">
        <f t="shared" si="2"/>
        <v>57.735523568176525</v>
      </c>
      <c r="I12" s="3">
        <v>18.899999999999999</v>
      </c>
      <c r="J12" s="3">
        <v>1.05605E-2</v>
      </c>
      <c r="K12" s="3">
        <f t="shared" si="3"/>
        <v>1405.0499083396967</v>
      </c>
      <c r="L12" s="13"/>
    </row>
    <row r="13" spans="1:12">
      <c r="A13" s="3">
        <v>13</v>
      </c>
      <c r="B13" s="3">
        <f>200/55.63</f>
        <v>3.595182455509617</v>
      </c>
      <c r="C13" s="3">
        <f>200/57.58</f>
        <v>3.4734282737061482</v>
      </c>
      <c r="D13" s="3">
        <f>200/57.43</f>
        <v>3.4825004353125544</v>
      </c>
      <c r="E13" s="3">
        <f t="shared" si="0"/>
        <v>3.5170370548427727</v>
      </c>
      <c r="F13" s="3">
        <f t="shared" si="4"/>
        <v>0.25700000000000001</v>
      </c>
      <c r="G13" s="3">
        <f t="shared" si="1"/>
        <v>5.1874763294238062E-2</v>
      </c>
      <c r="H13" s="3">
        <f t="shared" si="2"/>
        <v>67.798614036922729</v>
      </c>
      <c r="I13" s="3">
        <v>18.899999999999999</v>
      </c>
      <c r="J13" s="3">
        <v>1.05605E-2</v>
      </c>
      <c r="K13" s="3">
        <f t="shared" si="3"/>
        <v>1649.9449654362143</v>
      </c>
      <c r="L13" s="13"/>
    </row>
    <row r="14" spans="1:12">
      <c r="A14" s="3">
        <v>15</v>
      </c>
      <c r="B14" s="3">
        <f>200/54.63</f>
        <v>3.6609921288669227</v>
      </c>
      <c r="C14" s="3">
        <f>200/54.01</f>
        <v>3.7030179596371045</v>
      </c>
      <c r="D14" s="3">
        <f>200/49.39</f>
        <v>4.049402713099818</v>
      </c>
      <c r="E14" s="3">
        <f t="shared" si="0"/>
        <v>3.8044709338679485</v>
      </c>
      <c r="F14" s="3">
        <f t="shared" si="4"/>
        <v>0.25700000000000001</v>
      </c>
      <c r="G14" s="3">
        <f t="shared" si="1"/>
        <v>5.1874763294238062E-2</v>
      </c>
      <c r="H14" s="3">
        <f t="shared" si="2"/>
        <v>73.339533373649658</v>
      </c>
      <c r="I14" s="3">
        <v>18.899999999999999</v>
      </c>
      <c r="J14" s="3">
        <v>1.05605E-2</v>
      </c>
      <c r="K14" s="3">
        <f t="shared" si="3"/>
        <v>1784.7886063186365</v>
      </c>
      <c r="L14" s="13"/>
    </row>
    <row r="15" spans="1:12">
      <c r="A15" s="3">
        <v>17</v>
      </c>
      <c r="B15" s="3">
        <f>350/81.76</f>
        <v>4.2808219178082192</v>
      </c>
      <c r="C15" s="3">
        <f>250/59.83</f>
        <v>4.1785057663379579</v>
      </c>
      <c r="D15" s="3">
        <f>200/49.41</f>
        <v>4.0477636106051413</v>
      </c>
      <c r="E15" s="3">
        <f t="shared" si="0"/>
        <v>4.1690304315837734</v>
      </c>
      <c r="F15" s="3">
        <f t="shared" si="4"/>
        <v>0.25700000000000001</v>
      </c>
      <c r="G15" s="3">
        <f t="shared" si="1"/>
        <v>5.1874763294238062E-2</v>
      </c>
      <c r="H15" s="3">
        <f t="shared" si="2"/>
        <v>80.367218409010931</v>
      </c>
      <c r="I15" s="3">
        <v>18.899999999999999</v>
      </c>
      <c r="J15" s="3">
        <v>1.05605E-2</v>
      </c>
      <c r="K15" s="3">
        <f t="shared" si="3"/>
        <v>1955.8141310653671</v>
      </c>
      <c r="L15" s="13"/>
    </row>
    <row r="16" spans="1:12">
      <c r="A16" s="3">
        <v>19</v>
      </c>
      <c r="B16" s="3">
        <f>200/45.25</f>
        <v>4.4198895027624312</v>
      </c>
      <c r="C16" s="3">
        <f>200/44.19</f>
        <v>4.5259108395564613</v>
      </c>
      <c r="D16" s="3">
        <f>200/47.97</f>
        <v>4.1692724619553889</v>
      </c>
      <c r="E16" s="3">
        <f t="shared" si="0"/>
        <v>4.3716909347580941</v>
      </c>
      <c r="F16" s="3">
        <f t="shared" si="4"/>
        <v>0.25700000000000001</v>
      </c>
      <c r="G16" s="3">
        <f t="shared" si="1"/>
        <v>5.1874763294238062E-2</v>
      </c>
      <c r="H16" s="3">
        <f t="shared" si="2"/>
        <v>84.273944730340105</v>
      </c>
      <c r="I16" s="3">
        <v>18.899999999999999</v>
      </c>
      <c r="J16" s="3">
        <v>1.05605E-2</v>
      </c>
      <c r="K16" s="3">
        <f t="shared" si="3"/>
        <v>2050.8881014816916</v>
      </c>
      <c r="L16" s="13"/>
    </row>
    <row r="17" spans="1:11">
      <c r="A17" s="3">
        <v>21</v>
      </c>
      <c r="B17" s="3">
        <f>200/41.7</f>
        <v>4.796163069544364</v>
      </c>
      <c r="C17" s="3">
        <f>200/42.87</f>
        <v>4.6652670865407044</v>
      </c>
      <c r="D17" s="3">
        <f>200/42.25</f>
        <v>4.7337278106508878</v>
      </c>
      <c r="E17" s="3">
        <f t="shared" si="0"/>
        <v>4.7317193222453184</v>
      </c>
      <c r="F17" s="3">
        <f t="shared" si="4"/>
        <v>0.25700000000000001</v>
      </c>
      <c r="G17" s="3">
        <f t="shared" si="1"/>
        <v>5.1874763294238062E-2</v>
      </c>
      <c r="H17" s="3">
        <f t="shared" si="2"/>
        <v>91.214282663934384</v>
      </c>
      <c r="I17" s="3">
        <v>18.899999999999999</v>
      </c>
      <c r="J17" s="3">
        <v>1.05605E-2</v>
      </c>
      <c r="K17" s="3">
        <f t="shared" si="3"/>
        <v>2219.7879498727461</v>
      </c>
    </row>
    <row r="18" spans="1:11">
      <c r="A18" s="3">
        <v>23</v>
      </c>
      <c r="B18" s="3">
        <f>200/39.76</f>
        <v>5.0301810865191152</v>
      </c>
      <c r="C18" s="3">
        <f>200/40.37</f>
        <v>4.9541738915035918</v>
      </c>
      <c r="D18" s="3">
        <f>200/38.77</f>
        <v>5.158627805003869</v>
      </c>
      <c r="E18" s="3">
        <f t="shared" si="0"/>
        <v>5.0476609276755253</v>
      </c>
      <c r="F18" s="3">
        <f t="shared" si="4"/>
        <v>0.25700000000000001</v>
      </c>
      <c r="G18" s="3">
        <f t="shared" si="1"/>
        <v>5.1874763294238062E-2</v>
      </c>
      <c r="H18" s="3">
        <f t="shared" si="2"/>
        <v>97.304751041364057</v>
      </c>
      <c r="I18" s="3">
        <v>18.899999999999999</v>
      </c>
      <c r="J18" s="3">
        <v>1.05605E-2</v>
      </c>
      <c r="K18" s="3">
        <f t="shared" si="3"/>
        <v>2368.0053991411924</v>
      </c>
    </row>
    <row r="19" spans="1:11">
      <c r="A19" s="3">
        <v>25</v>
      </c>
      <c r="B19" s="3">
        <f>200/38.38</f>
        <v>5.2110474205315267</v>
      </c>
      <c r="C19" s="3">
        <f>200/39.65</f>
        <v>5.0441361916771754</v>
      </c>
      <c r="D19" s="3">
        <f>200/36.47</f>
        <v>5.4839594187003016</v>
      </c>
      <c r="E19" s="3">
        <f t="shared" si="0"/>
        <v>5.2463810103030015</v>
      </c>
      <c r="F19" s="3">
        <f t="shared" si="4"/>
        <v>0.25700000000000001</v>
      </c>
      <c r="G19" s="3">
        <f t="shared" si="1"/>
        <v>5.1874763294238062E-2</v>
      </c>
      <c r="H19" s="3">
        <f t="shared" si="2"/>
        <v>101.13551710193033</v>
      </c>
      <c r="I19" s="3">
        <v>18.899999999999999</v>
      </c>
      <c r="J19" s="3">
        <v>1.05605E-2</v>
      </c>
      <c r="K19" s="3">
        <f t="shared" si="3"/>
        <v>2461.2308030108511</v>
      </c>
    </row>
  </sheetData>
  <pageMargins left="0.7" right="0.7" top="0.75" bottom="0.75" header="0" footer="0"/>
  <pageSetup orientation="landscape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22"/>
  <sheetViews>
    <sheetView workbookViewId="0">
      <selection activeCell="O12" sqref="O12"/>
    </sheetView>
  </sheetViews>
  <sheetFormatPr defaultColWidth="11.33203125" defaultRowHeight="15" customHeight="1"/>
  <cols>
    <col min="1" max="1" width="6.6640625" customWidth="1"/>
    <col min="2" max="4" width="9.6640625" customWidth="1"/>
    <col min="5" max="6" width="6.6640625" customWidth="1"/>
    <col min="7" max="7" width="9.6640625" customWidth="1"/>
    <col min="8" max="9" width="6.6640625" customWidth="1"/>
    <col min="10" max="10" width="8.109375" customWidth="1"/>
    <col min="11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48</v>
      </c>
    </row>
    <row r="2" spans="1:12">
      <c r="A2" s="3">
        <v>0</v>
      </c>
      <c r="B2" s="3"/>
      <c r="C2" s="3"/>
      <c r="D2" s="3"/>
      <c r="E2" s="3">
        <f t="shared" ref="E2:E20" si="0">(B2+C2+D2)/3</f>
        <v>0</v>
      </c>
      <c r="F2" s="3">
        <f>0.53</f>
        <v>0.53</v>
      </c>
      <c r="G2" s="3">
        <f t="shared" ref="G2:G20" si="1">(F2^2)/4*PI()</f>
        <v>0.22061834409834324</v>
      </c>
      <c r="H2" s="3">
        <f t="shared" ref="H2:H20" si="2">E2/G2</f>
        <v>0</v>
      </c>
      <c r="I2" s="3">
        <v>19.5</v>
      </c>
      <c r="J2" s="3">
        <v>1.05605E-2</v>
      </c>
      <c r="K2" s="3">
        <f t="shared" ref="K2:K20" si="3">H2*F2/J2</f>
        <v>0</v>
      </c>
      <c r="L2" s="13"/>
    </row>
    <row r="3" spans="1:12">
      <c r="A3" s="3">
        <v>1</v>
      </c>
      <c r="B3" s="3">
        <f>300/60.53</f>
        <v>4.9562200561704941</v>
      </c>
      <c r="C3" s="3">
        <f>300/61.36</f>
        <v>4.8891786179921777</v>
      </c>
      <c r="D3" s="3">
        <f>300/58.29</f>
        <v>5.1466803911477097</v>
      </c>
      <c r="E3" s="3">
        <f t="shared" si="0"/>
        <v>4.9973596884367941</v>
      </c>
      <c r="F3" s="3">
        <f t="shared" ref="F3:F20" si="4">0.53</f>
        <v>0.53</v>
      </c>
      <c r="G3" s="3">
        <f t="shared" si="1"/>
        <v>0.22061834409834324</v>
      </c>
      <c r="H3" s="3">
        <f t="shared" si="2"/>
        <v>22.651605463094047</v>
      </c>
      <c r="I3" s="3">
        <v>19.5</v>
      </c>
      <c r="J3" s="3">
        <v>1.05605E-2</v>
      </c>
      <c r="K3" s="3">
        <f t="shared" si="3"/>
        <v>1136.8165234070209</v>
      </c>
      <c r="L3" s="13"/>
    </row>
    <row r="4" spans="1:12">
      <c r="A4" s="3">
        <v>2</v>
      </c>
      <c r="B4" s="3">
        <f>300/40.44</f>
        <v>7.4183976261127604</v>
      </c>
      <c r="C4" s="3">
        <f>300/41.19</f>
        <v>7.2833211944646763</v>
      </c>
      <c r="D4" s="3">
        <f>300/40.08</f>
        <v>7.4850299401197606</v>
      </c>
      <c r="E4" s="3">
        <f t="shared" si="0"/>
        <v>7.3955829202323997</v>
      </c>
      <c r="F4" s="3">
        <f t="shared" si="4"/>
        <v>0.53</v>
      </c>
      <c r="G4" s="3">
        <f t="shared" si="1"/>
        <v>0.22061834409834324</v>
      </c>
      <c r="H4" s="3">
        <f t="shared" si="2"/>
        <v>33.522067035983781</v>
      </c>
      <c r="I4" s="3">
        <v>19.5</v>
      </c>
      <c r="J4" s="3">
        <v>1.05605E-2</v>
      </c>
      <c r="K4" s="3">
        <f t="shared" si="3"/>
        <v>1682.3725703396055</v>
      </c>
      <c r="L4" s="13"/>
    </row>
    <row r="5" spans="1:12">
      <c r="A5" s="3">
        <v>3</v>
      </c>
      <c r="B5" s="3">
        <f>600/67.26</f>
        <v>8.9206066012488847</v>
      </c>
      <c r="C5" s="3">
        <f>700/76.19</f>
        <v>9.1875574222338887</v>
      </c>
      <c r="D5" s="3">
        <f>500/53.62</f>
        <v>9.3248787765759058</v>
      </c>
      <c r="E5" s="3">
        <f t="shared" si="0"/>
        <v>9.1443476000195592</v>
      </c>
      <c r="F5" s="3">
        <f t="shared" si="4"/>
        <v>0.53</v>
      </c>
      <c r="G5" s="3">
        <f t="shared" si="1"/>
        <v>0.22061834409834324</v>
      </c>
      <c r="H5" s="3">
        <f t="shared" si="2"/>
        <v>41.4487183166571</v>
      </c>
      <c r="I5" s="3">
        <v>19.5</v>
      </c>
      <c r="J5" s="3">
        <v>1.05605E-2</v>
      </c>
      <c r="K5" s="3">
        <f t="shared" si="3"/>
        <v>2080.1875581485974</v>
      </c>
      <c r="L5" s="13"/>
    </row>
    <row r="6" spans="1:12">
      <c r="A6" s="3">
        <v>4</v>
      </c>
      <c r="B6" s="3">
        <f>600/55.63</f>
        <v>10.785547366528851</v>
      </c>
      <c r="C6" s="3">
        <f>600/54.87</f>
        <v>10.934937124111537</v>
      </c>
      <c r="D6" s="3">
        <f>600/56.08</f>
        <v>10.699001426533524</v>
      </c>
      <c r="E6" s="3">
        <f t="shared" si="0"/>
        <v>10.806495305724638</v>
      </c>
      <c r="F6" s="3">
        <f t="shared" si="4"/>
        <v>0.53</v>
      </c>
      <c r="G6" s="3">
        <f t="shared" si="1"/>
        <v>0.22061834409834324</v>
      </c>
      <c r="H6" s="3">
        <f t="shared" si="2"/>
        <v>48.98275957010862</v>
      </c>
      <c r="I6" s="3">
        <v>19.5</v>
      </c>
      <c r="J6" s="3">
        <v>1.05605E-2</v>
      </c>
      <c r="K6" s="3">
        <f t="shared" si="3"/>
        <v>2458.2986195878575</v>
      </c>
      <c r="L6" s="13"/>
    </row>
    <row r="7" spans="1:12">
      <c r="A7" s="3">
        <v>5</v>
      </c>
      <c r="B7" s="3">
        <f>600/49.96</f>
        <v>12.009607686148918</v>
      </c>
      <c r="C7" s="3">
        <f>600/48.94</f>
        <v>12.259910093992644</v>
      </c>
      <c r="D7" s="3">
        <f>600/50.04</f>
        <v>11.990407673860911</v>
      </c>
      <c r="E7" s="3">
        <f t="shared" si="0"/>
        <v>12.086641818000823</v>
      </c>
      <c r="F7" s="3">
        <f t="shared" si="4"/>
        <v>0.53</v>
      </c>
      <c r="G7" s="3">
        <f t="shared" si="1"/>
        <v>0.22061834409834324</v>
      </c>
      <c r="H7" s="3">
        <f t="shared" si="2"/>
        <v>54.785298418399236</v>
      </c>
      <c r="I7" s="3">
        <v>19.5</v>
      </c>
      <c r="J7" s="3">
        <v>1.05605E-2</v>
      </c>
      <c r="K7" s="3">
        <f t="shared" si="3"/>
        <v>2749.5107392407172</v>
      </c>
      <c r="L7" s="13"/>
    </row>
    <row r="8" spans="1:12">
      <c r="A8" s="3">
        <v>6</v>
      </c>
      <c r="B8" s="3">
        <f>600/44.69</f>
        <v>13.425822331617812</v>
      </c>
      <c r="C8" s="3">
        <f>600/44.26</f>
        <v>13.556258472661545</v>
      </c>
      <c r="D8" s="3">
        <f>600/45.13</f>
        <v>13.294925769997784</v>
      </c>
      <c r="E8" s="3">
        <f t="shared" si="0"/>
        <v>13.425668858092379</v>
      </c>
      <c r="F8" s="3">
        <f t="shared" si="4"/>
        <v>0.53</v>
      </c>
      <c r="G8" s="3">
        <f t="shared" si="1"/>
        <v>0.22061834409834324</v>
      </c>
      <c r="H8" s="3">
        <f t="shared" si="2"/>
        <v>60.854725897624036</v>
      </c>
      <c r="I8" s="3">
        <v>19.5</v>
      </c>
      <c r="J8" s="3">
        <v>1.05605E-2</v>
      </c>
      <c r="K8" s="3">
        <f t="shared" si="3"/>
        <v>3054.1172033275639</v>
      </c>
      <c r="L8" s="13"/>
    </row>
    <row r="9" spans="1:12">
      <c r="A9" s="3">
        <v>7</v>
      </c>
      <c r="B9" s="3">
        <f>600/41.13</f>
        <v>14.587892049598832</v>
      </c>
      <c r="C9" s="3">
        <f>600/41.07</f>
        <v>14.609203798392988</v>
      </c>
      <c r="D9" s="3">
        <f>600/41.12</f>
        <v>14.591439688715955</v>
      </c>
      <c r="E9" s="3">
        <f t="shared" si="0"/>
        <v>14.596178512235923</v>
      </c>
      <c r="F9" s="3">
        <f t="shared" si="4"/>
        <v>0.53</v>
      </c>
      <c r="G9" s="3">
        <f t="shared" si="1"/>
        <v>0.22061834409834324</v>
      </c>
      <c r="H9" s="3">
        <f t="shared" si="2"/>
        <v>66.160312153052445</v>
      </c>
      <c r="I9" s="3">
        <v>19.5</v>
      </c>
      <c r="J9" s="3">
        <v>1.05605E-2</v>
      </c>
      <c r="K9" s="3">
        <f t="shared" si="3"/>
        <v>3320.3887544261916</v>
      </c>
      <c r="L9" s="13"/>
    </row>
    <row r="10" spans="1:12">
      <c r="A10" s="3">
        <v>8</v>
      </c>
      <c r="B10" s="3">
        <f>600/38.4</f>
        <v>15.625</v>
      </c>
      <c r="C10" s="3">
        <f>600/37.93</f>
        <v>15.818613234906406</v>
      </c>
      <c r="D10" s="3">
        <f>600/38.18</f>
        <v>15.71503404924044</v>
      </c>
      <c r="E10" s="3">
        <f t="shared" si="0"/>
        <v>15.719549094715617</v>
      </c>
      <c r="F10" s="3">
        <f t="shared" si="4"/>
        <v>0.53</v>
      </c>
      <c r="G10" s="3">
        <f t="shared" si="1"/>
        <v>0.22061834409834324</v>
      </c>
      <c r="H10" s="3">
        <f t="shared" si="2"/>
        <v>71.252230447838201</v>
      </c>
      <c r="I10" s="3">
        <v>19.5</v>
      </c>
      <c r="J10" s="3">
        <v>1.05605E-2</v>
      </c>
      <c r="K10" s="3">
        <f t="shared" si="3"/>
        <v>3575.9369478106387</v>
      </c>
      <c r="L10" s="13"/>
    </row>
    <row r="11" spans="1:12">
      <c r="A11" s="3">
        <v>9</v>
      </c>
      <c r="B11" s="3">
        <f>1000/62.94</f>
        <v>15.888147442008263</v>
      </c>
      <c r="C11" s="3">
        <f>1000/60.01</f>
        <v>16.663889351774706</v>
      </c>
      <c r="D11" s="3">
        <f>1000/58.8</f>
        <v>17.006802721088437</v>
      </c>
      <c r="E11" s="3">
        <f t="shared" si="0"/>
        <v>16.519613171623803</v>
      </c>
      <c r="F11" s="3">
        <f t="shared" si="4"/>
        <v>0.53</v>
      </c>
      <c r="G11" s="3">
        <f t="shared" si="1"/>
        <v>0.22061834409834324</v>
      </c>
      <c r="H11" s="3">
        <f t="shared" si="2"/>
        <v>74.878692608897424</v>
      </c>
      <c r="I11" s="3">
        <v>19.5</v>
      </c>
      <c r="J11" s="3">
        <v>1.05605E-2</v>
      </c>
      <c r="K11" s="3">
        <f t="shared" si="3"/>
        <v>3757.9382683315785</v>
      </c>
      <c r="L11" s="13"/>
    </row>
    <row r="12" spans="1:12">
      <c r="A12" s="3">
        <v>10</v>
      </c>
      <c r="B12" s="3">
        <f>1000/57.25</f>
        <v>17.467248908296945</v>
      </c>
      <c r="C12" s="3">
        <f>1000/55.97</f>
        <v>17.866714311238162</v>
      </c>
      <c r="D12" s="3">
        <f>1000/56.47</f>
        <v>17.708517797060388</v>
      </c>
      <c r="E12" s="3">
        <f t="shared" si="0"/>
        <v>17.680827005531832</v>
      </c>
      <c r="F12" s="3">
        <f t="shared" si="4"/>
        <v>0.53</v>
      </c>
      <c r="G12" s="3">
        <f t="shared" si="1"/>
        <v>0.22061834409834324</v>
      </c>
      <c r="H12" s="3">
        <f t="shared" si="2"/>
        <v>80.142143563775434</v>
      </c>
      <c r="I12" s="3">
        <v>19.5</v>
      </c>
      <c r="J12" s="3">
        <v>1.05605E-2</v>
      </c>
      <c r="K12" s="3">
        <f t="shared" si="3"/>
        <v>4022.0951743573673</v>
      </c>
      <c r="L12" s="13"/>
    </row>
    <row r="13" spans="1:12">
      <c r="A13" s="3">
        <v>11</v>
      </c>
      <c r="B13" s="3">
        <f>1000/54.32</f>
        <v>18.40942562592047</v>
      </c>
      <c r="C13" s="3">
        <f>1000/52.68</f>
        <v>18.982536066818525</v>
      </c>
      <c r="D13" s="3">
        <f>1000/55.39</f>
        <v>18.053800324968407</v>
      </c>
      <c r="E13" s="3">
        <f t="shared" si="0"/>
        <v>18.481920672569135</v>
      </c>
      <c r="F13" s="3">
        <f t="shared" si="4"/>
        <v>0.53</v>
      </c>
      <c r="G13" s="3">
        <f t="shared" si="1"/>
        <v>0.22061834409834324</v>
      </c>
      <c r="H13" s="3">
        <f t="shared" si="2"/>
        <v>83.77327256309475</v>
      </c>
      <c r="I13" s="3">
        <v>19.5</v>
      </c>
      <c r="J13" s="3">
        <v>1.05605E-2</v>
      </c>
      <c r="K13" s="3">
        <f t="shared" si="3"/>
        <v>4204.330709572484</v>
      </c>
      <c r="L13" s="13"/>
    </row>
    <row r="14" spans="1:12">
      <c r="A14" s="3">
        <v>13</v>
      </c>
      <c r="B14" s="3">
        <f>1000/50.16</f>
        <v>19.936204146730464</v>
      </c>
      <c r="C14" s="3">
        <f>1000/48.29</f>
        <v>20.70822116380203</v>
      </c>
      <c r="D14" s="3">
        <f>1000/49.18</f>
        <v>20.333468889792599</v>
      </c>
      <c r="E14" s="3">
        <f t="shared" si="0"/>
        <v>20.325964733441698</v>
      </c>
      <c r="F14" s="3">
        <f t="shared" si="4"/>
        <v>0.53</v>
      </c>
      <c r="G14" s="3">
        <f t="shared" si="1"/>
        <v>0.22061834409834324</v>
      </c>
      <c r="H14" s="3">
        <f t="shared" si="2"/>
        <v>92.131798090104226</v>
      </c>
      <c r="I14" s="3">
        <v>19.5</v>
      </c>
      <c r="J14" s="3">
        <v>1.05605E-2</v>
      </c>
      <c r="K14" s="3">
        <f t="shared" si="3"/>
        <v>4623.8201778093126</v>
      </c>
      <c r="L14" s="13"/>
    </row>
    <row r="15" spans="1:12">
      <c r="A15" s="3">
        <v>15</v>
      </c>
      <c r="B15" s="3">
        <f>1000/45.33</f>
        <v>22.060445621001545</v>
      </c>
      <c r="C15" s="3">
        <f>1000/44.11</f>
        <v>22.670596236681025</v>
      </c>
      <c r="D15" s="3">
        <f>1000/45.65</f>
        <v>21.90580503833516</v>
      </c>
      <c r="E15" s="3">
        <f t="shared" si="0"/>
        <v>22.212282298672577</v>
      </c>
      <c r="F15" s="3">
        <f t="shared" si="4"/>
        <v>0.53</v>
      </c>
      <c r="G15" s="3">
        <f t="shared" si="1"/>
        <v>0.22061834409834324</v>
      </c>
      <c r="H15" s="3">
        <f t="shared" si="2"/>
        <v>100.68193734955778</v>
      </c>
      <c r="I15" s="3">
        <v>19.5</v>
      </c>
      <c r="J15" s="3">
        <v>1.05605E-2</v>
      </c>
      <c r="K15" s="3">
        <f t="shared" si="3"/>
        <v>5052.9261678202383</v>
      </c>
      <c r="L15" s="13"/>
    </row>
    <row r="16" spans="1:12">
      <c r="A16" s="3">
        <v>17</v>
      </c>
      <c r="B16" s="3">
        <f>1000/44.39</f>
        <v>22.527596305474205</v>
      </c>
      <c r="C16" s="3">
        <f>1000/40.79</f>
        <v>24.515812699190977</v>
      </c>
      <c r="D16" s="3">
        <f>1000/43.75</f>
        <v>22.857142857142858</v>
      </c>
      <c r="E16" s="3">
        <f t="shared" si="0"/>
        <v>23.300183953936013</v>
      </c>
      <c r="F16" s="3">
        <f t="shared" si="4"/>
        <v>0.53</v>
      </c>
      <c r="G16" s="3">
        <f t="shared" si="1"/>
        <v>0.22061834409834324</v>
      </c>
      <c r="H16" s="3">
        <f t="shared" si="2"/>
        <v>105.61308511838743</v>
      </c>
      <c r="I16" s="3">
        <v>19.5</v>
      </c>
      <c r="J16" s="3">
        <v>1.05605E-2</v>
      </c>
      <c r="K16" s="3">
        <f t="shared" si="3"/>
        <v>5300.405767979295</v>
      </c>
      <c r="L16" s="13"/>
    </row>
    <row r="17" spans="1:11">
      <c r="A17" s="3">
        <v>19</v>
      </c>
      <c r="B17" s="3">
        <f>1000/40.45</f>
        <v>24.72187886279357</v>
      </c>
      <c r="C17" s="3">
        <f>1000/38.76</f>
        <v>25.799793601651189</v>
      </c>
      <c r="D17" s="3">
        <f>1000/41.94</f>
        <v>23.843586075345733</v>
      </c>
      <c r="E17" s="3">
        <f t="shared" si="0"/>
        <v>24.788419513263495</v>
      </c>
      <c r="F17" s="3">
        <f t="shared" si="4"/>
        <v>0.53</v>
      </c>
      <c r="G17" s="3">
        <f t="shared" si="1"/>
        <v>0.22061834409834324</v>
      </c>
      <c r="H17" s="3">
        <f t="shared" si="2"/>
        <v>112.35883223841877</v>
      </c>
      <c r="I17" s="3">
        <v>19.5</v>
      </c>
      <c r="J17" s="3">
        <v>1.05605E-2</v>
      </c>
      <c r="K17" s="3">
        <f t="shared" si="3"/>
        <v>5638.9546978232047</v>
      </c>
    </row>
    <row r="18" spans="1:11">
      <c r="A18" s="3">
        <v>21</v>
      </c>
      <c r="B18" s="3">
        <f>1000/39.2</f>
        <v>25.510204081632651</v>
      </c>
      <c r="C18" s="3">
        <f>1000/36.95</f>
        <v>27.06359945872801</v>
      </c>
      <c r="D18" s="3">
        <f>1000/37.62</f>
        <v>26.581605528973952</v>
      </c>
      <c r="E18" s="3">
        <f t="shared" si="0"/>
        <v>26.385136356444871</v>
      </c>
      <c r="F18" s="3">
        <f t="shared" si="4"/>
        <v>0.53</v>
      </c>
      <c r="G18" s="3">
        <f t="shared" si="1"/>
        <v>0.22061834409834324</v>
      </c>
      <c r="H18" s="3">
        <f t="shared" si="2"/>
        <v>119.59629406285174</v>
      </c>
      <c r="I18" s="3">
        <v>19.5</v>
      </c>
      <c r="J18" s="3">
        <v>1.05605E-2</v>
      </c>
      <c r="K18" s="3">
        <f t="shared" si="3"/>
        <v>6002.1813222206738</v>
      </c>
    </row>
    <row r="19" spans="1:11">
      <c r="A19" s="3">
        <v>23</v>
      </c>
      <c r="B19" s="3">
        <f>1500/53.71</f>
        <v>27.927760193632469</v>
      </c>
      <c r="C19" s="3">
        <f>1500/52.94</f>
        <v>28.333962976955046</v>
      </c>
      <c r="D19" s="3">
        <f>1500/55.61</f>
        <v>26.973565905412695</v>
      </c>
      <c r="E19" s="3">
        <f t="shared" si="0"/>
        <v>27.745096358666739</v>
      </c>
      <c r="F19" s="3">
        <f t="shared" si="4"/>
        <v>0.53</v>
      </c>
      <c r="G19" s="3">
        <f t="shared" si="1"/>
        <v>0.22061834409834324</v>
      </c>
      <c r="H19" s="3">
        <f t="shared" si="2"/>
        <v>125.76060468615897</v>
      </c>
      <c r="I19" s="3">
        <v>19.5</v>
      </c>
      <c r="J19" s="3">
        <v>1.05605E-2</v>
      </c>
      <c r="K19" s="3">
        <f t="shared" si="3"/>
        <v>6311.5496883352353</v>
      </c>
    </row>
    <row r="20" spans="1:11">
      <c r="A20" s="3">
        <v>25</v>
      </c>
      <c r="B20" s="3">
        <f>1500/52.33</f>
        <v>28.664246130326774</v>
      </c>
      <c r="C20" s="3">
        <f>1500/50.62</f>
        <v>29.632556301856976</v>
      </c>
      <c r="D20" s="3">
        <f>1500/52.33</f>
        <v>28.664246130326774</v>
      </c>
      <c r="E20" s="3">
        <f t="shared" si="0"/>
        <v>28.98701618750351</v>
      </c>
      <c r="F20" s="3">
        <f t="shared" si="4"/>
        <v>0.53</v>
      </c>
      <c r="G20" s="3">
        <f t="shared" si="1"/>
        <v>0.22061834409834324</v>
      </c>
      <c r="H20" s="3">
        <f t="shared" si="2"/>
        <v>131.38987288646408</v>
      </c>
      <c r="I20" s="3">
        <v>19.5</v>
      </c>
      <c r="J20" s="3">
        <v>1.05605E-2</v>
      </c>
      <c r="K20" s="3">
        <f t="shared" si="3"/>
        <v>6594.0658709176614</v>
      </c>
    </row>
    <row r="21" spans="1:11">
      <c r="A21" s="13"/>
      <c r="B21" s="13"/>
      <c r="C21" s="13"/>
      <c r="D21" s="13"/>
      <c r="E21" s="13"/>
      <c r="F21" s="13"/>
      <c r="G21" s="13"/>
      <c r="H21" s="13"/>
      <c r="I21" s="3"/>
      <c r="J21" s="13"/>
      <c r="K21" s="13"/>
    </row>
    <row r="22" spans="1:11">
      <c r="A22" s="13"/>
      <c r="B22" s="13"/>
      <c r="C22" s="13"/>
      <c r="D22" s="13"/>
      <c r="E22" s="13"/>
      <c r="F22" s="13"/>
      <c r="G22" s="13"/>
      <c r="H22" s="13"/>
      <c r="I22" s="3"/>
      <c r="J22" s="13"/>
      <c r="K22" s="13"/>
    </row>
  </sheetData>
  <pageMargins left="0.75" right="0.75" top="1" bottom="1" header="0" footer="0"/>
  <pageSetup orientation="landscape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18"/>
  <sheetViews>
    <sheetView workbookViewId="0">
      <selection activeCell="F2" sqref="F2"/>
    </sheetView>
  </sheetViews>
  <sheetFormatPr defaultColWidth="11.33203125" defaultRowHeight="15" customHeight="1"/>
  <cols>
    <col min="1" max="6" width="7" customWidth="1"/>
    <col min="7" max="7" width="17.33203125" customWidth="1"/>
    <col min="8" max="26" width="7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49</v>
      </c>
    </row>
    <row r="2" spans="1:12">
      <c r="A2" s="3">
        <v>0</v>
      </c>
      <c r="B2" s="3"/>
      <c r="C2" s="3"/>
      <c r="D2" s="3"/>
      <c r="E2" s="3">
        <f t="shared" ref="E2:E15" si="0">(B2+C2+D2)/3</f>
        <v>0</v>
      </c>
      <c r="F2" s="3">
        <f>1.117</f>
        <v>1.117</v>
      </c>
      <c r="G2" s="3">
        <f t="shared" ref="G2:G15" si="1">(F2^2)/4*PI()</f>
        <v>0.97993264909119893</v>
      </c>
      <c r="H2" s="3">
        <f t="shared" ref="H2:H15" si="2">E2/G2</f>
        <v>0</v>
      </c>
      <c r="I2" s="3">
        <v>23</v>
      </c>
      <c r="J2" s="3">
        <v>1.05605E-2</v>
      </c>
      <c r="K2" s="3">
        <f t="shared" ref="K2:K15" si="3">H2*F2/J2</f>
        <v>0</v>
      </c>
      <c r="L2" s="13"/>
    </row>
    <row r="3" spans="1:12">
      <c r="A3" s="3">
        <v>1</v>
      </c>
      <c r="B3" s="3">
        <f>1500/51.86</f>
        <v>28.924026224450444</v>
      </c>
      <c r="C3" s="3">
        <f>1000/36.82</f>
        <v>27.159152634437806</v>
      </c>
      <c r="D3" s="3">
        <f>1000/41.34</f>
        <v>24.189646831156264</v>
      </c>
      <c r="E3" s="3">
        <f t="shared" si="0"/>
        <v>26.757608563348171</v>
      </c>
      <c r="F3" s="3">
        <f t="shared" ref="F3:F15" si="4">1.117</f>
        <v>1.117</v>
      </c>
      <c r="G3" s="3">
        <f t="shared" si="1"/>
        <v>0.97993264909119893</v>
      </c>
      <c r="H3" s="3">
        <f t="shared" si="2"/>
        <v>27.305558793416559</v>
      </c>
      <c r="I3" s="3">
        <v>23</v>
      </c>
      <c r="J3" s="3">
        <v>1.05605E-2</v>
      </c>
      <c r="K3" s="3">
        <f t="shared" si="3"/>
        <v>2888.1501039009795</v>
      </c>
      <c r="L3" s="13"/>
    </row>
    <row r="4" spans="1:12">
      <c r="A4" s="3">
        <v>2</v>
      </c>
      <c r="B4" s="3">
        <f>1500/38.06</f>
        <v>39.411455596426691</v>
      </c>
      <c r="C4" s="3">
        <f>1500/38.22</f>
        <v>39.246467817896388</v>
      </c>
      <c r="D4" s="3">
        <f>1500/37.95</f>
        <v>39.525691699604742</v>
      </c>
      <c r="E4" s="3">
        <f t="shared" si="0"/>
        <v>39.394538371309274</v>
      </c>
      <c r="F4" s="3">
        <f t="shared" si="4"/>
        <v>1.117</v>
      </c>
      <c r="G4" s="3">
        <f t="shared" si="1"/>
        <v>0.97993264909119893</v>
      </c>
      <c r="H4" s="3">
        <f t="shared" si="2"/>
        <v>40.201271391298405</v>
      </c>
      <c r="I4" s="3">
        <v>23</v>
      </c>
      <c r="J4" s="3">
        <v>1.05605E-2</v>
      </c>
      <c r="K4" s="3">
        <f t="shared" si="3"/>
        <v>4252.1490596165258</v>
      </c>
      <c r="L4" s="13"/>
    </row>
    <row r="5" spans="1:12">
      <c r="A5" s="3">
        <v>3.3</v>
      </c>
      <c r="B5" s="3">
        <f>1500/30.19</f>
        <v>49.685326266975821</v>
      </c>
      <c r="C5" s="3">
        <f>1500/29.43</f>
        <v>50.968399592252801</v>
      </c>
      <c r="D5" s="3">
        <f>1500/29.23</f>
        <v>51.31713992473486</v>
      </c>
      <c r="E5" s="3">
        <f t="shared" si="0"/>
        <v>50.656955261321151</v>
      </c>
      <c r="F5" s="3">
        <f t="shared" si="4"/>
        <v>1.117</v>
      </c>
      <c r="G5" s="3">
        <f t="shared" si="1"/>
        <v>0.97993264909119893</v>
      </c>
      <c r="H5" s="3">
        <f t="shared" si="2"/>
        <v>51.694323388756366</v>
      </c>
      <c r="I5" s="3">
        <v>23</v>
      </c>
      <c r="J5" s="3">
        <v>1.05605E-2</v>
      </c>
      <c r="K5" s="3">
        <f t="shared" si="3"/>
        <v>5467.7864897723457</v>
      </c>
      <c r="L5" s="13"/>
    </row>
    <row r="6" spans="1:12">
      <c r="A6" s="3">
        <v>4</v>
      </c>
      <c r="B6" s="3">
        <f>2000/34.76</f>
        <v>57.537399309551212</v>
      </c>
      <c r="C6" s="3">
        <f>2000/35.93</f>
        <v>55.663790704146955</v>
      </c>
      <c r="D6" s="3">
        <f>2000/35.82</f>
        <v>55.83472920156337</v>
      </c>
      <c r="E6" s="3">
        <f t="shared" si="0"/>
        <v>56.345306405087179</v>
      </c>
      <c r="F6" s="3">
        <f t="shared" si="4"/>
        <v>1.117</v>
      </c>
      <c r="G6" s="3">
        <f t="shared" si="1"/>
        <v>0.97993264909119893</v>
      </c>
      <c r="H6" s="3">
        <f t="shared" si="2"/>
        <v>57.499162271348425</v>
      </c>
      <c r="I6" s="3">
        <v>23</v>
      </c>
      <c r="J6" s="3">
        <v>1.05605E-2</v>
      </c>
      <c r="K6" s="3">
        <f t="shared" si="3"/>
        <v>6081.7730464557726</v>
      </c>
      <c r="L6" s="13"/>
    </row>
    <row r="7" spans="1:12">
      <c r="A7" s="3">
        <v>5</v>
      </c>
      <c r="B7" s="3">
        <f>2000/32.05</f>
        <v>62.402496099844001</v>
      </c>
      <c r="C7" s="3">
        <f>2000/31.63</f>
        <v>63.231109705975342</v>
      </c>
      <c r="D7" s="3">
        <f>2000/32.02</f>
        <v>62.460961898813238</v>
      </c>
      <c r="E7" s="3">
        <f t="shared" si="0"/>
        <v>62.698189234877532</v>
      </c>
      <c r="F7" s="3">
        <f t="shared" si="4"/>
        <v>1.117</v>
      </c>
      <c r="G7" s="3">
        <f t="shared" si="1"/>
        <v>0.97993264909119893</v>
      </c>
      <c r="H7" s="3">
        <f t="shared" si="2"/>
        <v>63.982141316573717</v>
      </c>
      <c r="I7" s="3">
        <v>23</v>
      </c>
      <c r="J7" s="3">
        <v>1.05605E-2</v>
      </c>
      <c r="K7" s="3">
        <f t="shared" si="3"/>
        <v>6767.4875101191074</v>
      </c>
      <c r="L7" s="13"/>
    </row>
    <row r="8" spans="1:12">
      <c r="A8" s="3">
        <v>6</v>
      </c>
      <c r="B8" s="3">
        <f>2000/29.88</f>
        <v>66.934404283801882</v>
      </c>
      <c r="C8" s="3">
        <f>2000/30.18</f>
        <v>66.269052352551356</v>
      </c>
      <c r="D8" s="3">
        <f>2500/37.38</f>
        <v>66.880684858212945</v>
      </c>
      <c r="E8" s="3">
        <f t="shared" si="0"/>
        <v>66.694713831522051</v>
      </c>
      <c r="F8" s="3">
        <f t="shared" si="4"/>
        <v>1.117</v>
      </c>
      <c r="G8" s="3">
        <f t="shared" si="1"/>
        <v>0.97993264909119893</v>
      </c>
      <c r="H8" s="3">
        <f t="shared" si="2"/>
        <v>68.060507927126949</v>
      </c>
      <c r="I8" s="3">
        <v>23</v>
      </c>
      <c r="J8" s="3">
        <v>1.05605E-2</v>
      </c>
      <c r="K8" s="3">
        <f t="shared" si="3"/>
        <v>7198.8624927418969</v>
      </c>
      <c r="L8" s="13"/>
    </row>
    <row r="9" spans="1:12">
      <c r="A9" s="3">
        <v>7</v>
      </c>
      <c r="B9" s="3">
        <f>2500/33.52</f>
        <v>74.582338902147967</v>
      </c>
      <c r="C9" s="3">
        <f>2500/33.48</f>
        <v>74.671445639187581</v>
      </c>
      <c r="D9" s="3">
        <f>2500/33.62</f>
        <v>74.360499702558002</v>
      </c>
      <c r="E9" s="3">
        <f t="shared" si="0"/>
        <v>74.538094747964522</v>
      </c>
      <c r="F9" s="3">
        <f t="shared" si="4"/>
        <v>1.117</v>
      </c>
      <c r="G9" s="3">
        <f t="shared" si="1"/>
        <v>0.97993264909119893</v>
      </c>
      <c r="H9" s="3">
        <f t="shared" si="2"/>
        <v>76.0645079201025</v>
      </c>
      <c r="I9" s="3">
        <v>23</v>
      </c>
      <c r="J9" s="3">
        <v>1.05605E-2</v>
      </c>
      <c r="K9" s="3">
        <f t="shared" si="3"/>
        <v>8045.4576342743703</v>
      </c>
      <c r="L9" s="13"/>
    </row>
    <row r="10" spans="1:12">
      <c r="A10" s="3">
        <v>8</v>
      </c>
      <c r="B10" s="3">
        <f>2500/31.33</f>
        <v>79.795722949249921</v>
      </c>
      <c r="C10" s="3">
        <f>2500/31.05</f>
        <v>80.515297906602257</v>
      </c>
      <c r="D10" s="3">
        <f>2500/31.36</f>
        <v>79.719387755102048</v>
      </c>
      <c r="E10" s="3">
        <f t="shared" si="0"/>
        <v>80.010136203651413</v>
      </c>
      <c r="F10" s="3">
        <f t="shared" si="4"/>
        <v>1.117</v>
      </c>
      <c r="G10" s="3">
        <f t="shared" si="1"/>
        <v>0.97993264909119893</v>
      </c>
      <c r="H10" s="3">
        <f t="shared" si="2"/>
        <v>81.648607460781875</v>
      </c>
      <c r="I10" s="3">
        <v>23</v>
      </c>
      <c r="J10" s="3">
        <v>1.05605E-2</v>
      </c>
      <c r="K10" s="3">
        <f t="shared" si="3"/>
        <v>8636.0962581026797</v>
      </c>
      <c r="L10" s="13"/>
    </row>
    <row r="11" spans="1:12">
      <c r="A11" s="3">
        <v>10</v>
      </c>
      <c r="B11" s="3">
        <f>3000/32.58</f>
        <v>92.081031307550646</v>
      </c>
      <c r="C11" s="3">
        <f>3000/32.56</f>
        <v>92.137592137592137</v>
      </c>
      <c r="D11" s="3">
        <f>3000/32.65</f>
        <v>91.883614088820835</v>
      </c>
      <c r="E11" s="3">
        <f t="shared" si="0"/>
        <v>92.034079177987863</v>
      </c>
      <c r="F11" s="3">
        <f t="shared" si="4"/>
        <v>1.117</v>
      </c>
      <c r="G11" s="3">
        <f t="shared" si="1"/>
        <v>0.97993264909119893</v>
      </c>
      <c r="H11" s="3">
        <f t="shared" si="2"/>
        <v>93.918780299178067</v>
      </c>
      <c r="I11" s="3">
        <v>23</v>
      </c>
      <c r="J11" s="3">
        <v>1.05605E-2</v>
      </c>
      <c r="K11" s="3">
        <f t="shared" si="3"/>
        <v>9933.9309307496715</v>
      </c>
      <c r="L11" s="13"/>
    </row>
    <row r="12" spans="1:12">
      <c r="A12" s="3">
        <v>12</v>
      </c>
      <c r="B12" s="3">
        <f>3500/35.15</f>
        <v>99.57325746799431</v>
      </c>
      <c r="C12" s="3">
        <f>3500/34.9</f>
        <v>100.2865329512894</v>
      </c>
      <c r="D12" s="3">
        <f>3500/34.85</f>
        <v>100.43041606886656</v>
      </c>
      <c r="E12" s="3">
        <f t="shared" si="0"/>
        <v>100.09673549605009</v>
      </c>
      <c r="F12" s="3">
        <f t="shared" si="4"/>
        <v>1.117</v>
      </c>
      <c r="G12" s="3">
        <f t="shared" si="1"/>
        <v>0.97993264909119893</v>
      </c>
      <c r="H12" s="3">
        <f t="shared" si="2"/>
        <v>102.14654608036683</v>
      </c>
      <c r="I12" s="3">
        <v>23</v>
      </c>
      <c r="J12" s="3">
        <v>1.05605E-2</v>
      </c>
      <c r="K12" s="3">
        <f t="shared" si="3"/>
        <v>10804.194116923416</v>
      </c>
      <c r="L12" s="13"/>
    </row>
    <row r="13" spans="1:12">
      <c r="A13" s="3">
        <v>14</v>
      </c>
      <c r="B13" s="3">
        <f>4000/36.35</f>
        <v>110.04126547455296</v>
      </c>
      <c r="C13" s="3">
        <f>4000/36.85</f>
        <v>108.54816824966078</v>
      </c>
      <c r="D13" s="3">
        <f>4000/36.4</f>
        <v>109.8901098901099</v>
      </c>
      <c r="E13" s="3">
        <f t="shared" si="0"/>
        <v>109.49318120477454</v>
      </c>
      <c r="F13" s="3">
        <f t="shared" si="4"/>
        <v>1.117</v>
      </c>
      <c r="G13" s="3">
        <f t="shared" si="1"/>
        <v>0.97993264909119893</v>
      </c>
      <c r="H13" s="3">
        <f t="shared" si="2"/>
        <v>111.73541498624401</v>
      </c>
      <c r="I13" s="3">
        <v>23</v>
      </c>
      <c r="J13" s="3">
        <v>1.05605E-2</v>
      </c>
      <c r="K13" s="3">
        <f t="shared" si="3"/>
        <v>11818.423231819947</v>
      </c>
      <c r="L13" s="13"/>
    </row>
    <row r="14" spans="1:12">
      <c r="A14" s="3">
        <v>16</v>
      </c>
      <c r="B14" s="3">
        <f>5000/43.56</f>
        <v>114.7842056932966</v>
      </c>
      <c r="C14" s="3">
        <f>5000/43.43</f>
        <v>115.12779184895234</v>
      </c>
      <c r="D14" s="3">
        <f>5000/43.28</f>
        <v>115.5268022181146</v>
      </c>
      <c r="E14" s="3">
        <f t="shared" si="0"/>
        <v>115.14626658678783</v>
      </c>
      <c r="F14" s="3">
        <f t="shared" si="4"/>
        <v>1.117</v>
      </c>
      <c r="G14" s="3">
        <f t="shared" si="1"/>
        <v>0.97993264909119893</v>
      </c>
      <c r="H14" s="3">
        <f t="shared" si="2"/>
        <v>117.50426592437331</v>
      </c>
      <c r="I14" s="3">
        <v>23</v>
      </c>
      <c r="J14" s="3">
        <v>1.05605E-2</v>
      </c>
      <c r="K14" s="3">
        <f t="shared" si="3"/>
        <v>12428.603289382603</v>
      </c>
      <c r="L14" s="13"/>
    </row>
    <row r="15" spans="1:12">
      <c r="A15" s="3">
        <v>18</v>
      </c>
      <c r="B15" s="3">
        <f>5000/40.5</f>
        <v>123.45679012345678</v>
      </c>
      <c r="C15" s="3">
        <f>5000/41.19</f>
        <v>121.38868657441127</v>
      </c>
      <c r="D15" s="3">
        <f>5000/41.1</f>
        <v>121.65450121654501</v>
      </c>
      <c r="E15" s="3">
        <f t="shared" si="0"/>
        <v>122.16665930480436</v>
      </c>
      <c r="F15" s="3">
        <f t="shared" si="4"/>
        <v>1.117</v>
      </c>
      <c r="G15" s="3">
        <f t="shared" si="1"/>
        <v>0.97993264909119893</v>
      </c>
      <c r="H15" s="3">
        <f t="shared" si="2"/>
        <v>124.66842432294011</v>
      </c>
      <c r="I15" s="3">
        <v>23</v>
      </c>
      <c r="J15" s="3">
        <v>1.05605E-2</v>
      </c>
      <c r="K15" s="3">
        <f t="shared" si="3"/>
        <v>13186.367119807217</v>
      </c>
      <c r="L15" s="13"/>
    </row>
    <row r="16" spans="1:12">
      <c r="A16" s="3"/>
      <c r="B16" s="13"/>
      <c r="C16" s="13"/>
      <c r="D16" s="13"/>
      <c r="E16" s="3"/>
      <c r="F16" s="3"/>
      <c r="G16" s="3"/>
      <c r="H16" s="3"/>
      <c r="I16" s="3"/>
      <c r="J16" s="3"/>
      <c r="K16" s="13"/>
      <c r="L16" s="13"/>
    </row>
    <row r="17" spans="1:10">
      <c r="A17" s="3"/>
      <c r="B17" s="13"/>
      <c r="C17" s="13"/>
      <c r="D17" s="13"/>
      <c r="E17" s="3"/>
      <c r="F17" s="3"/>
      <c r="G17" s="3"/>
      <c r="H17" s="3"/>
      <c r="I17" s="3"/>
      <c r="J17" s="3"/>
    </row>
    <row r="18" spans="1:10">
      <c r="A18" s="3"/>
      <c r="B18" s="13"/>
      <c r="C18" s="13"/>
      <c r="D18" s="13"/>
      <c r="E18" s="3"/>
      <c r="F18" s="13"/>
      <c r="G18" s="13"/>
      <c r="H18" s="3"/>
      <c r="I18" s="3"/>
      <c r="J18" s="3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5"/>
  <sheetViews>
    <sheetView workbookViewId="0"/>
  </sheetViews>
  <sheetFormatPr defaultColWidth="11.33203125" defaultRowHeight="15" customHeight="1"/>
  <cols>
    <col min="1" max="1" width="6.6640625" customWidth="1"/>
    <col min="2" max="4" width="9.6640625" customWidth="1"/>
    <col min="5" max="5" width="6.6640625" customWidth="1"/>
    <col min="6" max="6" width="9.6640625" customWidth="1"/>
    <col min="7" max="7" width="17.33203125" customWidth="1"/>
    <col min="8" max="8" width="9.44140625" customWidth="1"/>
    <col min="9" max="9" width="7.88671875" customWidth="1"/>
    <col min="10" max="10" width="7.33203125" customWidth="1"/>
    <col min="11" max="11" width="9.6640625" customWidth="1"/>
    <col min="12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17</v>
      </c>
    </row>
    <row r="2" spans="1:12">
      <c r="A2" s="3">
        <v>0</v>
      </c>
      <c r="B2" s="3"/>
      <c r="C2" s="3"/>
      <c r="D2" s="3"/>
      <c r="E2" s="3">
        <f t="shared" ref="E2:E15" si="0">(B2+C2+D2)/3</f>
        <v>0</v>
      </c>
      <c r="F2" s="3">
        <f t="shared" ref="F2:F15" si="1">0.7747</f>
        <v>0.77470000000000006</v>
      </c>
      <c r="G2" s="3">
        <f t="shared" ref="G2:G15" si="2">3.14159*(F2/2)^2</f>
        <v>0.47136423428577501</v>
      </c>
      <c r="H2" s="3">
        <f t="shared" ref="H2:H15" si="3">E2/G2</f>
        <v>0</v>
      </c>
      <c r="I2" s="3">
        <v>1.8</v>
      </c>
      <c r="J2" s="3">
        <v>1.0184E-2</v>
      </c>
      <c r="K2" s="3">
        <f t="shared" ref="K2:K15" si="4">H2*F2/J2</f>
        <v>0</v>
      </c>
      <c r="L2" s="13"/>
    </row>
    <row r="3" spans="1:12">
      <c r="A3" s="3">
        <v>1</v>
      </c>
      <c r="B3" s="3">
        <f>1000/63.65</f>
        <v>15.710919088766694</v>
      </c>
      <c r="C3" s="3">
        <f>1000/70.23</f>
        <v>14.238929232521713</v>
      </c>
      <c r="D3" s="3">
        <f>1000/70.11</f>
        <v>14.263300527742119</v>
      </c>
      <c r="E3" s="3">
        <f t="shared" si="0"/>
        <v>14.737716283010174</v>
      </c>
      <c r="F3" s="3">
        <f t="shared" si="1"/>
        <v>0.77470000000000006</v>
      </c>
      <c r="G3" s="3">
        <f t="shared" si="2"/>
        <v>0.47136423428577501</v>
      </c>
      <c r="H3" s="3">
        <f t="shared" si="3"/>
        <v>31.266089386992199</v>
      </c>
      <c r="I3" s="3">
        <v>1.8</v>
      </c>
      <c r="J3" s="3">
        <v>1.0184E-2</v>
      </c>
      <c r="K3" s="3">
        <f t="shared" si="4"/>
        <v>2378.4209984390081</v>
      </c>
      <c r="L3" s="13"/>
    </row>
    <row r="4" spans="1:12">
      <c r="A4" s="3">
        <v>3</v>
      </c>
      <c r="B4" s="3">
        <f>2000/70.65</f>
        <v>28.308563340410473</v>
      </c>
      <c r="C4" s="3">
        <f>2000/70.54</f>
        <v>28.35270768358378</v>
      </c>
      <c r="D4" s="3">
        <f>2000/72.07</f>
        <v>27.750797835437773</v>
      </c>
      <c r="E4" s="3">
        <f t="shared" si="0"/>
        <v>28.137356286477342</v>
      </c>
      <c r="F4" s="3">
        <f t="shared" si="1"/>
        <v>0.77470000000000006</v>
      </c>
      <c r="G4" s="3">
        <f t="shared" si="2"/>
        <v>0.47136423428577501</v>
      </c>
      <c r="H4" s="3">
        <f t="shared" si="3"/>
        <v>59.6934477413457</v>
      </c>
      <c r="I4" s="3">
        <v>1.8</v>
      </c>
      <c r="J4" s="3">
        <v>1.0184E-2</v>
      </c>
      <c r="K4" s="3">
        <f t="shared" si="4"/>
        <v>4540.8988575432559</v>
      </c>
      <c r="L4" s="13"/>
    </row>
    <row r="5" spans="1:12">
      <c r="A5" s="3">
        <v>5</v>
      </c>
      <c r="B5" s="3">
        <f>2000/54.94</f>
        <v>36.403349108117951</v>
      </c>
      <c r="C5" s="3">
        <f>2000/51.69</f>
        <v>38.692203520990525</v>
      </c>
      <c r="D5" s="3">
        <f>2000/51.82</f>
        <v>38.595137012736394</v>
      </c>
      <c r="E5" s="3">
        <f t="shared" si="0"/>
        <v>37.896896547281621</v>
      </c>
      <c r="F5" s="3">
        <f t="shared" si="1"/>
        <v>0.77470000000000006</v>
      </c>
      <c r="G5" s="3">
        <f t="shared" si="2"/>
        <v>0.47136423428577501</v>
      </c>
      <c r="H5" s="3">
        <f t="shared" si="3"/>
        <v>80.398328491562623</v>
      </c>
      <c r="I5" s="3">
        <v>1.8</v>
      </c>
      <c r="J5" s="3">
        <v>1.0184E-2</v>
      </c>
      <c r="K5" s="3">
        <f t="shared" si="4"/>
        <v>6115.9254794200288</v>
      </c>
      <c r="L5" s="13"/>
    </row>
    <row r="6" spans="1:12">
      <c r="A6" s="3">
        <v>7</v>
      </c>
      <c r="B6" s="3">
        <f>3000/65.5</f>
        <v>45.801526717557252</v>
      </c>
      <c r="C6" s="3">
        <f>3000/65.36</f>
        <v>45.899632802937575</v>
      </c>
      <c r="D6" s="3">
        <f>3000/66.25</f>
        <v>45.283018867924525</v>
      </c>
      <c r="E6" s="3">
        <f t="shared" si="0"/>
        <v>45.661392796139786</v>
      </c>
      <c r="F6" s="3">
        <f t="shared" si="1"/>
        <v>0.77470000000000006</v>
      </c>
      <c r="G6" s="3">
        <f t="shared" si="2"/>
        <v>0.47136423428577501</v>
      </c>
      <c r="H6" s="3">
        <f t="shared" si="3"/>
        <v>96.870720081949528</v>
      </c>
      <c r="I6" s="3">
        <v>1.8</v>
      </c>
      <c r="J6" s="3">
        <v>1.0184E-2</v>
      </c>
      <c r="K6" s="3">
        <f t="shared" si="4"/>
        <v>7368.9853542307828</v>
      </c>
      <c r="L6" s="13"/>
    </row>
    <row r="7" spans="1:12">
      <c r="A7" s="3">
        <v>9</v>
      </c>
      <c r="B7" s="3">
        <f>3000/58.08</f>
        <v>51.652892561983471</v>
      </c>
      <c r="C7" s="3">
        <f>3000/57.72</f>
        <v>51.975051975051976</v>
      </c>
      <c r="D7" s="3">
        <f>3000/58.04</f>
        <v>51.688490696071675</v>
      </c>
      <c r="E7" s="3">
        <f t="shared" si="0"/>
        <v>51.772145077702369</v>
      </c>
      <c r="F7" s="3">
        <f t="shared" si="1"/>
        <v>0.77470000000000006</v>
      </c>
      <c r="G7" s="3">
        <f t="shared" si="2"/>
        <v>0.47136423428577501</v>
      </c>
      <c r="H7" s="3">
        <f t="shared" si="3"/>
        <v>109.83469111980685</v>
      </c>
      <c r="I7" s="3">
        <v>1.8</v>
      </c>
      <c r="J7" s="3">
        <v>1.0184E-2</v>
      </c>
      <c r="K7" s="3">
        <f t="shared" si="4"/>
        <v>8355.1586027606409</v>
      </c>
      <c r="L7" s="13"/>
    </row>
    <row r="8" spans="1:12">
      <c r="A8" s="3">
        <v>11</v>
      </c>
      <c r="B8" s="3">
        <f>3000/51.87</f>
        <v>57.8368999421631</v>
      </c>
      <c r="C8" s="3">
        <f>3000/51.9</f>
        <v>57.80346820809249</v>
      </c>
      <c r="D8" s="3">
        <f>3000/52.33</f>
        <v>57.328492260653547</v>
      </c>
      <c r="E8" s="3">
        <f t="shared" si="0"/>
        <v>57.656286803636384</v>
      </c>
      <c r="F8" s="3">
        <f t="shared" si="1"/>
        <v>0.77470000000000006</v>
      </c>
      <c r="G8" s="3">
        <f t="shared" si="2"/>
        <v>0.47136423428577501</v>
      </c>
      <c r="H8" s="3">
        <f t="shared" si="3"/>
        <v>122.31790749036972</v>
      </c>
      <c r="I8" s="3">
        <v>1.8</v>
      </c>
      <c r="J8" s="3">
        <v>1.0184E-2</v>
      </c>
      <c r="K8" s="3">
        <f t="shared" si="4"/>
        <v>9304.7606964640054</v>
      </c>
      <c r="L8" s="13"/>
    </row>
    <row r="9" spans="1:12">
      <c r="A9" s="3">
        <v>13</v>
      </c>
      <c r="B9" s="3">
        <f>3000/47.94</f>
        <v>62.578222778473098</v>
      </c>
      <c r="C9" s="3">
        <f>3000/47.72</f>
        <v>62.866722548197821</v>
      </c>
      <c r="D9" s="3">
        <f>3000/48.42</f>
        <v>61.957868649318463</v>
      </c>
      <c r="E9" s="3">
        <f t="shared" si="0"/>
        <v>62.467604658663127</v>
      </c>
      <c r="F9" s="3">
        <f t="shared" si="1"/>
        <v>0.77470000000000006</v>
      </c>
      <c r="G9" s="3">
        <f t="shared" si="2"/>
        <v>0.47136423428577501</v>
      </c>
      <c r="H9" s="3">
        <f t="shared" si="3"/>
        <v>132.52512625043749</v>
      </c>
      <c r="I9" s="3">
        <v>1.8</v>
      </c>
      <c r="J9" s="3">
        <v>1.0184E-2</v>
      </c>
      <c r="K9" s="3">
        <f t="shared" si="4"/>
        <v>10081.226954655727</v>
      </c>
      <c r="L9" s="13"/>
    </row>
    <row r="10" spans="1:12">
      <c r="A10" s="3">
        <v>15</v>
      </c>
      <c r="B10" s="3">
        <f>3000/44.87</f>
        <v>66.859817249832858</v>
      </c>
      <c r="C10" s="3">
        <f>3000/44.62</f>
        <v>67.23442402510085</v>
      </c>
      <c r="D10" s="3">
        <f>3000/46.32</f>
        <v>64.766839378238345</v>
      </c>
      <c r="E10" s="3">
        <f t="shared" si="0"/>
        <v>66.287026884390684</v>
      </c>
      <c r="F10" s="3">
        <f t="shared" si="1"/>
        <v>0.77470000000000006</v>
      </c>
      <c r="G10" s="3">
        <f t="shared" si="2"/>
        <v>0.47136423428577501</v>
      </c>
      <c r="H10" s="3">
        <f t="shared" si="3"/>
        <v>140.62803679797798</v>
      </c>
      <c r="I10" s="3">
        <v>1.8</v>
      </c>
      <c r="J10" s="3">
        <v>1.0184E-2</v>
      </c>
      <c r="K10" s="3">
        <f t="shared" si="4"/>
        <v>10697.617842438487</v>
      </c>
      <c r="L10" s="13"/>
    </row>
    <row r="11" spans="1:12">
      <c r="A11" s="3">
        <v>17</v>
      </c>
      <c r="B11" s="3">
        <f>5000/68.69</f>
        <v>72.790799242975694</v>
      </c>
      <c r="C11" s="3">
        <f>5000/68.68</f>
        <v>72.801397786837498</v>
      </c>
      <c r="D11" s="3">
        <f>5000/68.75</f>
        <v>72.727272727272734</v>
      </c>
      <c r="E11" s="3">
        <f t="shared" si="0"/>
        <v>72.773156585695304</v>
      </c>
      <c r="F11" s="3">
        <f t="shared" si="1"/>
        <v>0.77470000000000006</v>
      </c>
      <c r="G11" s="3">
        <f t="shared" si="2"/>
        <v>0.47136423428577501</v>
      </c>
      <c r="H11" s="3">
        <f t="shared" si="3"/>
        <v>154.38837165056304</v>
      </c>
      <c r="I11" s="3">
        <v>1.8</v>
      </c>
      <c r="J11" s="3">
        <v>1.0184E-2</v>
      </c>
      <c r="K11" s="3">
        <f t="shared" si="4"/>
        <v>11744.370730331029</v>
      </c>
      <c r="L11" s="13"/>
    </row>
    <row r="12" spans="1:12">
      <c r="A12" s="3">
        <v>19</v>
      </c>
      <c r="B12" s="3">
        <f t="shared" ref="B12:C12" si="5">5000/65.04</f>
        <v>76.875768757687567</v>
      </c>
      <c r="C12" s="3">
        <f t="shared" si="5"/>
        <v>76.875768757687567</v>
      </c>
      <c r="D12" s="3">
        <f>5000/65.39</f>
        <v>76.464291176020794</v>
      </c>
      <c r="E12" s="3">
        <f t="shared" si="0"/>
        <v>76.738609563798647</v>
      </c>
      <c r="F12" s="3">
        <f t="shared" si="1"/>
        <v>0.77470000000000006</v>
      </c>
      <c r="G12" s="3">
        <f t="shared" si="2"/>
        <v>0.47136423428577501</v>
      </c>
      <c r="H12" s="3">
        <f t="shared" si="3"/>
        <v>162.8010866799753</v>
      </c>
      <c r="I12" s="3">
        <v>1.8</v>
      </c>
      <c r="J12" s="3">
        <v>1.0184E-2</v>
      </c>
      <c r="K12" s="3">
        <f t="shared" si="4"/>
        <v>12384.328539962378</v>
      </c>
      <c r="L12" s="13"/>
    </row>
    <row r="13" spans="1:12">
      <c r="A13" s="3">
        <v>21</v>
      </c>
      <c r="B13" s="3">
        <f>5000/62.28</f>
        <v>80.282594733461778</v>
      </c>
      <c r="C13" s="3">
        <f>5000/62.44</f>
        <v>80.07687379884689</v>
      </c>
      <c r="D13" s="3">
        <f>5000/61.83</f>
        <v>80.866893093967334</v>
      </c>
      <c r="E13" s="3">
        <f t="shared" si="0"/>
        <v>80.408787208758667</v>
      </c>
      <c r="F13" s="3">
        <f t="shared" si="1"/>
        <v>0.77470000000000006</v>
      </c>
      <c r="G13" s="3">
        <f t="shared" si="2"/>
        <v>0.47136423428577501</v>
      </c>
      <c r="H13" s="3">
        <f t="shared" si="3"/>
        <v>170.58737460341351</v>
      </c>
      <c r="I13" s="3">
        <v>1.8</v>
      </c>
      <c r="J13" s="3">
        <v>1.0184E-2</v>
      </c>
      <c r="K13" s="3">
        <f t="shared" si="4"/>
        <v>12976.633847728244</v>
      </c>
      <c r="L13" s="13"/>
    </row>
    <row r="14" spans="1:12">
      <c r="A14" s="3">
        <v>23</v>
      </c>
      <c r="B14" s="3">
        <f>5000/59.16</f>
        <v>84.516565246788375</v>
      </c>
      <c r="C14" s="3">
        <f>5000/59.2</f>
        <v>84.459459459459453</v>
      </c>
      <c r="D14" s="3">
        <f>5000/59.27</f>
        <v>84.359709802598275</v>
      </c>
      <c r="E14" s="3">
        <f t="shared" si="0"/>
        <v>84.445244836282029</v>
      </c>
      <c r="F14" s="3">
        <f t="shared" si="1"/>
        <v>0.77470000000000006</v>
      </c>
      <c r="G14" s="3">
        <f t="shared" si="2"/>
        <v>0.47136423428577501</v>
      </c>
      <c r="H14" s="3">
        <f t="shared" si="3"/>
        <v>179.15072611360927</v>
      </c>
      <c r="I14" s="3">
        <v>1.8</v>
      </c>
      <c r="J14" s="3">
        <v>1.0184E-2</v>
      </c>
      <c r="K14" s="3">
        <f t="shared" si="4"/>
        <v>13628.050620602229</v>
      </c>
      <c r="L14" s="13"/>
    </row>
    <row r="15" spans="1:12">
      <c r="A15" s="3">
        <v>25</v>
      </c>
      <c r="B15" s="3">
        <f>5000/56.62</f>
        <v>88.30801836806782</v>
      </c>
      <c r="C15" s="3">
        <f>5000/57.03</f>
        <v>87.673154480098191</v>
      </c>
      <c r="D15" s="3">
        <f>5000/57.06</f>
        <v>87.627059235892034</v>
      </c>
      <c r="E15" s="3">
        <f t="shared" si="0"/>
        <v>87.86941069468601</v>
      </c>
      <c r="F15" s="3">
        <f t="shared" si="1"/>
        <v>0.77470000000000006</v>
      </c>
      <c r="G15" s="3">
        <f t="shared" si="2"/>
        <v>0.47136423428577501</v>
      </c>
      <c r="H15" s="3">
        <f t="shared" si="3"/>
        <v>186.41509962636079</v>
      </c>
      <c r="I15" s="3">
        <v>1.8</v>
      </c>
      <c r="J15" s="3">
        <v>1.0184E-2</v>
      </c>
      <c r="K15" s="3">
        <f t="shared" si="4"/>
        <v>14180.653739251935</v>
      </c>
      <c r="L15" s="13"/>
    </row>
  </sheetData>
  <pageMargins left="0.75" right="0.75" top="1" bottom="1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9"/>
  <sheetViews>
    <sheetView workbookViewId="0">
      <selection activeCell="A3" sqref="A3"/>
    </sheetView>
  </sheetViews>
  <sheetFormatPr defaultColWidth="11.33203125" defaultRowHeight="15" customHeight="1"/>
  <cols>
    <col min="1" max="1" width="6.6640625" customWidth="1"/>
    <col min="2" max="4" width="9.6640625" customWidth="1"/>
    <col min="5" max="5" width="11.6640625" customWidth="1"/>
    <col min="6" max="6" width="9.6640625" customWidth="1"/>
    <col min="7" max="7" width="17.33203125" customWidth="1"/>
    <col min="8" max="8" width="9.6640625" customWidth="1"/>
    <col min="9" max="9" width="7.88671875" customWidth="1"/>
    <col min="10" max="10" width="6.5546875" customWidth="1"/>
    <col min="11" max="11" width="9.6640625" customWidth="1"/>
    <col min="12" max="12" width="10.33203125" customWidth="1"/>
    <col min="13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18</v>
      </c>
    </row>
    <row r="2" spans="1:12">
      <c r="A2" s="3">
        <v>0</v>
      </c>
      <c r="B2" s="3"/>
      <c r="C2" s="3"/>
      <c r="D2" s="3"/>
      <c r="E2" s="3">
        <f t="shared" ref="E2:E18" si="0">(B2+C2+D2)/3</f>
        <v>0</v>
      </c>
      <c r="F2" s="3">
        <v>0.14000000000000001</v>
      </c>
      <c r="G2" s="3">
        <f t="shared" ref="G2:G18" si="1">3.14159*F2*F2/4</f>
        <v>1.5393791000000002E-2</v>
      </c>
      <c r="H2" s="3">
        <f t="shared" ref="H2:H18" si="2">E2/G2</f>
        <v>0</v>
      </c>
      <c r="I2" s="3">
        <f t="shared" ref="I2:I18" si="3">5.2</f>
        <v>5.2</v>
      </c>
      <c r="J2" s="3">
        <v>1.03625E-2</v>
      </c>
      <c r="K2" s="3">
        <f t="shared" ref="K2:K18" si="4">H2*F2/J2</f>
        <v>0</v>
      </c>
      <c r="L2" s="13"/>
    </row>
    <row r="3" spans="1:12">
      <c r="A3" s="3">
        <v>2</v>
      </c>
      <c r="B3" s="3">
        <f>15/84.88</f>
        <v>0.1767200754005655</v>
      </c>
      <c r="C3" s="3">
        <f>10/56.58</f>
        <v>0.17674089784376104</v>
      </c>
      <c r="D3" s="3">
        <f>10/57.26</f>
        <v>0.17464198393293748</v>
      </c>
      <c r="E3" s="3">
        <f t="shared" si="0"/>
        <v>0.17603431905908803</v>
      </c>
      <c r="F3" s="3">
        <v>0.14000000000000001</v>
      </c>
      <c r="G3" s="3">
        <f t="shared" si="1"/>
        <v>1.5393791000000002E-2</v>
      </c>
      <c r="H3" s="3">
        <f t="shared" si="2"/>
        <v>11.435410488494226</v>
      </c>
      <c r="I3" s="3">
        <f t="shared" si="3"/>
        <v>5.2</v>
      </c>
      <c r="J3" s="3">
        <v>1.03625E-2</v>
      </c>
      <c r="K3" s="3">
        <f t="shared" si="4"/>
        <v>154.49529248629113</v>
      </c>
      <c r="L3" s="13"/>
    </row>
    <row r="4" spans="1:12">
      <c r="A4" s="3">
        <v>3</v>
      </c>
      <c r="B4" s="3">
        <f>20/62.97</f>
        <v>0.31761156106082261</v>
      </c>
      <c r="C4" s="3">
        <f t="shared" ref="C4:D4" si="5">15/47.88</f>
        <v>0.31328320802005011</v>
      </c>
      <c r="D4" s="3">
        <f t="shared" si="5"/>
        <v>0.31328320802005011</v>
      </c>
      <c r="E4" s="3">
        <f t="shared" si="0"/>
        <v>0.31472599236697429</v>
      </c>
      <c r="F4" s="3">
        <v>0.14000000000000001</v>
      </c>
      <c r="G4" s="3">
        <f t="shared" si="1"/>
        <v>1.5393791000000002E-2</v>
      </c>
      <c r="H4" s="3">
        <f t="shared" si="2"/>
        <v>20.444995801682268</v>
      </c>
      <c r="I4" s="3">
        <f t="shared" si="3"/>
        <v>5.2</v>
      </c>
      <c r="J4" s="3">
        <v>1.03625E-2</v>
      </c>
      <c r="K4" s="3">
        <f t="shared" si="4"/>
        <v>276.21707235083403</v>
      </c>
      <c r="L4" s="13"/>
    </row>
    <row r="5" spans="1:12">
      <c r="A5" s="3">
        <v>4</v>
      </c>
      <c r="B5" s="3">
        <f>20/43.33</f>
        <v>0.46157396722824834</v>
      </c>
      <c r="C5" s="3">
        <f>20/43.16</f>
        <v>0.46339202965708992</v>
      </c>
      <c r="D5" s="3">
        <f>20/43.25</f>
        <v>0.46242774566473988</v>
      </c>
      <c r="E5" s="3">
        <f t="shared" si="0"/>
        <v>0.46246458085002606</v>
      </c>
      <c r="F5" s="3">
        <v>0.14000000000000001</v>
      </c>
      <c r="G5" s="3">
        <f t="shared" si="1"/>
        <v>1.5393791000000002E-2</v>
      </c>
      <c r="H5" s="3">
        <f t="shared" si="2"/>
        <v>30.042280088772543</v>
      </c>
      <c r="I5" s="3">
        <f t="shared" si="3"/>
        <v>5.2</v>
      </c>
      <c r="J5" s="3">
        <v>1.03625E-2</v>
      </c>
      <c r="K5" s="3">
        <f t="shared" si="4"/>
        <v>405.87881422708386</v>
      </c>
      <c r="L5" s="13"/>
    </row>
    <row r="6" spans="1:12">
      <c r="A6" s="3">
        <v>5</v>
      </c>
      <c r="B6" s="3">
        <f>20/39.01</f>
        <v>0.51268905408869525</v>
      </c>
      <c r="C6" s="3">
        <f>20/38.75</f>
        <v>0.5161290322580645</v>
      </c>
      <c r="D6" s="3">
        <f>20/34.66</f>
        <v>0.57703404500865552</v>
      </c>
      <c r="E6" s="3">
        <f t="shared" si="0"/>
        <v>0.53528404378513839</v>
      </c>
      <c r="F6" s="3">
        <v>0.14000000000000001</v>
      </c>
      <c r="G6" s="3">
        <f t="shared" si="1"/>
        <v>1.5393791000000002E-2</v>
      </c>
      <c r="H6" s="3">
        <f t="shared" si="2"/>
        <v>34.772723871925919</v>
      </c>
      <c r="I6" s="3">
        <f t="shared" si="3"/>
        <v>5.2</v>
      </c>
      <c r="J6" s="3">
        <v>1.03625E-2</v>
      </c>
      <c r="K6" s="3">
        <f t="shared" si="4"/>
        <v>469.788308040495</v>
      </c>
      <c r="L6" s="13"/>
    </row>
    <row r="7" spans="1:12">
      <c r="A7" s="3">
        <v>6</v>
      </c>
      <c r="B7" s="3">
        <f>20/34.27</f>
        <v>0.58360081704114375</v>
      </c>
      <c r="C7" s="3">
        <f>20/33.79</f>
        <v>0.59189109203906487</v>
      </c>
      <c r="D7" s="3">
        <f>20/33.78</f>
        <v>0.59206631142687982</v>
      </c>
      <c r="E7" s="3">
        <f t="shared" si="0"/>
        <v>0.58918607350236274</v>
      </c>
      <c r="F7" s="3">
        <v>0.14000000000000001</v>
      </c>
      <c r="G7" s="3">
        <f t="shared" si="1"/>
        <v>1.5393791000000002E-2</v>
      </c>
      <c r="H7" s="3">
        <f t="shared" si="2"/>
        <v>38.274267430444041</v>
      </c>
      <c r="I7" s="3">
        <f t="shared" si="3"/>
        <v>5.2</v>
      </c>
      <c r="J7" s="3">
        <v>1.03625E-2</v>
      </c>
      <c r="K7" s="3">
        <f t="shared" si="4"/>
        <v>517.09504851745874</v>
      </c>
      <c r="L7" s="13"/>
    </row>
    <row r="8" spans="1:12">
      <c r="A8" s="3">
        <v>7</v>
      </c>
      <c r="B8" s="3">
        <f>20/31.33</f>
        <v>0.63836578359399943</v>
      </c>
      <c r="C8" s="3">
        <f>20/30.65</f>
        <v>0.65252854812398042</v>
      </c>
      <c r="D8" s="3">
        <f>20/29.51</f>
        <v>0.67773636055574382</v>
      </c>
      <c r="E8" s="3">
        <f t="shared" si="0"/>
        <v>0.65621023075790796</v>
      </c>
      <c r="F8" s="3">
        <v>0.14000000000000001</v>
      </c>
      <c r="G8" s="3">
        <f t="shared" si="1"/>
        <v>1.5393791000000002E-2</v>
      </c>
      <c r="H8" s="3">
        <f t="shared" si="2"/>
        <v>42.628240876981366</v>
      </c>
      <c r="I8" s="3">
        <f t="shared" si="3"/>
        <v>5.2</v>
      </c>
      <c r="J8" s="3">
        <v>1.03625E-2</v>
      </c>
      <c r="K8" s="3">
        <f t="shared" si="4"/>
        <v>575.91833271675671</v>
      </c>
      <c r="L8" s="13"/>
    </row>
    <row r="9" spans="1:12">
      <c r="A9" s="3">
        <v>8</v>
      </c>
      <c r="B9" s="3">
        <f>50/68.89</f>
        <v>0.72579474524604437</v>
      </c>
      <c r="C9" s="3">
        <f>50/65.44</f>
        <v>0.76405867970660146</v>
      </c>
      <c r="D9" s="3">
        <f>50/63.97</f>
        <v>0.78161638267938094</v>
      </c>
      <c r="E9" s="3">
        <f t="shared" si="0"/>
        <v>0.75715660254400896</v>
      </c>
      <c r="F9" s="3">
        <v>0.14000000000000001</v>
      </c>
      <c r="G9" s="3">
        <f t="shared" si="1"/>
        <v>1.5393791000000002E-2</v>
      </c>
      <c r="H9" s="3">
        <f t="shared" si="2"/>
        <v>49.185843990217151</v>
      </c>
      <c r="I9" s="3">
        <f t="shared" si="3"/>
        <v>5.2</v>
      </c>
      <c r="J9" s="3">
        <v>1.03625E-2</v>
      </c>
      <c r="K9" s="3">
        <f t="shared" si="4"/>
        <v>664.51321193055753</v>
      </c>
      <c r="L9" s="13"/>
    </row>
    <row r="10" spans="1:12">
      <c r="A10" s="3">
        <v>9</v>
      </c>
      <c r="B10" s="3">
        <f>50/59.46</f>
        <v>0.84090144635048769</v>
      </c>
      <c r="C10" s="3">
        <f>50/61.07</f>
        <v>0.81873260193220898</v>
      </c>
      <c r="D10" s="3">
        <f>50/60.44</f>
        <v>0.82726671078755798</v>
      </c>
      <c r="E10" s="3">
        <f t="shared" si="0"/>
        <v>0.82896691969008485</v>
      </c>
      <c r="F10" s="3">
        <v>0.14000000000000001</v>
      </c>
      <c r="G10" s="3">
        <f t="shared" si="1"/>
        <v>1.5393791000000002E-2</v>
      </c>
      <c r="H10" s="3">
        <f t="shared" si="2"/>
        <v>53.850732395293967</v>
      </c>
      <c r="I10" s="3">
        <f t="shared" si="3"/>
        <v>5.2</v>
      </c>
      <c r="J10" s="3">
        <v>1.03625E-2</v>
      </c>
      <c r="K10" s="3">
        <f t="shared" si="4"/>
        <v>727.53703597984622</v>
      </c>
      <c r="L10" s="13"/>
    </row>
    <row r="11" spans="1:12">
      <c r="A11" s="3">
        <v>11</v>
      </c>
      <c r="B11" s="3">
        <f>50/52.07</f>
        <v>0.96024582293067029</v>
      </c>
      <c r="C11" s="3">
        <f>50/51.51</f>
        <v>0.97068530382450013</v>
      </c>
      <c r="D11" s="3">
        <f>50/51.87</f>
        <v>0.96394833236938504</v>
      </c>
      <c r="E11" s="3">
        <f t="shared" si="0"/>
        <v>0.96495981970818523</v>
      </c>
      <c r="F11" s="3">
        <v>0.14000000000000001</v>
      </c>
      <c r="G11" s="3">
        <f t="shared" si="1"/>
        <v>1.5393791000000002E-2</v>
      </c>
      <c r="H11" s="3">
        <f t="shared" si="2"/>
        <v>62.685002005560882</v>
      </c>
      <c r="I11" s="3">
        <f t="shared" si="3"/>
        <v>5.2</v>
      </c>
      <c r="J11" s="3">
        <v>1.03625E-2</v>
      </c>
      <c r="K11" s="3">
        <f t="shared" si="4"/>
        <v>846.89025628743298</v>
      </c>
      <c r="L11" s="13"/>
    </row>
    <row r="12" spans="1:12">
      <c r="A12" s="3">
        <v>13</v>
      </c>
      <c r="B12" s="3">
        <f>50/44.4</f>
        <v>1.1261261261261262</v>
      </c>
      <c r="C12" s="3">
        <f>50/46.93</f>
        <v>1.0654165778819518</v>
      </c>
      <c r="D12" s="3">
        <f>50/44.29</f>
        <v>1.1289230074508918</v>
      </c>
      <c r="E12" s="3">
        <f t="shared" si="0"/>
        <v>1.1068219038196565</v>
      </c>
      <c r="F12" s="3">
        <v>0.14000000000000001</v>
      </c>
      <c r="G12" s="3">
        <f t="shared" si="1"/>
        <v>1.5393791000000002E-2</v>
      </c>
      <c r="H12" s="3">
        <f t="shared" si="2"/>
        <v>71.900541187005615</v>
      </c>
      <c r="I12" s="3">
        <f t="shared" si="3"/>
        <v>5.2</v>
      </c>
      <c r="J12" s="3">
        <v>1.03625E-2</v>
      </c>
      <c r="K12" s="3">
        <f t="shared" si="4"/>
        <v>971.39452508379134</v>
      </c>
      <c r="L12" s="13"/>
    </row>
    <row r="13" spans="1:12">
      <c r="A13" s="3">
        <v>15</v>
      </c>
      <c r="B13" s="3">
        <f>50/40.7</f>
        <v>1.2285012285012284</v>
      </c>
      <c r="C13" s="3">
        <f>50/40.89</f>
        <v>1.2227928588897041</v>
      </c>
      <c r="D13" s="3">
        <f>50/41.53</f>
        <v>1.2039489525644111</v>
      </c>
      <c r="E13" s="3">
        <f t="shared" si="0"/>
        <v>1.2184143466517812</v>
      </c>
      <c r="F13" s="3">
        <v>0.14000000000000001</v>
      </c>
      <c r="G13" s="3">
        <f t="shared" si="1"/>
        <v>1.5393791000000002E-2</v>
      </c>
      <c r="H13" s="3">
        <f t="shared" si="2"/>
        <v>79.149726448266122</v>
      </c>
      <c r="I13" s="3">
        <f t="shared" si="3"/>
        <v>5.2</v>
      </c>
      <c r="J13" s="3">
        <v>1.03625E-2</v>
      </c>
      <c r="K13" s="3">
        <f t="shared" si="4"/>
        <v>1069.3328543070936</v>
      </c>
      <c r="L13" s="13"/>
    </row>
    <row r="14" spans="1:12">
      <c r="A14" s="3">
        <v>17</v>
      </c>
      <c r="B14" s="3">
        <f>50/38.52</f>
        <v>1.2980269989615782</v>
      </c>
      <c r="C14" s="3">
        <f>50/38.35</f>
        <v>1.3037809647979139</v>
      </c>
      <c r="D14" s="3">
        <f>50/37.15</f>
        <v>1.3458950201884254</v>
      </c>
      <c r="E14" s="3">
        <f t="shared" si="0"/>
        <v>1.3159009946493059</v>
      </c>
      <c r="F14" s="3">
        <v>0.14000000000000001</v>
      </c>
      <c r="G14" s="3">
        <f t="shared" si="1"/>
        <v>1.5393791000000002E-2</v>
      </c>
      <c r="H14" s="3">
        <f t="shared" si="2"/>
        <v>85.482581558324767</v>
      </c>
      <c r="I14" s="3">
        <f t="shared" si="3"/>
        <v>5.2</v>
      </c>
      <c r="J14" s="3">
        <v>1.03625E-2</v>
      </c>
      <c r="K14" s="3">
        <f t="shared" si="4"/>
        <v>1154.8913310654252</v>
      </c>
      <c r="L14" s="13"/>
    </row>
    <row r="15" spans="1:12">
      <c r="A15" s="3">
        <v>19</v>
      </c>
      <c r="B15" s="3">
        <f>75/54.16</f>
        <v>1.3847858197932055</v>
      </c>
      <c r="C15" s="3">
        <f>75/51.11</f>
        <v>1.4674232048522795</v>
      </c>
      <c r="D15" s="3">
        <f>75/51.36</f>
        <v>1.4602803738317758</v>
      </c>
      <c r="E15" s="3">
        <f t="shared" si="0"/>
        <v>1.437496466159087</v>
      </c>
      <c r="F15" s="3">
        <v>0.14000000000000001</v>
      </c>
      <c r="G15" s="3">
        <f t="shared" si="1"/>
        <v>1.5393791000000002E-2</v>
      </c>
      <c r="H15" s="3">
        <f t="shared" si="2"/>
        <v>93.381576127614494</v>
      </c>
      <c r="I15" s="3">
        <f t="shared" si="3"/>
        <v>5.2</v>
      </c>
      <c r="J15" s="3">
        <v>1.03625E-2</v>
      </c>
      <c r="K15" s="3">
        <f t="shared" si="4"/>
        <v>1261.608748648109</v>
      </c>
      <c r="L15" s="13"/>
    </row>
    <row r="16" spans="1:12">
      <c r="A16" s="3">
        <v>21</v>
      </c>
      <c r="B16" s="3">
        <f>100/65.78</f>
        <v>1.5202189115232594</v>
      </c>
      <c r="C16" s="3">
        <f>100/67.03</f>
        <v>1.4918693122482469</v>
      </c>
      <c r="D16" s="3">
        <f>100/66.59</f>
        <v>1.5017269860339391</v>
      </c>
      <c r="E16" s="3">
        <f t="shared" si="0"/>
        <v>1.5046050699351483</v>
      </c>
      <c r="F16" s="3">
        <v>0.14000000000000001</v>
      </c>
      <c r="G16" s="3">
        <f t="shared" si="1"/>
        <v>1.5393791000000002E-2</v>
      </c>
      <c r="H16" s="3">
        <f t="shared" si="2"/>
        <v>97.741035326200546</v>
      </c>
      <c r="I16" s="3">
        <f t="shared" si="3"/>
        <v>5.2</v>
      </c>
      <c r="J16" s="3">
        <v>1.03625E-2</v>
      </c>
      <c r="K16" s="3">
        <f t="shared" si="4"/>
        <v>1320.506146747221</v>
      </c>
      <c r="L16" s="13"/>
    </row>
    <row r="17" spans="1:12">
      <c r="A17" s="3">
        <v>23</v>
      </c>
      <c r="B17" s="3">
        <f>100/62.53</f>
        <v>1.5992323684631378</v>
      </c>
      <c r="C17" s="3">
        <f>100/61.19</f>
        <v>1.6342539630658606</v>
      </c>
      <c r="D17" s="3">
        <f>100/62.29</f>
        <v>1.6053941242575052</v>
      </c>
      <c r="E17" s="3">
        <f t="shared" si="0"/>
        <v>1.6129601519288344</v>
      </c>
      <c r="F17" s="3">
        <v>0.14000000000000001</v>
      </c>
      <c r="G17" s="3">
        <f t="shared" si="1"/>
        <v>1.5393791000000002E-2</v>
      </c>
      <c r="H17" s="3">
        <f t="shared" si="2"/>
        <v>104.77991756084216</v>
      </c>
      <c r="I17" s="3">
        <f t="shared" si="3"/>
        <v>5.2</v>
      </c>
      <c r="J17" s="3">
        <v>1.03625E-2</v>
      </c>
      <c r="K17" s="3">
        <f t="shared" si="4"/>
        <v>1415.603228807518</v>
      </c>
      <c r="L17" s="13"/>
    </row>
    <row r="18" spans="1:12">
      <c r="A18" s="3">
        <v>25</v>
      </c>
      <c r="B18" s="3">
        <f>100/59.44</f>
        <v>1.6823687752355316</v>
      </c>
      <c r="C18" s="3">
        <f>100/58.26</f>
        <v>1.7164435290078957</v>
      </c>
      <c r="D18" s="3">
        <f>100/58.61</f>
        <v>1.7061934823408975</v>
      </c>
      <c r="E18" s="3">
        <f t="shared" si="0"/>
        <v>1.7016685955281083</v>
      </c>
      <c r="F18" s="3">
        <v>0.14000000000000001</v>
      </c>
      <c r="G18" s="3">
        <f t="shared" si="1"/>
        <v>1.5393791000000002E-2</v>
      </c>
      <c r="H18" s="3">
        <f t="shared" si="2"/>
        <v>110.54252948660327</v>
      </c>
      <c r="I18" s="3">
        <f t="shared" si="3"/>
        <v>5.2</v>
      </c>
      <c r="J18" s="3">
        <v>1.03625E-2</v>
      </c>
      <c r="K18" s="3">
        <f t="shared" si="4"/>
        <v>1493.4575756935546</v>
      </c>
      <c r="L18" s="13"/>
    </row>
    <row r="19" spans="1:12" ht="1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</sheetData>
  <pageMargins left="0.75" right="0.75" top="1" bottom="1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2"/>
  <sheetViews>
    <sheetView workbookViewId="0">
      <selection activeCell="F2" sqref="F2"/>
    </sheetView>
  </sheetViews>
  <sheetFormatPr defaultColWidth="11.33203125" defaultRowHeight="15" customHeight="1"/>
  <cols>
    <col min="1" max="1" width="6.6640625" customWidth="1"/>
    <col min="2" max="6" width="9.6640625" customWidth="1"/>
    <col min="7" max="7" width="17.33203125" customWidth="1"/>
    <col min="8" max="8" width="9.44140625" customWidth="1"/>
    <col min="9" max="9" width="7.88671875" customWidth="1"/>
    <col min="10" max="10" width="9" customWidth="1"/>
    <col min="11" max="11" width="9.6640625" customWidth="1"/>
    <col min="12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19</v>
      </c>
    </row>
    <row r="2" spans="1:12">
      <c r="A2" s="3">
        <v>0</v>
      </c>
      <c r="B2" s="3"/>
      <c r="C2" s="3"/>
      <c r="D2" s="3"/>
      <c r="E2" s="3">
        <v>0</v>
      </c>
      <c r="F2" s="3">
        <v>0.254</v>
      </c>
      <c r="G2" s="3">
        <f t="shared" ref="G2:G20" si="0">(F2^2)/4*PI()</f>
        <v>5.0670747909749778E-2</v>
      </c>
      <c r="H2" s="3">
        <f t="shared" ref="H2:H20" si="1">E2/G2</f>
        <v>0</v>
      </c>
      <c r="I2" s="3">
        <v>5.0999999999999996</v>
      </c>
      <c r="J2" s="4">
        <v>1.0200000000000001E-2</v>
      </c>
      <c r="K2" s="3">
        <f t="shared" ref="K2:K20" si="2">H2*F2/J2</f>
        <v>0</v>
      </c>
      <c r="L2" s="13"/>
    </row>
    <row r="3" spans="1:12">
      <c r="A3" s="3">
        <v>1</v>
      </c>
      <c r="B3" s="3">
        <f>50/78.87</f>
        <v>0.63395460885000632</v>
      </c>
      <c r="C3" s="3">
        <f>50/81.32</f>
        <v>0.61485489424495821</v>
      </c>
      <c r="D3" s="3">
        <f>50/80.83</f>
        <v>0.61858220957565258</v>
      </c>
      <c r="E3" s="3">
        <f t="shared" ref="E3:E20" si="3">(B3+C3+D3)/3</f>
        <v>0.62246390422353903</v>
      </c>
      <c r="F3" s="3">
        <v>0.254</v>
      </c>
      <c r="G3" s="3">
        <f t="shared" si="0"/>
        <v>5.0670747909749778E-2</v>
      </c>
      <c r="H3" s="3">
        <f t="shared" si="1"/>
        <v>12.284482268393123</v>
      </c>
      <c r="I3" s="3">
        <v>5.0999999999999996</v>
      </c>
      <c r="J3" s="4">
        <v>1.0200000000000001E-2</v>
      </c>
      <c r="K3" s="3">
        <f t="shared" si="2"/>
        <v>305.9076957031229</v>
      </c>
      <c r="L3" s="13"/>
    </row>
    <row r="4" spans="1:12">
      <c r="A4" s="3">
        <v>2</v>
      </c>
      <c r="B4" s="3">
        <f>100/68.52</f>
        <v>1.4594279042615295</v>
      </c>
      <c r="C4" s="3">
        <f>100/66.79</f>
        <v>1.4972301242701003</v>
      </c>
      <c r="D4" s="3">
        <f>100/70.76</f>
        <v>1.4132278123233464</v>
      </c>
      <c r="E4" s="3">
        <f t="shared" si="3"/>
        <v>1.4566286136183253</v>
      </c>
      <c r="F4" s="3">
        <v>0.254</v>
      </c>
      <c r="G4" s="3">
        <f t="shared" si="0"/>
        <v>5.0670747909749778E-2</v>
      </c>
      <c r="H4" s="3">
        <f t="shared" si="1"/>
        <v>28.746933363066645</v>
      </c>
      <c r="I4" s="3">
        <v>5.0999999999999996</v>
      </c>
      <c r="J4" s="4">
        <v>1.0200000000000001E-2</v>
      </c>
      <c r="K4" s="3">
        <f t="shared" si="2"/>
        <v>715.85500727636554</v>
      </c>
      <c r="L4" s="13"/>
    </row>
    <row r="5" spans="1:12">
      <c r="A5" s="3">
        <v>3</v>
      </c>
      <c r="B5" s="3">
        <f>100/50.72</f>
        <v>1.9716088328075709</v>
      </c>
      <c r="C5" s="3">
        <f>100/47.78</f>
        <v>2.0929259104227711</v>
      </c>
      <c r="D5" s="3">
        <f>100/49.66</f>
        <v>2.0136931131695532</v>
      </c>
      <c r="E5" s="3">
        <f t="shared" si="3"/>
        <v>2.0260759521332985</v>
      </c>
      <c r="F5" s="3">
        <v>0.254</v>
      </c>
      <c r="G5" s="3">
        <f t="shared" si="0"/>
        <v>5.0670747909749778E-2</v>
      </c>
      <c r="H5" s="3">
        <f t="shared" si="1"/>
        <v>39.985120325083116</v>
      </c>
      <c r="I5" s="3">
        <v>5.0999999999999996</v>
      </c>
      <c r="J5" s="4">
        <v>1.0200000000000001E-2</v>
      </c>
      <c r="K5" s="3">
        <f t="shared" si="2"/>
        <v>995.70789829128535</v>
      </c>
      <c r="L5" s="13"/>
    </row>
    <row r="6" spans="1:12">
      <c r="A6" s="3">
        <v>4</v>
      </c>
      <c r="B6" s="3">
        <f>200/86.69</f>
        <v>2.3070711731456917</v>
      </c>
      <c r="C6" s="3">
        <f>200/85.77</f>
        <v>2.3318176518596245</v>
      </c>
      <c r="D6" s="3">
        <f>200/87.62</f>
        <v>2.2825838849577722</v>
      </c>
      <c r="E6" s="3">
        <f t="shared" si="3"/>
        <v>2.3071575699876963</v>
      </c>
      <c r="F6" s="3">
        <v>0.254</v>
      </c>
      <c r="G6" s="3">
        <f t="shared" si="0"/>
        <v>5.0670747909749778E-2</v>
      </c>
      <c r="H6" s="3">
        <f t="shared" si="1"/>
        <v>45.532337002346992</v>
      </c>
      <c r="I6" s="3">
        <v>5.0999999999999996</v>
      </c>
      <c r="J6" s="4">
        <v>1.0200000000000001E-2</v>
      </c>
      <c r="K6" s="3">
        <f t="shared" si="2"/>
        <v>1133.8444704506014</v>
      </c>
      <c r="L6" s="13"/>
    </row>
    <row r="7" spans="1:12">
      <c r="A7" s="3">
        <v>5</v>
      </c>
      <c r="B7" s="3">
        <f>200/75.32</f>
        <v>2.6553372278279346</v>
      </c>
      <c r="C7" s="3">
        <f>200/72.82</f>
        <v>2.7464982147761607</v>
      </c>
      <c r="D7" s="3">
        <f>200/74.94</f>
        <v>2.6688017080330932</v>
      </c>
      <c r="E7" s="3">
        <f t="shared" si="3"/>
        <v>2.6902123835457297</v>
      </c>
      <c r="F7" s="3">
        <v>0.254</v>
      </c>
      <c r="G7" s="3">
        <f t="shared" si="0"/>
        <v>5.0670747909749778E-2</v>
      </c>
      <c r="H7" s="3">
        <f t="shared" si="1"/>
        <v>53.092020436274126</v>
      </c>
      <c r="I7" s="3">
        <v>5.0999999999999996</v>
      </c>
      <c r="J7" s="4">
        <v>1.0200000000000001E-2</v>
      </c>
      <c r="K7" s="3">
        <f t="shared" si="2"/>
        <v>1322.0954108640813</v>
      </c>
      <c r="L7" s="13"/>
    </row>
    <row r="8" spans="1:12">
      <c r="A8" s="3">
        <v>6</v>
      </c>
      <c r="B8" s="3">
        <f>200/68.61</f>
        <v>2.9150269639994169</v>
      </c>
      <c r="C8" s="3">
        <f>200/65.05</f>
        <v>3.0745580322828596</v>
      </c>
      <c r="D8" s="3">
        <f>200/65.51</f>
        <v>3.0529690123645241</v>
      </c>
      <c r="E8" s="3">
        <f t="shared" si="3"/>
        <v>3.0141846695489338</v>
      </c>
      <c r="F8" s="3">
        <v>0.254</v>
      </c>
      <c r="G8" s="3">
        <f t="shared" si="0"/>
        <v>5.0670747909749778E-2</v>
      </c>
      <c r="H8" s="3">
        <f t="shared" si="1"/>
        <v>59.485695275655516</v>
      </c>
      <c r="I8" s="3">
        <v>5.0999999999999996</v>
      </c>
      <c r="J8" s="4">
        <v>1.0200000000000001E-2</v>
      </c>
      <c r="K8" s="3">
        <f t="shared" si="2"/>
        <v>1481.3104509820098</v>
      </c>
      <c r="L8" s="13"/>
    </row>
    <row r="9" spans="1:12">
      <c r="A9" s="3">
        <v>6.9</v>
      </c>
      <c r="B9" s="3">
        <f>300/82.989</f>
        <v>3.614936919350757</v>
      </c>
      <c r="C9" s="3">
        <f>300/88.83</f>
        <v>3.3772374197906112</v>
      </c>
      <c r="D9" s="3">
        <f>300/90.43</f>
        <v>3.3174831361273913</v>
      </c>
      <c r="E9" s="3">
        <f t="shared" si="3"/>
        <v>3.4365524917562529</v>
      </c>
      <c r="F9" s="3">
        <v>0.254</v>
      </c>
      <c r="G9" s="3">
        <f t="shared" si="0"/>
        <v>5.0670747909749778E-2</v>
      </c>
      <c r="H9" s="3">
        <f t="shared" si="1"/>
        <v>67.821230858426134</v>
      </c>
      <c r="I9" s="3">
        <v>5.0999999999999996</v>
      </c>
      <c r="J9" s="4">
        <v>1.0200000000000001E-2</v>
      </c>
      <c r="K9" s="3">
        <f t="shared" si="2"/>
        <v>1688.8816311804153</v>
      </c>
      <c r="L9" s="13"/>
    </row>
    <row r="10" spans="1:12">
      <c r="A10" s="3">
        <v>8</v>
      </c>
      <c r="B10" s="3">
        <f>300/77.82</f>
        <v>3.8550501156515038</v>
      </c>
      <c r="C10" s="3">
        <f>300/81.51</f>
        <v>3.68052999631947</v>
      </c>
      <c r="D10" s="3">
        <f>300/83.62</f>
        <v>3.5876584549150921</v>
      </c>
      <c r="E10" s="3">
        <f t="shared" si="3"/>
        <v>3.7077461889620218</v>
      </c>
      <c r="F10" s="3">
        <v>0.254</v>
      </c>
      <c r="G10" s="3">
        <f t="shared" si="0"/>
        <v>5.0670747909749778E-2</v>
      </c>
      <c r="H10" s="3">
        <f t="shared" si="1"/>
        <v>73.173306925840706</v>
      </c>
      <c r="I10" s="3">
        <v>5.0999999999999996</v>
      </c>
      <c r="J10" s="4">
        <v>1.0200000000000001E-2</v>
      </c>
      <c r="K10" s="3">
        <f t="shared" si="2"/>
        <v>1822.1588195258371</v>
      </c>
      <c r="L10" s="13"/>
    </row>
    <row r="11" spans="1:12">
      <c r="A11" s="3">
        <v>9</v>
      </c>
      <c r="B11" s="3">
        <f>300/70.69</f>
        <v>4.2438817371622575</v>
      </c>
      <c r="C11" s="3">
        <f>300/76.08</f>
        <v>3.9432176656151419</v>
      </c>
      <c r="D11" s="3">
        <f>300/77.13</f>
        <v>3.8895371450797356</v>
      </c>
      <c r="E11" s="3">
        <f t="shared" si="3"/>
        <v>4.0255455159523779</v>
      </c>
      <c r="F11" s="3">
        <v>0.254</v>
      </c>
      <c r="G11" s="3">
        <f t="shared" si="0"/>
        <v>5.0670747909749778E-2</v>
      </c>
      <c r="H11" s="3">
        <f t="shared" si="1"/>
        <v>79.445156860962882</v>
      </c>
      <c r="I11" s="3">
        <v>5.0999999999999996</v>
      </c>
      <c r="J11" s="4">
        <v>1.0200000000000001E-2</v>
      </c>
      <c r="K11" s="3">
        <f t="shared" si="2"/>
        <v>1978.3401806553502</v>
      </c>
      <c r="L11" s="13"/>
    </row>
    <row r="12" spans="1:12">
      <c r="A12" s="3">
        <v>10</v>
      </c>
      <c r="B12" s="3">
        <f>300/66.65</f>
        <v>4.5011252813203297</v>
      </c>
      <c r="C12" s="3">
        <f>300/70.51</f>
        <v>4.2547156431711812</v>
      </c>
      <c r="D12" s="3">
        <f>300/72.1</f>
        <v>4.160887656033287</v>
      </c>
      <c r="E12" s="3">
        <f t="shared" si="3"/>
        <v>4.3055761935082666</v>
      </c>
      <c r="F12" s="3">
        <v>0.254</v>
      </c>
      <c r="G12" s="3">
        <f t="shared" si="0"/>
        <v>5.0670747909749778E-2</v>
      </c>
      <c r="H12" s="3">
        <f t="shared" si="1"/>
        <v>84.971632966163739</v>
      </c>
      <c r="I12" s="3">
        <v>5.0999999999999996</v>
      </c>
      <c r="J12" s="4">
        <v>1.0200000000000001E-2</v>
      </c>
      <c r="K12" s="3">
        <f t="shared" si="2"/>
        <v>2115.9602719025083</v>
      </c>
      <c r="L12" s="13"/>
    </row>
    <row r="13" spans="1:12">
      <c r="A13" s="3">
        <v>10.9</v>
      </c>
      <c r="B13" s="3">
        <f>400/86.04</f>
        <v>4.6490004649000465</v>
      </c>
      <c r="C13" s="3">
        <f>400/87.44</f>
        <v>4.574565416285453</v>
      </c>
      <c r="D13" s="3">
        <f>400/86.45</f>
        <v>4.626951995373048</v>
      </c>
      <c r="E13" s="3">
        <f t="shared" si="3"/>
        <v>4.6168392921861825</v>
      </c>
      <c r="F13" s="3">
        <v>0.254</v>
      </c>
      <c r="G13" s="3">
        <f t="shared" si="0"/>
        <v>5.0670747909749778E-2</v>
      </c>
      <c r="H13" s="3">
        <f t="shared" si="1"/>
        <v>91.114488785705021</v>
      </c>
      <c r="I13" s="3">
        <v>5.0999999999999996</v>
      </c>
      <c r="J13" s="4">
        <v>1.0200000000000001E-2</v>
      </c>
      <c r="K13" s="3">
        <f t="shared" si="2"/>
        <v>2268.9294266244192</v>
      </c>
      <c r="L13" s="13"/>
    </row>
    <row r="14" spans="1:12">
      <c r="A14" s="3">
        <v>13</v>
      </c>
      <c r="B14" s="3">
        <f>400/76.91</f>
        <v>5.2008841503055523</v>
      </c>
      <c r="C14" s="3">
        <f>400/78.47</f>
        <v>5.0974894864279348</v>
      </c>
      <c r="D14" s="3">
        <f>400/77.39</f>
        <v>5.1686264375242281</v>
      </c>
      <c r="E14" s="3">
        <f t="shared" si="3"/>
        <v>5.1556666914192384</v>
      </c>
      <c r="F14" s="3">
        <v>0.254</v>
      </c>
      <c r="G14" s="3">
        <f t="shared" si="0"/>
        <v>5.0670747909749778E-2</v>
      </c>
      <c r="H14" s="3">
        <f t="shared" si="1"/>
        <v>101.74838351709457</v>
      </c>
      <c r="I14" s="3">
        <v>5.0999999999999996</v>
      </c>
      <c r="J14" s="4">
        <v>1.0200000000000001E-2</v>
      </c>
      <c r="K14" s="3">
        <f t="shared" si="2"/>
        <v>2533.7342562100016</v>
      </c>
      <c r="L14" s="13"/>
    </row>
    <row r="15" spans="1:12">
      <c r="A15" s="3">
        <v>15</v>
      </c>
      <c r="B15" s="3">
        <f>400/70.94</f>
        <v>5.6385678037778408</v>
      </c>
      <c r="C15" s="3">
        <f>400/70.83</f>
        <v>5.6473245799802347</v>
      </c>
      <c r="D15" s="3">
        <f>400/70.12</f>
        <v>5.7045065601825442</v>
      </c>
      <c r="E15" s="3">
        <f t="shared" si="3"/>
        <v>5.6634663146468727</v>
      </c>
      <c r="F15" s="3">
        <v>0.254</v>
      </c>
      <c r="G15" s="3">
        <f t="shared" si="0"/>
        <v>5.0670747909749778E-2</v>
      </c>
      <c r="H15" s="3">
        <f t="shared" si="1"/>
        <v>111.76993725717517</v>
      </c>
      <c r="I15" s="3">
        <v>5.0999999999999996</v>
      </c>
      <c r="J15" s="4">
        <v>1.0200000000000001E-2</v>
      </c>
      <c r="K15" s="3">
        <f t="shared" si="2"/>
        <v>2783.2905944433819</v>
      </c>
      <c r="L15" s="13"/>
    </row>
    <row r="16" spans="1:12">
      <c r="A16" s="3">
        <v>16.899999999999999</v>
      </c>
      <c r="B16" s="3">
        <f>400/65.96</f>
        <v>6.0642813826561559</v>
      </c>
      <c r="C16" s="3">
        <f>400/65.44</f>
        <v>6.1124694376528117</v>
      </c>
      <c r="D16" s="3">
        <f>400/64.36</f>
        <v>6.2150403977625857</v>
      </c>
      <c r="E16" s="3">
        <f t="shared" si="3"/>
        <v>6.1305970726905175</v>
      </c>
      <c r="F16" s="3">
        <v>0.254</v>
      </c>
      <c r="G16" s="3">
        <f t="shared" si="0"/>
        <v>5.0670747909749778E-2</v>
      </c>
      <c r="H16" s="3">
        <f t="shared" si="1"/>
        <v>120.98888067746287</v>
      </c>
      <c r="I16" s="3">
        <v>5.0999999999999996</v>
      </c>
      <c r="J16" s="4">
        <v>1.0200000000000001E-2</v>
      </c>
      <c r="K16" s="3">
        <f t="shared" si="2"/>
        <v>3012.860361968193</v>
      </c>
      <c r="L16" s="13"/>
    </row>
    <row r="17" spans="1:11">
      <c r="A17" s="3">
        <v>19.100000000000001</v>
      </c>
      <c r="B17" s="3">
        <f>400/60.77</f>
        <v>6.5821951620865553</v>
      </c>
      <c r="C17" s="3">
        <f>400/60.79</f>
        <v>6.5800296101332458</v>
      </c>
      <c r="D17" s="3">
        <f>400/61.51</f>
        <v>6.5030076410339781</v>
      </c>
      <c r="E17" s="3">
        <f t="shared" si="3"/>
        <v>6.5550774710845934</v>
      </c>
      <c r="F17" s="3">
        <v>0.254</v>
      </c>
      <c r="G17" s="3">
        <f t="shared" si="0"/>
        <v>5.0670747909749778E-2</v>
      </c>
      <c r="H17" s="3">
        <f t="shared" si="1"/>
        <v>129.36610848452273</v>
      </c>
      <c r="I17" s="3">
        <v>5.0999999999999996</v>
      </c>
      <c r="J17" s="4">
        <v>1.0200000000000001E-2</v>
      </c>
      <c r="K17" s="3">
        <f t="shared" si="2"/>
        <v>3221.4697603008603</v>
      </c>
    </row>
    <row r="18" spans="1:11">
      <c r="A18" s="3">
        <v>21</v>
      </c>
      <c r="B18" s="3">
        <f>400/59.66</f>
        <v>6.7046597385182709</v>
      </c>
      <c r="C18" s="3">
        <f>400/58.33</f>
        <v>6.8575347162695017</v>
      </c>
      <c r="D18" s="3">
        <f>400/58.47</f>
        <v>6.841115101761587</v>
      </c>
      <c r="E18" s="3">
        <f t="shared" si="3"/>
        <v>6.8011031855164532</v>
      </c>
      <c r="F18" s="3">
        <v>0.254</v>
      </c>
      <c r="G18" s="3">
        <f t="shared" si="0"/>
        <v>5.0670747909749778E-2</v>
      </c>
      <c r="H18" s="3">
        <f t="shared" si="1"/>
        <v>134.22148805914554</v>
      </c>
      <c r="I18" s="3">
        <v>5.0999999999999996</v>
      </c>
      <c r="J18" s="4">
        <v>1.0200000000000001E-2</v>
      </c>
      <c r="K18" s="3">
        <f t="shared" si="2"/>
        <v>3342.3782320610749</v>
      </c>
    </row>
    <row r="19" spans="1:11">
      <c r="A19" s="3">
        <v>23</v>
      </c>
      <c r="B19" s="3">
        <f>400/57.34</f>
        <v>6.975933031042902</v>
      </c>
      <c r="C19" s="3">
        <f>400/54.93</f>
        <v>7.2819952667030767</v>
      </c>
      <c r="D19" s="3">
        <f>400/56.51</f>
        <v>7.0783932047425235</v>
      </c>
      <c r="E19" s="3">
        <f t="shared" si="3"/>
        <v>7.1121071674961671</v>
      </c>
      <c r="F19" s="3">
        <v>0.254</v>
      </c>
      <c r="G19" s="3">
        <f t="shared" si="0"/>
        <v>5.0670747909749778E-2</v>
      </c>
      <c r="H19" s="3">
        <f t="shared" si="1"/>
        <v>140.35923014524315</v>
      </c>
      <c r="I19" s="3">
        <v>5.0999999999999996</v>
      </c>
      <c r="J19" s="4">
        <v>1.0200000000000001E-2</v>
      </c>
      <c r="K19" s="3">
        <f t="shared" si="2"/>
        <v>3495.2200447933096</v>
      </c>
    </row>
    <row r="20" spans="1:11">
      <c r="A20" s="3">
        <v>24.9</v>
      </c>
      <c r="B20" s="3">
        <f>400/52.46</f>
        <v>7.6248570339306134</v>
      </c>
      <c r="C20" s="3">
        <f>400/52.58</f>
        <v>7.6074553062000767</v>
      </c>
      <c r="D20" s="3">
        <f>400/52.7</f>
        <v>7.5901328273244779</v>
      </c>
      <c r="E20" s="3">
        <f t="shared" si="3"/>
        <v>7.6074817224850557</v>
      </c>
      <c r="F20" s="3">
        <v>0.254</v>
      </c>
      <c r="G20" s="3">
        <f t="shared" si="0"/>
        <v>5.0670747909749778E-2</v>
      </c>
      <c r="H20" s="3">
        <f t="shared" si="1"/>
        <v>150.13557202737218</v>
      </c>
      <c r="I20" s="3">
        <v>5.0999999999999996</v>
      </c>
      <c r="J20" s="4">
        <v>1.0200000000000001E-2</v>
      </c>
      <c r="K20" s="3">
        <f t="shared" si="2"/>
        <v>3738.6701269561304</v>
      </c>
    </row>
    <row r="22" spans="1:11">
      <c r="A22" s="3"/>
      <c r="B22" s="13"/>
      <c r="C22" s="13"/>
      <c r="D22" s="13"/>
      <c r="E22" s="13"/>
      <c r="F22" s="13"/>
      <c r="G22" s="13"/>
      <c r="H22" s="13"/>
      <c r="I22" s="13"/>
      <c r="J22" s="13"/>
      <c r="K22" s="13"/>
    </row>
  </sheetData>
  <pageMargins left="0.75" right="0.75" top="1" bottom="1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3"/>
  <sheetViews>
    <sheetView workbookViewId="0">
      <selection activeCell="F2" sqref="F2"/>
    </sheetView>
  </sheetViews>
  <sheetFormatPr defaultColWidth="11.33203125" defaultRowHeight="15" customHeight="1"/>
  <cols>
    <col min="1" max="1" width="6.6640625" customWidth="1"/>
    <col min="2" max="6" width="9.6640625" customWidth="1"/>
    <col min="7" max="7" width="17.33203125" customWidth="1"/>
    <col min="8" max="8" width="9.44140625" customWidth="1"/>
    <col min="9" max="9" width="7.88671875" customWidth="1"/>
    <col min="10" max="10" width="7.33203125" customWidth="1"/>
    <col min="11" max="11" width="9.6640625" customWidth="1"/>
    <col min="12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20</v>
      </c>
    </row>
    <row r="2" spans="1:12">
      <c r="A2" s="3">
        <v>0</v>
      </c>
      <c r="B2" s="3"/>
      <c r="C2" s="3"/>
      <c r="D2" s="3"/>
      <c r="E2" s="3">
        <f t="shared" ref="E2:E21" si="0">(B2+C2+D2)/3</f>
        <v>0</v>
      </c>
      <c r="F2" s="3">
        <v>0.38100000000000001</v>
      </c>
      <c r="G2" s="3">
        <f t="shared" ref="G2:G21" si="1">3.14159*F2*F2/4</f>
        <v>0.11400908649750001</v>
      </c>
      <c r="H2" s="3">
        <f t="shared" ref="H2:H21" si="2">E2/G2</f>
        <v>0</v>
      </c>
      <c r="I2" s="3">
        <v>5.2</v>
      </c>
      <c r="J2" s="3">
        <v>1.0375000000000001E-2</v>
      </c>
      <c r="K2" s="3">
        <f t="shared" ref="K2:K21" si="3">H2*F2/J2</f>
        <v>0</v>
      </c>
      <c r="L2" s="13"/>
    </row>
    <row r="3" spans="1:12">
      <c r="A3" s="3">
        <v>0.9</v>
      </c>
      <c r="B3" s="3">
        <f>100/41.72</f>
        <v>2.3969319271332696</v>
      </c>
      <c r="C3" s="3">
        <f>100/44.02</f>
        <v>2.2716946842344385</v>
      </c>
      <c r="D3" s="3">
        <f>100/43.75</f>
        <v>2.2857142857142856</v>
      </c>
      <c r="E3" s="3">
        <f t="shared" si="0"/>
        <v>2.3181136323606646</v>
      </c>
      <c r="F3" s="3">
        <v>0.38100000000000001</v>
      </c>
      <c r="G3" s="3">
        <f t="shared" si="1"/>
        <v>0.11400908649750001</v>
      </c>
      <c r="H3" s="3">
        <f t="shared" si="2"/>
        <v>20.332709467078278</v>
      </c>
      <c r="I3" s="3">
        <v>5.2</v>
      </c>
      <c r="J3" s="3">
        <v>1.0375000000000001E-2</v>
      </c>
      <c r="K3" s="3">
        <f t="shared" si="3"/>
        <v>746.67588500788656</v>
      </c>
      <c r="L3" s="13"/>
    </row>
    <row r="4" spans="1:12">
      <c r="A4" s="3">
        <v>2</v>
      </c>
      <c r="B4" s="3">
        <f>300/72.97</f>
        <v>4.1112786076469785</v>
      </c>
      <c r="C4" s="3">
        <f>300/75.01</f>
        <v>3.9994667377682971</v>
      </c>
      <c r="D4" s="3">
        <f>300/74.76</f>
        <v>4.0128410914927768</v>
      </c>
      <c r="E4" s="3">
        <f t="shared" si="0"/>
        <v>4.0411954789693505</v>
      </c>
      <c r="F4" s="3">
        <v>0.38100000000000001</v>
      </c>
      <c r="G4" s="3">
        <f t="shared" si="1"/>
        <v>0.11400908649750001</v>
      </c>
      <c r="H4" s="3">
        <f t="shared" si="2"/>
        <v>35.446257865226961</v>
      </c>
      <c r="I4" s="3">
        <v>5.2</v>
      </c>
      <c r="J4" s="3">
        <v>1.0375000000000001E-2</v>
      </c>
      <c r="K4" s="3">
        <f t="shared" si="3"/>
        <v>1301.6890840145998</v>
      </c>
      <c r="L4" s="13"/>
    </row>
    <row r="5" spans="1:12">
      <c r="A5" s="3">
        <v>3</v>
      </c>
      <c r="B5" s="3">
        <f>300/56.43</f>
        <v>5.3163211057947901</v>
      </c>
      <c r="C5" s="3">
        <f>300/56.83</f>
        <v>5.2789019883864157</v>
      </c>
      <c r="D5" s="3">
        <f>300/55.79</f>
        <v>5.3773077612475353</v>
      </c>
      <c r="E5" s="3">
        <f t="shared" si="0"/>
        <v>5.3241769518095801</v>
      </c>
      <c r="F5" s="3">
        <v>0.38100000000000001</v>
      </c>
      <c r="G5" s="3">
        <f t="shared" si="1"/>
        <v>0.11400908649750001</v>
      </c>
      <c r="H5" s="3">
        <f t="shared" si="2"/>
        <v>46.699584352220285</v>
      </c>
      <c r="I5" s="3">
        <v>5.2</v>
      </c>
      <c r="J5" s="3">
        <v>1.0375000000000001E-2</v>
      </c>
      <c r="K5" s="3">
        <f t="shared" si="3"/>
        <v>1714.9437723562339</v>
      </c>
      <c r="L5" s="13"/>
    </row>
    <row r="6" spans="1:12">
      <c r="A6" s="3">
        <v>4</v>
      </c>
      <c r="B6" s="3">
        <f>300/46.87</f>
        <v>6.400682739492213</v>
      </c>
      <c r="C6" s="3">
        <f>300/47.26</f>
        <v>6.3478628861616588</v>
      </c>
      <c r="D6" s="3">
        <f>300/46.58</f>
        <v>6.4405324173465006</v>
      </c>
      <c r="E6" s="3">
        <f t="shared" si="0"/>
        <v>6.3963593476667908</v>
      </c>
      <c r="F6" s="3">
        <v>0.38100000000000001</v>
      </c>
      <c r="G6" s="3">
        <f t="shared" si="1"/>
        <v>0.11400908649750001</v>
      </c>
      <c r="H6" s="3">
        <f t="shared" si="2"/>
        <v>56.103943502845716</v>
      </c>
      <c r="I6" s="3">
        <v>5.2</v>
      </c>
      <c r="J6" s="3">
        <v>1.0375000000000001E-2</v>
      </c>
      <c r="K6" s="3">
        <f t="shared" si="3"/>
        <v>2060.2990336948646</v>
      </c>
      <c r="L6" s="13"/>
    </row>
    <row r="7" spans="1:12">
      <c r="A7" s="3">
        <v>5</v>
      </c>
      <c r="B7" s="3">
        <f>300/40.84</f>
        <v>7.3457394711067572</v>
      </c>
      <c r="C7" s="3">
        <f>300/40.92</f>
        <v>7.3313782991202343</v>
      </c>
      <c r="D7" s="3">
        <f>300/40.62</f>
        <v>7.3855243722304289</v>
      </c>
      <c r="E7" s="3">
        <f t="shared" si="0"/>
        <v>7.3542140474858071</v>
      </c>
      <c r="F7" s="3">
        <v>0.38100000000000001</v>
      </c>
      <c r="G7" s="3">
        <f t="shared" si="1"/>
        <v>0.11400908649750001</v>
      </c>
      <c r="H7" s="3">
        <f t="shared" si="2"/>
        <v>64.505508055685283</v>
      </c>
      <c r="I7" s="3">
        <v>5.2</v>
      </c>
      <c r="J7" s="3">
        <v>1.0375000000000001E-2</v>
      </c>
      <c r="K7" s="3">
        <f t="shared" si="3"/>
        <v>2368.8287777557675</v>
      </c>
      <c r="L7" s="13"/>
    </row>
    <row r="8" spans="1:12">
      <c r="A8" s="3">
        <v>6</v>
      </c>
      <c r="B8" s="3">
        <f>400/48.25</f>
        <v>8.290155440414507</v>
      </c>
      <c r="C8" s="3">
        <f>400/49.5</f>
        <v>8.0808080808080813</v>
      </c>
      <c r="D8" s="3">
        <f>400/50.15</f>
        <v>7.976071784646062</v>
      </c>
      <c r="E8" s="3">
        <f t="shared" si="0"/>
        <v>8.115678435289551</v>
      </c>
      <c r="F8" s="3">
        <v>0.38100000000000001</v>
      </c>
      <c r="G8" s="3">
        <f t="shared" si="1"/>
        <v>0.11400908649750001</v>
      </c>
      <c r="H8" s="3">
        <f t="shared" si="2"/>
        <v>71.18448787384601</v>
      </c>
      <c r="I8" s="3">
        <v>5.2</v>
      </c>
      <c r="J8" s="3">
        <v>1.0375000000000001E-2</v>
      </c>
      <c r="K8" s="3">
        <f t="shared" si="3"/>
        <v>2614.1002293913571</v>
      </c>
      <c r="L8" s="13"/>
    </row>
    <row r="9" spans="1:12">
      <c r="A9" s="3">
        <v>6.9</v>
      </c>
      <c r="B9" s="3">
        <f>600/67.78</f>
        <v>8.8521687813514305</v>
      </c>
      <c r="C9" s="3">
        <f>600/63.69</f>
        <v>9.4206311822892133</v>
      </c>
      <c r="D9" s="3">
        <f>600/70</f>
        <v>8.5714285714285712</v>
      </c>
      <c r="E9" s="3">
        <f t="shared" si="0"/>
        <v>8.9480761783564038</v>
      </c>
      <c r="F9" s="3">
        <v>0.38100000000000001</v>
      </c>
      <c r="G9" s="3">
        <f t="shared" si="1"/>
        <v>0.11400908649750001</v>
      </c>
      <c r="H9" s="3">
        <f t="shared" si="2"/>
        <v>78.485640515614662</v>
      </c>
      <c r="I9" s="3">
        <v>5.2</v>
      </c>
      <c r="J9" s="3">
        <v>1.0375000000000001E-2</v>
      </c>
      <c r="K9" s="3">
        <f t="shared" si="3"/>
        <v>2882.2196661637768</v>
      </c>
      <c r="L9" s="13"/>
    </row>
    <row r="10" spans="1:12">
      <c r="A10" s="3">
        <v>7.9</v>
      </c>
      <c r="B10" s="3">
        <f>600/62.32</f>
        <v>9.6277278562259312</v>
      </c>
      <c r="C10" s="3">
        <f>600/60.83</f>
        <v>9.8635541673516354</v>
      </c>
      <c r="D10" s="3">
        <f>600/61.3</f>
        <v>9.7879282218597066</v>
      </c>
      <c r="E10" s="3">
        <f t="shared" si="0"/>
        <v>9.7597367484790922</v>
      </c>
      <c r="F10" s="3">
        <v>0.38100000000000001</v>
      </c>
      <c r="G10" s="3">
        <f t="shared" si="1"/>
        <v>0.11400908649750001</v>
      </c>
      <c r="H10" s="3">
        <f t="shared" si="2"/>
        <v>85.604902629345275</v>
      </c>
      <c r="I10" s="3">
        <v>5.2</v>
      </c>
      <c r="J10" s="3">
        <v>1.0375000000000001E-2</v>
      </c>
      <c r="K10" s="3">
        <f t="shared" si="3"/>
        <v>3143.6595567981249</v>
      </c>
      <c r="L10" s="13"/>
    </row>
    <row r="11" spans="1:12">
      <c r="A11" s="3">
        <v>9</v>
      </c>
      <c r="B11" s="3">
        <f>600/58.12</f>
        <v>10.323468685478321</v>
      </c>
      <c r="C11" s="3">
        <f>600/56.69</f>
        <v>10.583877227024168</v>
      </c>
      <c r="D11" s="3">
        <f>600/57.97</f>
        <v>10.350181128169742</v>
      </c>
      <c r="E11" s="3">
        <f t="shared" si="0"/>
        <v>10.419175680224077</v>
      </c>
      <c r="F11" s="3">
        <v>0.38100000000000001</v>
      </c>
      <c r="G11" s="3">
        <f t="shared" si="1"/>
        <v>0.11400908649750001</v>
      </c>
      <c r="H11" s="3">
        <f t="shared" si="2"/>
        <v>91.38899363475339</v>
      </c>
      <c r="I11" s="3">
        <v>5.2</v>
      </c>
      <c r="J11" s="3">
        <v>1.0375000000000001E-2</v>
      </c>
      <c r="K11" s="3">
        <f t="shared" si="3"/>
        <v>3356.0681035991361</v>
      </c>
      <c r="L11" s="13"/>
    </row>
    <row r="12" spans="1:12">
      <c r="A12" s="3">
        <v>10</v>
      </c>
      <c r="B12" s="3">
        <f>600/54.04</f>
        <v>11.102886750555145</v>
      </c>
      <c r="C12" s="3">
        <f>600/52.65</f>
        <v>11.396011396011396</v>
      </c>
      <c r="D12" s="3">
        <f>600/53.5</f>
        <v>11.214953271028037</v>
      </c>
      <c r="E12" s="3">
        <f t="shared" si="0"/>
        <v>11.237950472531525</v>
      </c>
      <c r="F12" s="3">
        <v>0.38100000000000001</v>
      </c>
      <c r="G12" s="3">
        <f t="shared" si="1"/>
        <v>0.11400908649750001</v>
      </c>
      <c r="H12" s="3">
        <f t="shared" si="2"/>
        <v>98.570656232544678</v>
      </c>
      <c r="I12" s="3">
        <v>5.2</v>
      </c>
      <c r="J12" s="3">
        <v>1.0375000000000001E-2</v>
      </c>
      <c r="K12" s="3">
        <f t="shared" si="3"/>
        <v>3619.7995204433273</v>
      </c>
      <c r="L12" s="13"/>
    </row>
    <row r="13" spans="1:12">
      <c r="A13" s="3">
        <v>11</v>
      </c>
      <c r="B13" s="3">
        <f>600/49.79</f>
        <v>12.050612572805784</v>
      </c>
      <c r="C13" s="3">
        <f>600/50.14</f>
        <v>11.966493817311527</v>
      </c>
      <c r="D13" s="3">
        <f>600/50.43</f>
        <v>11.89767995240928</v>
      </c>
      <c r="E13" s="3">
        <f t="shared" si="0"/>
        <v>11.971595447508866</v>
      </c>
      <c r="F13" s="3">
        <v>0.38100000000000001</v>
      </c>
      <c r="G13" s="3">
        <f t="shared" si="1"/>
        <v>0.11400908649750001</v>
      </c>
      <c r="H13" s="3">
        <f t="shared" si="2"/>
        <v>105.00562556276056</v>
      </c>
      <c r="I13" s="3">
        <v>5.2</v>
      </c>
      <c r="J13" s="3">
        <v>1.0375000000000001E-2</v>
      </c>
      <c r="K13" s="3">
        <f t="shared" si="3"/>
        <v>3856.1102013890868</v>
      </c>
      <c r="L13" s="13"/>
    </row>
    <row r="14" spans="1:12">
      <c r="A14" s="3">
        <v>11.9</v>
      </c>
      <c r="B14" s="3">
        <f>600/48.01</f>
        <v>12.497396375755052</v>
      </c>
      <c r="C14" s="3">
        <f>600/48.65</f>
        <v>12.332990750256938</v>
      </c>
      <c r="D14" s="3">
        <f>600/45.29</f>
        <v>13.247957606535659</v>
      </c>
      <c r="E14" s="3">
        <f t="shared" si="0"/>
        <v>12.692781577515882</v>
      </c>
      <c r="F14" s="3">
        <v>0.38100000000000001</v>
      </c>
      <c r="G14" s="3">
        <f t="shared" si="1"/>
        <v>0.11400908649750001</v>
      </c>
      <c r="H14" s="3">
        <f t="shared" si="2"/>
        <v>111.33131548943872</v>
      </c>
      <c r="I14" s="3">
        <v>5.2</v>
      </c>
      <c r="J14" s="3">
        <v>1.0375000000000001E-2</v>
      </c>
      <c r="K14" s="3">
        <f t="shared" si="3"/>
        <v>4088.4078266483039</v>
      </c>
      <c r="L14" s="13"/>
    </row>
    <row r="15" spans="1:12">
      <c r="A15" s="3">
        <v>12.9</v>
      </c>
      <c r="B15" s="3">
        <f>600/45.08</f>
        <v>13.309671694764862</v>
      </c>
      <c r="C15" s="3">
        <f>600/44.61</f>
        <v>13.449899125756557</v>
      </c>
      <c r="D15" s="3">
        <f>600/46.84</f>
        <v>12.809564474807855</v>
      </c>
      <c r="E15" s="3">
        <f t="shared" si="0"/>
        <v>13.189711765109758</v>
      </c>
      <c r="F15" s="3">
        <v>0.38100000000000001</v>
      </c>
      <c r="G15" s="3">
        <f t="shared" si="1"/>
        <v>0.11400908649750001</v>
      </c>
      <c r="H15" s="3">
        <f t="shared" si="2"/>
        <v>115.6900048085113</v>
      </c>
      <c r="I15" s="3">
        <v>5.2</v>
      </c>
      <c r="J15" s="3">
        <v>1.0375000000000001E-2</v>
      </c>
      <c r="K15" s="3">
        <f t="shared" si="3"/>
        <v>4248.4715018836441</v>
      </c>
      <c r="L15" s="13"/>
    </row>
    <row r="16" spans="1:12">
      <c r="A16" s="3">
        <v>15</v>
      </c>
      <c r="B16" s="3">
        <f>800/57.26</f>
        <v>13.971358714634999</v>
      </c>
      <c r="C16" s="3">
        <f>800/55.18</f>
        <v>14.498006524102935</v>
      </c>
      <c r="D16" s="3">
        <f>1600/112.44</f>
        <v>14.229811454998222</v>
      </c>
      <c r="E16" s="3">
        <f t="shared" si="0"/>
        <v>14.233058897912052</v>
      </c>
      <c r="F16" s="3">
        <v>0.38100000000000001</v>
      </c>
      <c r="G16" s="3">
        <f t="shared" si="1"/>
        <v>0.11400908649750001</v>
      </c>
      <c r="H16" s="3">
        <f t="shared" si="2"/>
        <v>124.84144321447707</v>
      </c>
      <c r="I16" s="3">
        <v>5.2</v>
      </c>
      <c r="J16" s="3">
        <v>1.0375000000000001E-2</v>
      </c>
      <c r="K16" s="3">
        <f t="shared" si="3"/>
        <v>4584.5387821412778</v>
      </c>
      <c r="L16" s="13"/>
    </row>
    <row r="17" spans="1:11">
      <c r="A17" s="3">
        <v>16.899999999999999</v>
      </c>
      <c r="B17" s="3">
        <f>800/53.21</f>
        <v>15.034767900770532</v>
      </c>
      <c r="C17" s="3">
        <f>800/52.55</f>
        <v>15.223596574690772</v>
      </c>
      <c r="D17" s="3">
        <f>1600/105.76</f>
        <v>15.1285930408472</v>
      </c>
      <c r="E17" s="3">
        <f t="shared" si="0"/>
        <v>15.128985838769502</v>
      </c>
      <c r="F17" s="3">
        <v>0.38100000000000001</v>
      </c>
      <c r="G17" s="3">
        <f t="shared" si="1"/>
        <v>0.11400908649750001</v>
      </c>
      <c r="H17" s="3">
        <f t="shared" si="2"/>
        <v>132.69982510649493</v>
      </c>
      <c r="I17" s="3">
        <v>5.2</v>
      </c>
      <c r="J17" s="3">
        <v>1.0375000000000001E-2</v>
      </c>
      <c r="K17" s="3">
        <f t="shared" si="3"/>
        <v>4873.1212882481504</v>
      </c>
    </row>
    <row r="18" spans="1:11">
      <c r="A18" s="3">
        <v>19</v>
      </c>
      <c r="B18" s="3">
        <f>800/50.87</f>
        <v>15.72636131315117</v>
      </c>
      <c r="C18" s="3">
        <f>800/47.4</f>
        <v>16.877637130801688</v>
      </c>
      <c r="D18" s="3">
        <f>1600/98.27</f>
        <v>16.281672941894779</v>
      </c>
      <c r="E18" s="3">
        <f t="shared" si="0"/>
        <v>16.295223795282549</v>
      </c>
      <c r="F18" s="3">
        <v>0.38100000000000001</v>
      </c>
      <c r="G18" s="3">
        <f t="shared" si="1"/>
        <v>0.11400908649750001</v>
      </c>
      <c r="H18" s="3">
        <f t="shared" si="2"/>
        <v>142.92916727860873</v>
      </c>
      <c r="I18" s="3">
        <v>5.2</v>
      </c>
      <c r="J18" s="3">
        <v>1.0375000000000001E-2</v>
      </c>
      <c r="K18" s="3">
        <f t="shared" si="3"/>
        <v>5248.772311628908</v>
      </c>
    </row>
    <row r="19" spans="1:11">
      <c r="A19" s="3">
        <v>21.1</v>
      </c>
      <c r="B19" s="3">
        <f>800/48.26</f>
        <v>16.576875259013676</v>
      </c>
      <c r="C19" s="3">
        <f>800/45.72</f>
        <v>17.497812773403325</v>
      </c>
      <c r="D19" s="3">
        <f>1600/93.98</f>
        <v>17.024898914662693</v>
      </c>
      <c r="E19" s="3">
        <f t="shared" si="0"/>
        <v>17.033195649026563</v>
      </c>
      <c r="F19" s="3">
        <v>0.38100000000000001</v>
      </c>
      <c r="G19" s="3">
        <f t="shared" si="1"/>
        <v>0.11400908649750001</v>
      </c>
      <c r="H19" s="3">
        <f t="shared" si="2"/>
        <v>149.4020886607145</v>
      </c>
      <c r="I19" s="3">
        <v>5.2</v>
      </c>
      <c r="J19" s="3">
        <v>1.0375000000000001E-2</v>
      </c>
      <c r="K19" s="3">
        <f t="shared" si="3"/>
        <v>5486.4767016609376</v>
      </c>
    </row>
    <row r="20" spans="1:11">
      <c r="A20" s="3">
        <v>23</v>
      </c>
      <c r="B20" s="3">
        <f>800/45.69</f>
        <v>17.509301816590064</v>
      </c>
      <c r="C20" s="3">
        <f>800/44.65</f>
        <v>17.917133258678611</v>
      </c>
      <c r="D20" s="3">
        <f>1600/90.34</f>
        <v>17.710870046491035</v>
      </c>
      <c r="E20" s="3">
        <f t="shared" si="0"/>
        <v>17.71243504058657</v>
      </c>
      <c r="F20" s="3">
        <v>0.38100000000000001</v>
      </c>
      <c r="G20" s="3">
        <f t="shared" si="1"/>
        <v>0.11400908649750001</v>
      </c>
      <c r="H20" s="3">
        <f t="shared" si="2"/>
        <v>155.35985406720164</v>
      </c>
      <c r="I20" s="3">
        <v>5.2</v>
      </c>
      <c r="J20" s="3">
        <v>1.0375000000000001E-2</v>
      </c>
      <c r="K20" s="3">
        <f t="shared" si="3"/>
        <v>5705.2630746606092</v>
      </c>
    </row>
    <row r="21" spans="1:11">
      <c r="A21" s="3">
        <v>25</v>
      </c>
      <c r="B21" s="3">
        <f>1000/54</f>
        <v>18.518518518518519</v>
      </c>
      <c r="C21" s="3">
        <f>1000/54.97</f>
        <v>18.191740949608878</v>
      </c>
      <c r="D21" s="3">
        <f>2000/108.97</f>
        <v>18.353675323483529</v>
      </c>
      <c r="E21" s="3">
        <f t="shared" si="0"/>
        <v>18.354644930536974</v>
      </c>
      <c r="F21" s="3">
        <v>0.38100000000000001</v>
      </c>
      <c r="G21" s="3">
        <f t="shared" si="1"/>
        <v>0.11400908649750001</v>
      </c>
      <c r="H21" s="3">
        <f t="shared" si="2"/>
        <v>160.99282517222392</v>
      </c>
      <c r="I21" s="3">
        <v>5.2</v>
      </c>
      <c r="J21" s="3">
        <v>1.0375000000000001E-2</v>
      </c>
      <c r="K21" s="3">
        <f t="shared" si="3"/>
        <v>5912.1220617462468</v>
      </c>
    </row>
    <row r="23" spans="1:11">
      <c r="A23" s="3"/>
      <c r="B23" s="13"/>
      <c r="C23" s="13"/>
      <c r="D23" s="13"/>
      <c r="E23" s="13"/>
      <c r="F23" s="13"/>
      <c r="G23" s="13"/>
      <c r="H23" s="13"/>
      <c r="I23" s="13"/>
      <c r="J23" s="13"/>
      <c r="K23" s="13"/>
    </row>
  </sheetData>
  <pageMargins left="0.75" right="0.75" top="1" bottom="1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2"/>
  <sheetViews>
    <sheetView workbookViewId="0"/>
  </sheetViews>
  <sheetFormatPr defaultColWidth="11.33203125" defaultRowHeight="15" customHeight="1"/>
  <cols>
    <col min="1" max="1" width="6.6640625" customWidth="1"/>
    <col min="2" max="5" width="9.6640625" customWidth="1"/>
    <col min="6" max="6" width="6.6640625" customWidth="1"/>
    <col min="7" max="8" width="9.6640625" customWidth="1"/>
    <col min="9" max="9" width="6.6640625" customWidth="1"/>
    <col min="10" max="10" width="9.77734375" customWidth="1"/>
    <col min="11" max="11" width="9.6640625" customWidth="1"/>
    <col min="12" max="26" width="6.6640625" customWidth="1"/>
  </cols>
  <sheetData>
    <row r="1" spans="1:1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21</v>
      </c>
    </row>
    <row r="2" spans="1:12">
      <c r="A2" s="3">
        <v>0</v>
      </c>
      <c r="B2" s="13"/>
      <c r="C2" s="13"/>
      <c r="D2" s="13"/>
      <c r="E2" s="3">
        <f t="shared" ref="E2:E22" si="0">(B2+C2+D2)/3</f>
        <v>0</v>
      </c>
      <c r="F2" s="3">
        <f t="shared" ref="F2:F22" si="1">0.50546</f>
        <v>0.50546000000000002</v>
      </c>
      <c r="G2" s="3">
        <f t="shared" ref="G2:G22" si="2">3.14159*F2*F2/4</f>
        <v>0.200661059306111</v>
      </c>
      <c r="H2" s="3">
        <f t="shared" ref="H2:H22" si="3">E2/G2</f>
        <v>0</v>
      </c>
      <c r="I2" s="3">
        <v>5.0999999999999996</v>
      </c>
      <c r="J2" s="4">
        <v>1.0149999999999999E-2</v>
      </c>
      <c r="K2" s="3">
        <f t="shared" ref="K2:K22" si="4">H2*F2/J2</f>
        <v>0</v>
      </c>
      <c r="L2" s="13"/>
    </row>
    <row r="3" spans="1:12">
      <c r="A3" s="3">
        <v>1</v>
      </c>
      <c r="B3" s="3">
        <f>400/77.2</f>
        <v>5.1813471502590671</v>
      </c>
      <c r="C3" s="3">
        <f>400/75.83</f>
        <v>5.2749571409732301</v>
      </c>
      <c r="D3" s="3">
        <f>400/76.19</f>
        <v>5.2500328127050793</v>
      </c>
      <c r="E3" s="3">
        <f t="shared" si="0"/>
        <v>5.2354457013124582</v>
      </c>
      <c r="F3" s="3">
        <f t="shared" si="1"/>
        <v>0.50546000000000002</v>
      </c>
      <c r="G3" s="3">
        <f t="shared" si="2"/>
        <v>0.200661059306111</v>
      </c>
      <c r="H3" s="3">
        <f t="shared" si="3"/>
        <v>26.090990047678954</v>
      </c>
      <c r="I3" s="3">
        <v>5.0999999999999996</v>
      </c>
      <c r="J3" s="4">
        <v>1.0149999999999999E-2</v>
      </c>
      <c r="K3" s="3">
        <f t="shared" si="4"/>
        <v>1299.3055989654981</v>
      </c>
      <c r="L3" s="13"/>
    </row>
    <row r="4" spans="1:12">
      <c r="A4" s="3">
        <v>2.1</v>
      </c>
      <c r="B4" s="3">
        <f>600/70.13</f>
        <v>8.5555397119634975</v>
      </c>
      <c r="C4" s="3">
        <f>600/71.4</f>
        <v>8.4033613445378137</v>
      </c>
      <c r="D4" s="3">
        <f>600/71.04</f>
        <v>8.4459459459459456</v>
      </c>
      <c r="E4" s="3">
        <f t="shared" si="0"/>
        <v>8.4682823341490856</v>
      </c>
      <c r="F4" s="3">
        <f t="shared" si="1"/>
        <v>0.50546000000000002</v>
      </c>
      <c r="G4" s="3">
        <f t="shared" si="2"/>
        <v>0.200661059306111</v>
      </c>
      <c r="H4" s="3">
        <f t="shared" si="3"/>
        <v>42.20192180502054</v>
      </c>
      <c r="I4" s="3">
        <v>5.0999999999999996</v>
      </c>
      <c r="J4" s="4">
        <v>1.0149999999999999E-2</v>
      </c>
      <c r="K4" s="3">
        <f t="shared" si="4"/>
        <v>2101.6141276419394</v>
      </c>
      <c r="L4" s="13"/>
    </row>
    <row r="5" spans="1:12">
      <c r="A5" s="3">
        <v>3.1</v>
      </c>
      <c r="B5" s="3">
        <f>600/57.28</f>
        <v>10.474860335195531</v>
      </c>
      <c r="C5" s="3">
        <f>600/55.61</f>
        <v>10.789426362165079</v>
      </c>
      <c r="D5" s="3">
        <f>600/56.93</f>
        <v>10.539258738802038</v>
      </c>
      <c r="E5" s="3">
        <f t="shared" si="0"/>
        <v>10.601181812054216</v>
      </c>
      <c r="F5" s="3">
        <f t="shared" si="1"/>
        <v>0.50546000000000002</v>
      </c>
      <c r="G5" s="3">
        <f t="shared" si="2"/>
        <v>0.200661059306111</v>
      </c>
      <c r="H5" s="3">
        <f t="shared" si="3"/>
        <v>52.831285993970454</v>
      </c>
      <c r="I5" s="3">
        <v>5.0999999999999996</v>
      </c>
      <c r="J5" s="4">
        <v>1.0149999999999999E-2</v>
      </c>
      <c r="K5" s="3">
        <f t="shared" si="4"/>
        <v>2630.945991971656</v>
      </c>
      <c r="L5" s="13"/>
    </row>
    <row r="6" spans="1:12">
      <c r="A6" s="3">
        <v>4</v>
      </c>
      <c r="B6" s="3">
        <f>600/47.21</f>
        <v>12.709171785638636</v>
      </c>
      <c r="C6" s="3">
        <f>600/48.87</f>
        <v>12.277470841006753</v>
      </c>
      <c r="D6" s="3">
        <f>600/47.36</f>
        <v>12.668918918918919</v>
      </c>
      <c r="E6" s="3">
        <f t="shared" si="0"/>
        <v>12.551853848521437</v>
      </c>
      <c r="F6" s="3">
        <f t="shared" si="1"/>
        <v>0.50546000000000002</v>
      </c>
      <c r="G6" s="3">
        <f t="shared" si="2"/>
        <v>0.200661059306111</v>
      </c>
      <c r="H6" s="3">
        <f t="shared" si="3"/>
        <v>62.552514633013196</v>
      </c>
      <c r="I6" s="3">
        <v>5.0999999999999996</v>
      </c>
      <c r="J6" s="4">
        <v>1.0149999999999999E-2</v>
      </c>
      <c r="K6" s="3">
        <f t="shared" si="4"/>
        <v>3115.053600630823</v>
      </c>
      <c r="L6" s="13"/>
    </row>
    <row r="7" spans="1:12">
      <c r="A7" s="3">
        <v>5</v>
      </c>
      <c r="B7" s="3">
        <f>800/57.25</f>
        <v>13.973799126637555</v>
      </c>
      <c r="C7" s="3">
        <f>800/57.72</f>
        <v>13.86001386001386</v>
      </c>
      <c r="D7" s="3">
        <f>1600/114.97</f>
        <v>13.91667391493433</v>
      </c>
      <c r="E7" s="3">
        <f t="shared" si="0"/>
        <v>13.916828967195249</v>
      </c>
      <c r="F7" s="3">
        <f t="shared" si="1"/>
        <v>0.50546000000000002</v>
      </c>
      <c r="G7" s="3">
        <f t="shared" si="2"/>
        <v>0.200661059306111</v>
      </c>
      <c r="H7" s="3">
        <f t="shared" si="3"/>
        <v>69.354906304790049</v>
      </c>
      <c r="I7" s="3">
        <v>5.0999999999999996</v>
      </c>
      <c r="J7" s="4">
        <v>1.0149999999999999E-2</v>
      </c>
      <c r="K7" s="3">
        <f t="shared" si="4"/>
        <v>3453.8060040215942</v>
      </c>
      <c r="L7" s="13"/>
    </row>
    <row r="8" spans="1:12">
      <c r="A8" s="3">
        <v>6</v>
      </c>
      <c r="B8" s="3">
        <f>800/51.33</f>
        <v>15.585427625170466</v>
      </c>
      <c r="C8" s="3">
        <f>800/52.68</f>
        <v>15.186028853454822</v>
      </c>
      <c r="D8" s="3">
        <f>1600/103.01</f>
        <v>15.532472575478108</v>
      </c>
      <c r="E8" s="3">
        <f t="shared" si="0"/>
        <v>15.434643018034466</v>
      </c>
      <c r="F8" s="3">
        <f t="shared" si="1"/>
        <v>0.50546000000000002</v>
      </c>
      <c r="G8" s="3">
        <f t="shared" si="2"/>
        <v>0.200661059306111</v>
      </c>
      <c r="H8" s="3">
        <f t="shared" si="3"/>
        <v>76.918975068743762</v>
      </c>
      <c r="I8" s="3">
        <v>5.0999999999999996</v>
      </c>
      <c r="J8" s="4">
        <v>1.0149999999999999E-2</v>
      </c>
      <c r="K8" s="3">
        <f t="shared" si="4"/>
        <v>3830.4891761819931</v>
      </c>
      <c r="L8" s="13"/>
    </row>
    <row r="9" spans="1:12">
      <c r="A9" s="3">
        <v>7</v>
      </c>
      <c r="B9" s="3">
        <f>800/47.69</f>
        <v>16.775005242189138</v>
      </c>
      <c r="C9" s="3">
        <f>800/48.18</f>
        <v>16.604400166044002</v>
      </c>
      <c r="D9" s="3">
        <f>1600/95.87</f>
        <v>16.689266715343695</v>
      </c>
      <c r="E9" s="3">
        <f t="shared" si="0"/>
        <v>16.689557374525609</v>
      </c>
      <c r="F9" s="3">
        <f t="shared" si="1"/>
        <v>0.50546000000000002</v>
      </c>
      <c r="G9" s="3">
        <f t="shared" si="2"/>
        <v>0.200661059306111</v>
      </c>
      <c r="H9" s="3">
        <f t="shared" si="3"/>
        <v>83.172875854629453</v>
      </c>
      <c r="I9" s="3">
        <v>5.0999999999999996</v>
      </c>
      <c r="J9" s="4">
        <v>1.0149999999999999E-2</v>
      </c>
      <c r="K9" s="3">
        <f t="shared" si="4"/>
        <v>4141.9272738404934</v>
      </c>
      <c r="L9" s="13"/>
    </row>
    <row r="10" spans="1:12">
      <c r="A10" s="3">
        <v>8.1</v>
      </c>
      <c r="B10" s="3">
        <f>800/44.65</f>
        <v>17.917133258678611</v>
      </c>
      <c r="C10" s="3">
        <f>800/44.54</f>
        <v>17.961383026493042</v>
      </c>
      <c r="D10" s="3">
        <f>1600/89.19</f>
        <v>17.939230855477071</v>
      </c>
      <c r="E10" s="3">
        <f t="shared" si="0"/>
        <v>17.93924904688291</v>
      </c>
      <c r="F10" s="3">
        <f t="shared" si="1"/>
        <v>0.50546000000000002</v>
      </c>
      <c r="G10" s="3">
        <f t="shared" si="2"/>
        <v>0.200661059306111</v>
      </c>
      <c r="H10" s="3">
        <f t="shared" si="3"/>
        <v>89.400749248095806</v>
      </c>
      <c r="I10" s="3">
        <v>5.0999999999999996</v>
      </c>
      <c r="J10" s="4">
        <v>1.0149999999999999E-2</v>
      </c>
      <c r="K10" s="3">
        <f t="shared" si="4"/>
        <v>4452.0692329992626</v>
      </c>
      <c r="L10" s="13"/>
    </row>
    <row r="11" spans="1:12">
      <c r="A11" s="3">
        <v>9</v>
      </c>
      <c r="B11" s="3">
        <f>1000/51.63</f>
        <v>19.368584156498159</v>
      </c>
      <c r="C11" s="3">
        <f>1000/52.08</f>
        <v>19.201228878648234</v>
      </c>
      <c r="D11" s="3">
        <f>2000/103.71</f>
        <v>19.284543438434095</v>
      </c>
      <c r="E11" s="3">
        <f t="shared" si="0"/>
        <v>19.284785491193499</v>
      </c>
      <c r="F11" s="3">
        <f t="shared" si="1"/>
        <v>0.50546000000000002</v>
      </c>
      <c r="G11" s="3">
        <f t="shared" si="2"/>
        <v>0.200661059306111</v>
      </c>
      <c r="H11" s="3">
        <f t="shared" si="3"/>
        <v>96.106267742633179</v>
      </c>
      <c r="I11" s="3">
        <v>5.0999999999999996</v>
      </c>
      <c r="J11" s="4">
        <v>1.0149999999999999E-2</v>
      </c>
      <c r="K11" s="3">
        <f t="shared" si="4"/>
        <v>4785.9974476050611</v>
      </c>
      <c r="L11" s="13"/>
    </row>
    <row r="12" spans="1:12">
      <c r="A12" s="3">
        <v>10</v>
      </c>
      <c r="B12" s="3">
        <f>1000/48.94</f>
        <v>20.433183489987741</v>
      </c>
      <c r="C12" s="3">
        <f>1000/49.26</f>
        <v>20.300446609825418</v>
      </c>
      <c r="D12" s="3">
        <f>2000/98.2</f>
        <v>20.366598778004072</v>
      </c>
      <c r="E12" s="3">
        <f t="shared" si="0"/>
        <v>20.366742959272411</v>
      </c>
      <c r="F12" s="3">
        <f t="shared" si="1"/>
        <v>0.50546000000000002</v>
      </c>
      <c r="G12" s="3">
        <f t="shared" si="2"/>
        <v>0.200661059306111</v>
      </c>
      <c r="H12" s="3">
        <f t="shared" si="3"/>
        <v>101.49823303884131</v>
      </c>
      <c r="I12" s="3">
        <v>5.0999999999999996</v>
      </c>
      <c r="J12" s="4">
        <v>1.0149999999999999E-2</v>
      </c>
      <c r="K12" s="3">
        <f t="shared" si="4"/>
        <v>5054.5120070751454</v>
      </c>
      <c r="L12" s="13"/>
    </row>
    <row r="13" spans="1:12">
      <c r="A13" s="3">
        <v>11</v>
      </c>
      <c r="B13" s="3">
        <f>1000/46.76</f>
        <v>21.385799828913601</v>
      </c>
      <c r="C13" s="3">
        <f>1000/45.62</f>
        <v>21.920210434020166</v>
      </c>
      <c r="D13" s="3">
        <f>2000/92.38</f>
        <v>21.649707728945661</v>
      </c>
      <c r="E13" s="3">
        <f t="shared" si="0"/>
        <v>21.651905997293142</v>
      </c>
      <c r="F13" s="3">
        <f t="shared" si="1"/>
        <v>0.50546000000000002</v>
      </c>
      <c r="G13" s="3">
        <f t="shared" si="2"/>
        <v>0.200661059306111</v>
      </c>
      <c r="H13" s="3">
        <f t="shared" si="3"/>
        <v>107.9028789749529</v>
      </c>
      <c r="I13" s="3">
        <v>5.0999999999999996</v>
      </c>
      <c r="J13" s="4">
        <v>1.0149999999999999E-2</v>
      </c>
      <c r="K13" s="3">
        <f t="shared" si="4"/>
        <v>5373.4570646975071</v>
      </c>
      <c r="L13" s="13"/>
    </row>
    <row r="14" spans="1:12">
      <c r="A14" s="3">
        <v>12</v>
      </c>
      <c r="B14" s="3">
        <f>1000/43.82</f>
        <v>22.820629849383842</v>
      </c>
      <c r="C14" s="3">
        <f>1000/43.69</f>
        <v>22.888532845044633</v>
      </c>
      <c r="D14" s="3">
        <f>2000/87.51</f>
        <v>22.854530910753056</v>
      </c>
      <c r="E14" s="3">
        <f t="shared" si="0"/>
        <v>22.854564535060508</v>
      </c>
      <c r="F14" s="3">
        <f t="shared" si="1"/>
        <v>0.50546000000000002</v>
      </c>
      <c r="G14" s="3">
        <f t="shared" si="2"/>
        <v>0.200661059306111</v>
      </c>
      <c r="H14" s="3">
        <f t="shared" si="3"/>
        <v>113.89636142703492</v>
      </c>
      <c r="I14" s="3">
        <v>5.0999999999999996</v>
      </c>
      <c r="J14" s="4">
        <v>1.0149999999999999E-2</v>
      </c>
      <c r="K14" s="3">
        <f t="shared" si="4"/>
        <v>5671.9265859023717</v>
      </c>
      <c r="L14" s="13"/>
    </row>
    <row r="15" spans="1:12">
      <c r="A15" s="3">
        <v>12.9</v>
      </c>
      <c r="B15" s="3">
        <f>1000/42.25</f>
        <v>23.668639053254438</v>
      </c>
      <c r="C15" s="3">
        <f>1000/43</f>
        <v>23.255813953488371</v>
      </c>
      <c r="D15" s="3">
        <f>2000/85.25</f>
        <v>23.460410557184751</v>
      </c>
      <c r="E15" s="3">
        <f t="shared" si="0"/>
        <v>23.461621187975851</v>
      </c>
      <c r="F15" s="3">
        <f t="shared" si="1"/>
        <v>0.50546000000000002</v>
      </c>
      <c r="G15" s="3">
        <f t="shared" si="2"/>
        <v>0.200661059306111</v>
      </c>
      <c r="H15" s="3">
        <f t="shared" si="3"/>
        <v>116.92164523154864</v>
      </c>
      <c r="I15" s="3">
        <v>5.0999999999999996</v>
      </c>
      <c r="J15" s="4">
        <v>1.0149999999999999E-2</v>
      </c>
      <c r="K15" s="3">
        <f t="shared" si="4"/>
        <v>5822.582738791979</v>
      </c>
      <c r="L15" s="13"/>
    </row>
    <row r="16" spans="1:12">
      <c r="A16" s="3">
        <v>15</v>
      </c>
      <c r="B16" s="3">
        <f>1000/39.46</f>
        <v>25.342118601115054</v>
      </c>
      <c r="C16" s="3">
        <f>1000/39.6</f>
        <v>25.252525252525253</v>
      </c>
      <c r="D16" s="3">
        <f>2000/79.06</f>
        <v>25.29724260055654</v>
      </c>
      <c r="E16" s="3">
        <f t="shared" si="0"/>
        <v>25.297295484732285</v>
      </c>
      <c r="F16" s="3">
        <f t="shared" si="1"/>
        <v>0.50546000000000002</v>
      </c>
      <c r="G16" s="3">
        <f t="shared" si="2"/>
        <v>0.200661059306111</v>
      </c>
      <c r="H16" s="3">
        <f t="shared" si="3"/>
        <v>126.06977941913951</v>
      </c>
      <c r="I16" s="3">
        <v>5.0999999999999996</v>
      </c>
      <c r="J16" s="4">
        <v>1.0149999999999999E-2</v>
      </c>
      <c r="K16" s="3">
        <f t="shared" si="4"/>
        <v>6278.1508083939179</v>
      </c>
      <c r="L16" s="13"/>
    </row>
    <row r="17" spans="1:11">
      <c r="A17" s="3">
        <v>17</v>
      </c>
      <c r="B17" s="3">
        <f>1200/44.4</f>
        <v>27.027027027027028</v>
      </c>
      <c r="C17" s="3">
        <f>1200/44.44</f>
        <v>27.002700270027002</v>
      </c>
      <c r="D17" s="3">
        <f>1200/44.32</f>
        <v>27.075812274368232</v>
      </c>
      <c r="E17" s="3">
        <f t="shared" si="0"/>
        <v>27.035179857140758</v>
      </c>
      <c r="F17" s="3">
        <f t="shared" si="1"/>
        <v>0.50546000000000002</v>
      </c>
      <c r="G17" s="3">
        <f t="shared" si="2"/>
        <v>0.200661059306111</v>
      </c>
      <c r="H17" s="3">
        <f t="shared" si="3"/>
        <v>134.73057478430954</v>
      </c>
      <c r="I17" s="3">
        <v>5.0999999999999996</v>
      </c>
      <c r="J17" s="4">
        <v>1.0149999999999999E-2</v>
      </c>
      <c r="K17" s="3">
        <f t="shared" si="4"/>
        <v>6709.4498847760697</v>
      </c>
    </row>
    <row r="18" spans="1:11">
      <c r="A18" s="3">
        <v>19</v>
      </c>
      <c r="B18" s="3">
        <f>1400/48.84</f>
        <v>28.665028665028665</v>
      </c>
      <c r="C18" s="3">
        <f>1400/49</f>
        <v>28.571428571428573</v>
      </c>
      <c r="D18" s="3">
        <f>1600/55.9</f>
        <v>28.622540250447226</v>
      </c>
      <c r="E18" s="3">
        <f t="shared" si="0"/>
        <v>28.619665828968156</v>
      </c>
      <c r="F18" s="3">
        <f t="shared" si="1"/>
        <v>0.50546000000000002</v>
      </c>
      <c r="G18" s="3">
        <f t="shared" si="2"/>
        <v>0.200661059306111</v>
      </c>
      <c r="H18" s="3">
        <f t="shared" si="3"/>
        <v>142.62690493080919</v>
      </c>
      <c r="I18" s="3">
        <v>5.0999999999999996</v>
      </c>
      <c r="J18" s="4">
        <v>1.0149999999999999E-2</v>
      </c>
      <c r="K18" s="3">
        <f t="shared" si="4"/>
        <v>7102.6793464361408</v>
      </c>
    </row>
    <row r="19" spans="1:11">
      <c r="A19" s="3">
        <v>21</v>
      </c>
      <c r="B19" s="3">
        <f>1400/46.47</f>
        <v>30.126963632451044</v>
      </c>
      <c r="C19" s="3">
        <f>1400/46.75</f>
        <v>29.946524064171122</v>
      </c>
      <c r="D19" s="3">
        <f>1400/46.68</f>
        <v>29.991431019708656</v>
      </c>
      <c r="E19" s="3">
        <f t="shared" si="0"/>
        <v>30.021639572110274</v>
      </c>
      <c r="F19" s="3">
        <f t="shared" si="1"/>
        <v>0.50546000000000002</v>
      </c>
      <c r="G19" s="3">
        <f t="shared" si="2"/>
        <v>0.200661059306111</v>
      </c>
      <c r="H19" s="3">
        <f t="shared" si="3"/>
        <v>149.61368028219107</v>
      </c>
      <c r="I19" s="3">
        <v>5.0999999999999996</v>
      </c>
      <c r="J19" s="4">
        <v>1.0149999999999999E-2</v>
      </c>
      <c r="K19" s="3">
        <f t="shared" si="4"/>
        <v>7450.613875412444</v>
      </c>
    </row>
    <row r="20" spans="1:11">
      <c r="A20" s="3">
        <v>22.9</v>
      </c>
      <c r="B20" s="3">
        <f>1400/44.52</f>
        <v>31.446540880503143</v>
      </c>
      <c r="C20" s="3">
        <f>1400/44.7</f>
        <v>31.319910514541384</v>
      </c>
      <c r="D20" s="3">
        <f>1400/44.59</f>
        <v>31.397174254317108</v>
      </c>
      <c r="E20" s="3">
        <f t="shared" si="0"/>
        <v>31.387875216453878</v>
      </c>
      <c r="F20" s="3">
        <f t="shared" si="1"/>
        <v>0.50546000000000002</v>
      </c>
      <c r="G20" s="3">
        <f t="shared" si="2"/>
        <v>0.200661059306111</v>
      </c>
      <c r="H20" s="3">
        <f t="shared" si="3"/>
        <v>156.42235381889057</v>
      </c>
      <c r="I20" s="3">
        <v>5.0999999999999996</v>
      </c>
      <c r="J20" s="4">
        <v>1.0149999999999999E-2</v>
      </c>
      <c r="K20" s="3">
        <f t="shared" si="4"/>
        <v>7789.6791094873342</v>
      </c>
    </row>
    <row r="21" spans="1:11">
      <c r="A21" s="3">
        <v>24</v>
      </c>
      <c r="B21" s="3">
        <f>1600/49.58</f>
        <v>32.271077047196449</v>
      </c>
      <c r="C21" s="3">
        <f>1600/49.77</f>
        <v>32.14788024914607</v>
      </c>
      <c r="D21" s="3">
        <f>1600/49.41</f>
        <v>32.382108884841131</v>
      </c>
      <c r="E21" s="3">
        <f t="shared" si="0"/>
        <v>32.267022060394545</v>
      </c>
      <c r="F21" s="3">
        <f t="shared" si="1"/>
        <v>0.50546000000000002</v>
      </c>
      <c r="G21" s="3">
        <f t="shared" si="2"/>
        <v>0.200661059306111</v>
      </c>
      <c r="H21" s="3">
        <f t="shared" si="3"/>
        <v>160.80360669865095</v>
      </c>
      <c r="I21" s="3">
        <v>5.0999999999999996</v>
      </c>
      <c r="J21" s="4">
        <v>1.0149999999999999E-2</v>
      </c>
      <c r="K21" s="3">
        <f t="shared" si="4"/>
        <v>8007.8611863941005</v>
      </c>
    </row>
    <row r="22" spans="1:11">
      <c r="A22" s="3">
        <v>25</v>
      </c>
      <c r="B22" s="3">
        <f>2000/60.53</f>
        <v>33.041467041136627</v>
      </c>
      <c r="C22" s="3">
        <f>1600/48.83</f>
        <v>32.766741757116527</v>
      </c>
      <c r="D22" s="3">
        <f>1600/47.5</f>
        <v>33.684210526315788</v>
      </c>
      <c r="E22" s="3">
        <f t="shared" si="0"/>
        <v>33.164139774856316</v>
      </c>
      <c r="F22" s="3">
        <f t="shared" si="1"/>
        <v>0.50546000000000002</v>
      </c>
      <c r="G22" s="3">
        <f t="shared" si="2"/>
        <v>0.200661059306111</v>
      </c>
      <c r="H22" s="3">
        <f t="shared" si="3"/>
        <v>165.27441791416041</v>
      </c>
      <c r="I22" s="3">
        <v>5.0999999999999996</v>
      </c>
      <c r="J22" s="4">
        <v>1.0149999999999999E-2</v>
      </c>
      <c r="K22" s="3">
        <f t="shared" si="4"/>
        <v>8230.503180186357</v>
      </c>
    </row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Fangning Cao</dc:creator>
  <cp:keywords/>
  <dc:description/>
  <cp:lastModifiedBy>Olivia Pomerenk</cp:lastModifiedBy>
  <cp:revision/>
  <dcterms:created xsi:type="dcterms:W3CDTF">2020-10-25T02:05:00Z</dcterms:created>
  <dcterms:modified xsi:type="dcterms:W3CDTF">2022-10-14T16:04:15Z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1C3D2F99A66C42ABBCD8DC112398E025</vt:lpwstr>
  </property>
</Properties>
</file>